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drawings/drawing1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455"/>
  </bookViews>
  <sheets>
    <sheet name="1" sheetId="20" r:id="rId1"/>
    <sheet name="1.1" sheetId="31" r:id="rId2"/>
    <sheet name="2" sheetId="18" r:id="rId3"/>
    <sheet name="2.1" sheetId="30" r:id="rId4"/>
    <sheet name="3" sheetId="19" r:id="rId5"/>
    <sheet name="4.0" sheetId="17" r:id="rId6"/>
    <sheet name="4.1" sheetId="29" r:id="rId7"/>
    <sheet name="5" sheetId="21" r:id="rId8"/>
    <sheet name="6" sheetId="22" r:id="rId9"/>
    <sheet name="7" sheetId="23" r:id="rId10"/>
    <sheet name="8" sheetId="24" r:id="rId11"/>
    <sheet name="9" sheetId="25" r:id="rId12"/>
    <sheet name="10" sheetId="26" r:id="rId13"/>
    <sheet name="11" sheetId="27" r:id="rId14"/>
    <sheet name="12" sheetId="28" r:id="rId15"/>
    <sheet name="13" sheetId="32" r:id="rId16"/>
    <sheet name="14" sheetId="33" r:id="rId17"/>
    <sheet name="15" sheetId="34" r:id="rId18"/>
    <sheet name="16" sheetId="35" r:id="rId19"/>
    <sheet name="17" sheetId="36" r:id="rId20"/>
    <sheet name="17.1" sheetId="37" r:id="rId21"/>
    <sheet name="18" sheetId="38" r:id="rId22"/>
    <sheet name="19" sheetId="39" r:id="rId23"/>
    <sheet name="20" sheetId="40" r:id="rId24"/>
    <sheet name="21" sheetId="41" r:id="rId25"/>
    <sheet name="22" sheetId="42" r:id="rId26"/>
    <sheet name="23" sheetId="43" r:id="rId27"/>
    <sheet name="23.1" sheetId="44" r:id="rId28"/>
    <sheet name="24" sheetId="45" r:id="rId29"/>
    <sheet name="25" sheetId="46" r:id="rId30"/>
    <sheet name="26" sheetId="47" r:id="rId31"/>
    <sheet name="27" sheetId="48" r:id="rId32"/>
    <sheet name="27.1" sheetId="49" r:id="rId33"/>
    <sheet name="28" sheetId="50" r:id="rId34"/>
    <sheet name="29" sheetId="51" r:id="rId35"/>
    <sheet name="30" sheetId="52" r:id="rId36"/>
    <sheet name="31" sheetId="53" r:id="rId37"/>
    <sheet name="32" sheetId="54" r:id="rId38"/>
    <sheet name="33" sheetId="55" r:id="rId39"/>
    <sheet name="33.1" sheetId="56" r:id="rId40"/>
    <sheet name="34" sheetId="57" r:id="rId41"/>
    <sheet name="35" sheetId="58" r:id="rId42"/>
    <sheet name="36" sheetId="59" r:id="rId43"/>
    <sheet name="37" sheetId="60" r:id="rId44"/>
    <sheet name="38" sheetId="61" r:id="rId45"/>
    <sheet name="39" sheetId="62" r:id="rId46"/>
    <sheet name="40" sheetId="63" r:id="rId47"/>
    <sheet name="41" sheetId="64" r:id="rId48"/>
    <sheet name="42" sheetId="65" r:id="rId49"/>
    <sheet name="44" sheetId="66" r:id="rId50"/>
    <sheet name="45" sheetId="67" r:id="rId51"/>
    <sheet name="45.1" sheetId="68" r:id="rId52"/>
    <sheet name="46" sheetId="69" r:id="rId53"/>
    <sheet name="46.1" sheetId="70" r:id="rId54"/>
    <sheet name="47" sheetId="71" r:id="rId55"/>
    <sheet name="48" sheetId="72" r:id="rId56"/>
    <sheet name="48.1" sheetId="73" r:id="rId57"/>
    <sheet name="48.2" sheetId="74" r:id="rId58"/>
    <sheet name="49" sheetId="75" r:id="rId59"/>
    <sheet name="50" sheetId="76" r:id="rId60"/>
    <sheet name="51" sheetId="77" r:id="rId61"/>
    <sheet name="52" sheetId="78" r:id="rId62"/>
    <sheet name="53" sheetId="79" r:id="rId63"/>
    <sheet name="54" sheetId="80" r:id="rId64"/>
    <sheet name="55" sheetId="81" r:id="rId65"/>
    <sheet name="56" sheetId="82" r:id="rId66"/>
    <sheet name="57" sheetId="83" r:id="rId67"/>
    <sheet name="58" sheetId="84" r:id="rId68"/>
    <sheet name="58.1" sheetId="85" r:id="rId69"/>
    <sheet name="59" sheetId="86" r:id="rId70"/>
    <sheet name="59.1" sheetId="87" r:id="rId71"/>
    <sheet name="60" sheetId="88" r:id="rId72"/>
    <sheet name="61" sheetId="89" r:id="rId73"/>
    <sheet name="61.1" sheetId="90" r:id="rId74"/>
    <sheet name="62" sheetId="91" r:id="rId75"/>
    <sheet name="63" sheetId="92" r:id="rId76"/>
    <sheet name="64" sheetId="93" r:id="rId77"/>
    <sheet name="65" sheetId="94" r:id="rId78"/>
    <sheet name="66" sheetId="95" r:id="rId79"/>
    <sheet name="67" sheetId="96" r:id="rId80"/>
    <sheet name="67.1" sheetId="97" r:id="rId81"/>
    <sheet name="68" sheetId="98" r:id="rId82"/>
    <sheet name="69" sheetId="99" r:id="rId83"/>
    <sheet name="70" sheetId="100" r:id="rId84"/>
    <sheet name="71" sheetId="101" r:id="rId85"/>
    <sheet name="72" sheetId="102" r:id="rId86"/>
    <sheet name="72.1" sheetId="103" r:id="rId87"/>
    <sheet name="73" sheetId="104" r:id="rId88"/>
    <sheet name="74" sheetId="105" r:id="rId89"/>
    <sheet name="75" sheetId="106" r:id="rId90"/>
    <sheet name="76" sheetId="107" r:id="rId91"/>
    <sheet name="77" sheetId="108" r:id="rId92"/>
    <sheet name="77.1" sheetId="109" r:id="rId93"/>
    <sheet name="78" sheetId="110" r:id="rId94"/>
    <sheet name="78.1" sheetId="111" r:id="rId95"/>
    <sheet name="79" sheetId="112" r:id="rId96"/>
    <sheet name="79.1" sheetId="113" r:id="rId97"/>
    <sheet name="80" sheetId="114" r:id="rId98"/>
    <sheet name="80.1" sheetId="115" r:id="rId99"/>
    <sheet name="81" sheetId="116" r:id="rId100"/>
    <sheet name="81.1" sheetId="117" r:id="rId101"/>
    <sheet name="82" sheetId="118" r:id="rId102"/>
    <sheet name="82.1" sheetId="119" r:id="rId103"/>
    <sheet name="83" sheetId="120" r:id="rId104"/>
    <sheet name="83.1" sheetId="121" r:id="rId105"/>
    <sheet name="84" sheetId="122" r:id="rId106"/>
    <sheet name="85" sheetId="123" r:id="rId107"/>
    <sheet name="86" sheetId="124" r:id="rId108"/>
    <sheet name="86.1" sheetId="125" r:id="rId109"/>
    <sheet name="87" sheetId="126" r:id="rId110"/>
    <sheet name="87.1" sheetId="127" r:id="rId111"/>
    <sheet name="88" sheetId="128" r:id="rId112"/>
    <sheet name="88.1" sheetId="129" r:id="rId113"/>
    <sheet name="88.2" sheetId="130" r:id="rId114"/>
    <sheet name="89" sheetId="131" r:id="rId115"/>
    <sheet name="89.1" sheetId="132" r:id="rId116"/>
    <sheet name="90" sheetId="133" r:id="rId117"/>
    <sheet name="90.1" sheetId="134" r:id="rId118"/>
    <sheet name="91" sheetId="135" r:id="rId119"/>
    <sheet name="92" sheetId="136" r:id="rId120"/>
    <sheet name="93" sheetId="137" r:id="rId121"/>
    <sheet name="94" sheetId="138" r:id="rId122"/>
    <sheet name="95" sheetId="139" r:id="rId123"/>
    <sheet name="96" sheetId="140" r:id="rId124"/>
    <sheet name="97" sheetId="141" r:id="rId125"/>
    <sheet name="98" sheetId="142" r:id="rId126"/>
    <sheet name="99" sheetId="143" r:id="rId127"/>
    <sheet name="100" sheetId="144" r:id="rId128"/>
    <sheet name="101" sheetId="145" r:id="rId129"/>
  </sheets>
  <externalReferences>
    <externalReference r:id="rId130"/>
  </externalReferences>
  <definedNames>
    <definedName name="Act" localSheetId="1">'3'!#REF!</definedName>
    <definedName name="Act" localSheetId="3">'3'!#REF!</definedName>
    <definedName name="Act">'3'!#REF!</definedName>
    <definedName name="Bud" localSheetId="1">'3'!#REF!</definedName>
    <definedName name="Bud" localSheetId="3">'3'!#REF!</definedName>
    <definedName name="Bud">'3'!#REF!</definedName>
    <definedName name="Car" localSheetId="1">#REF!</definedName>
    <definedName name="Car" localSheetId="3">#REF!</definedName>
    <definedName name="Car" localSheetId="29">#REF!</definedName>
    <definedName name="Car" localSheetId="32">#REF!</definedName>
    <definedName name="Car" localSheetId="39">#REF!</definedName>
    <definedName name="Car" localSheetId="42">#REF!</definedName>
    <definedName name="Car" localSheetId="6">#REF!</definedName>
    <definedName name="Car" localSheetId="51">'45.1'!$E$6:$E$7</definedName>
    <definedName name="Car">#REF!</definedName>
    <definedName name="Married">'60'!$B$4:$E$11</definedName>
    <definedName name="SigDig">2</definedName>
    <definedName name="Single">'60'!$B$15:$E$22</definedName>
    <definedName name="solver_adj" localSheetId="105" hidden="1">'84'!$H$2</definedName>
    <definedName name="solver_cvg" localSheetId="105" hidden="1">0.0001</definedName>
    <definedName name="solver_drv" localSheetId="105" hidden="1">1</definedName>
    <definedName name="solver_eng" localSheetId="105" hidden="1">1</definedName>
    <definedName name="solver_est" localSheetId="105" hidden="1">1</definedName>
    <definedName name="solver_itr" localSheetId="105" hidden="1">2147483647</definedName>
    <definedName name="solver_mip" localSheetId="105" hidden="1">2147483647</definedName>
    <definedName name="solver_mni" localSheetId="105" hidden="1">30</definedName>
    <definedName name="solver_mrt" localSheetId="105" hidden="1">0.075</definedName>
    <definedName name="solver_msl" localSheetId="105" hidden="1">2</definedName>
    <definedName name="solver_neg" localSheetId="105" hidden="1">1</definedName>
    <definedName name="solver_nod" localSheetId="105" hidden="1">2147483647</definedName>
    <definedName name="solver_num" localSheetId="105" hidden="1">0</definedName>
    <definedName name="solver_nwt" localSheetId="105" hidden="1">1</definedName>
    <definedName name="solver_opt" localSheetId="105" hidden="1">'84'!$G$28</definedName>
    <definedName name="solver_pre" localSheetId="105" hidden="1">0.000001</definedName>
    <definedName name="solver_rbv" localSheetId="105" hidden="1">1</definedName>
    <definedName name="solver_rlx" localSheetId="105" hidden="1">2</definedName>
    <definedName name="solver_rsd" localSheetId="105" hidden="1">0</definedName>
    <definedName name="solver_scl" localSheetId="105" hidden="1">1</definedName>
    <definedName name="solver_sho" localSheetId="105" hidden="1">2</definedName>
    <definedName name="solver_ssz" localSheetId="105" hidden="1">100</definedName>
    <definedName name="solver_tim" localSheetId="105" hidden="1">2147483647</definedName>
    <definedName name="solver_tol" localSheetId="105" hidden="1">0.01</definedName>
    <definedName name="solver_typ" localSheetId="105" hidden="1">2</definedName>
    <definedName name="solver_val" localSheetId="105" hidden="1">0</definedName>
    <definedName name="solver_ver" localSheetId="105" hidden="1">3</definedName>
    <definedName name="Truck" localSheetId="1">#REF!</definedName>
    <definedName name="Truck" localSheetId="3">#REF!</definedName>
    <definedName name="Truck" localSheetId="29">#REF!</definedName>
    <definedName name="Truck" localSheetId="32">#REF!</definedName>
    <definedName name="Truck" localSheetId="39">#REF!</definedName>
    <definedName name="Truck" localSheetId="42">#REF!</definedName>
    <definedName name="Truck" localSheetId="6">#REF!</definedName>
    <definedName name="Truck" localSheetId="51">'45.1'!$E$10:$E$11</definedName>
    <definedName name="Truck">#REF!</definedName>
    <definedName name="xlCOMMA">","</definedName>
    <definedName name="xlDOUBLE">""""</definedName>
    <definedName name="xlSINGLE">"'"</definedName>
    <definedName name="xlSPACE">" "</definedName>
  </definedNames>
  <calcPr calcId="124519"/>
</workbook>
</file>

<file path=xl/calcChain.xml><?xml version="1.0" encoding="utf-8"?>
<calcChain xmlns="http://schemas.openxmlformats.org/spreadsheetml/2006/main">
  <c r="E3" i="145"/>
  <c r="E4"/>
  <c r="D7" i="144"/>
  <c r="D16"/>
  <c r="D3" i="136"/>
  <c r="H4"/>
  <c r="D15" s="1"/>
  <c r="H5"/>
  <c r="D4" s="1"/>
  <c r="H6"/>
  <c r="D5" s="1"/>
  <c r="H7"/>
  <c r="D18" s="1"/>
  <c r="H8"/>
  <c r="D7" s="1"/>
  <c r="H9"/>
  <c r="D8" s="1"/>
  <c r="H10"/>
  <c r="D9" s="1"/>
  <c r="H11"/>
  <c r="D22" s="1"/>
  <c r="H12"/>
  <c r="D11" s="1"/>
  <c r="H13"/>
  <c r="D12" s="1"/>
  <c r="H14"/>
  <c r="D13" s="1"/>
  <c r="H15"/>
  <c r="D26" s="1"/>
  <c r="D17"/>
  <c r="D19"/>
  <c r="D21"/>
  <c r="D23"/>
  <c r="D25"/>
  <c r="D27"/>
  <c r="D29"/>
  <c r="D31"/>
  <c r="D33"/>
  <c r="D35"/>
  <c r="D37"/>
  <c r="D39"/>
  <c r="D41"/>
  <c r="D43"/>
  <c r="D45"/>
  <c r="D47"/>
  <c r="D49"/>
  <c r="D51"/>
  <c r="D53"/>
  <c r="D55"/>
  <c r="D57"/>
  <c r="D59"/>
  <c r="D61"/>
  <c r="D3" i="135"/>
  <c r="H4"/>
  <c r="D15" s="1"/>
  <c r="H5"/>
  <c r="D4" s="1"/>
  <c r="H6"/>
  <c r="D5" s="1"/>
  <c r="H7"/>
  <c r="D18" s="1"/>
  <c r="H8"/>
  <c r="D7" s="1"/>
  <c r="H9"/>
  <c r="D8" s="1"/>
  <c r="H10"/>
  <c r="D9" s="1"/>
  <c r="H11"/>
  <c r="D22" s="1"/>
  <c r="H12"/>
  <c r="D11" s="1"/>
  <c r="H13"/>
  <c r="D12" s="1"/>
  <c r="H14"/>
  <c r="D13" s="1"/>
  <c r="H15"/>
  <c r="D26" s="1"/>
  <c r="D17"/>
  <c r="D19"/>
  <c r="D21"/>
  <c r="D23"/>
  <c r="D27"/>
  <c r="D29"/>
  <c r="D31"/>
  <c r="D33"/>
  <c r="D35"/>
  <c r="D39"/>
  <c r="D41"/>
  <c r="D43"/>
  <c r="D45"/>
  <c r="D47"/>
  <c r="D51"/>
  <c r="D53"/>
  <c r="D55"/>
  <c r="D57"/>
  <c r="D59"/>
  <c r="E3" i="134"/>
  <c r="G3" s="1"/>
  <c r="E4"/>
  <c r="G4" s="1"/>
  <c r="E5"/>
  <c r="G5" s="1"/>
  <c r="E6"/>
  <c r="G6" s="1"/>
  <c r="E7"/>
  <c r="G7" s="1"/>
  <c r="E8"/>
  <c r="G8" s="1"/>
  <c r="E9"/>
  <c r="G9" s="1"/>
  <c r="E10"/>
  <c r="G10" s="1"/>
  <c r="E11"/>
  <c r="G11" s="1"/>
  <c r="E12"/>
  <c r="G12" s="1"/>
  <c r="E3" i="133"/>
  <c r="G3" a="1"/>
  <c r="G3"/>
  <c r="E4"/>
  <c r="G4"/>
  <c r="E5"/>
  <c r="G5"/>
  <c r="E6"/>
  <c r="G6"/>
  <c r="E7"/>
  <c r="G7"/>
  <c r="E8"/>
  <c r="G8"/>
  <c r="E9"/>
  <c r="G9"/>
  <c r="E10"/>
  <c r="G10"/>
  <c r="E11"/>
  <c r="G11"/>
  <c r="E12"/>
  <c r="G12"/>
  <c r="D3" i="129"/>
  <c r="K3"/>
  <c r="D4"/>
  <c r="K4"/>
  <c r="D5"/>
  <c r="K5"/>
  <c r="D6"/>
  <c r="K6"/>
  <c r="D8" s="1"/>
  <c r="D7"/>
  <c r="D9"/>
  <c r="D10"/>
  <c r="D11"/>
  <c r="K12"/>
  <c r="D13"/>
  <c r="K13"/>
  <c r="K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G3" i="128"/>
  <c r="D3" s="1"/>
  <c r="G4"/>
  <c r="G5"/>
  <c r="D8" s="1"/>
  <c r="G6"/>
  <c r="D12"/>
  <c r="D16"/>
  <c r="D24"/>
  <c r="D3" i="126"/>
  <c r="D4"/>
  <c r="G4"/>
  <c r="D5"/>
  <c r="G5"/>
  <c r="D6"/>
  <c r="G6"/>
  <c r="D7"/>
  <c r="D8"/>
  <c r="D9"/>
  <c r="D10"/>
  <c r="D11"/>
  <c r="D12"/>
  <c r="D13"/>
  <c r="D14"/>
  <c r="D15"/>
  <c r="D16"/>
  <c r="D17"/>
  <c r="D18"/>
  <c r="D19"/>
  <c r="D20"/>
  <c r="D21"/>
  <c r="D22"/>
  <c r="D3" i="125"/>
  <c r="G5" s="1"/>
  <c r="H5" s="1"/>
  <c r="D4"/>
  <c r="D5"/>
  <c r="D6"/>
  <c r="D7"/>
  <c r="D8"/>
  <c r="D9"/>
  <c r="D10"/>
  <c r="D11"/>
  <c r="D12"/>
  <c r="D13"/>
  <c r="D14"/>
  <c r="F3" i="124"/>
  <c r="G3" s="1"/>
  <c r="F4"/>
  <c r="G4" s="1"/>
  <c r="F5"/>
  <c r="G5" s="1"/>
  <c r="E5" i="123"/>
  <c r="E7" s="1"/>
  <c r="F5"/>
  <c r="F7" s="1"/>
  <c r="E3" i="122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E3" i="12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B60"/>
  <c r="B59" s="1"/>
  <c r="B58" s="1"/>
  <c r="B57" s="1"/>
  <c r="B56" s="1"/>
  <c r="B55" s="1"/>
  <c r="B54" s="1"/>
  <c r="B53" s="1"/>
  <c r="B52" s="1"/>
  <c r="B51" s="1"/>
  <c r="B50" s="1"/>
  <c r="B49" s="1"/>
  <c r="B48" s="1"/>
  <c r="B47" s="1"/>
  <c r="B46" s="1"/>
  <c r="B45" s="1"/>
  <c r="B44" s="1"/>
  <c r="B43" s="1"/>
  <c r="B42" s="1"/>
  <c r="B41" s="1"/>
  <c r="B40" s="1"/>
  <c r="B39" s="1"/>
  <c r="B38" s="1"/>
  <c r="B37" s="1"/>
  <c r="B36" s="1"/>
  <c r="B35" s="1"/>
  <c r="B34" s="1"/>
  <c r="B33" s="1"/>
  <c r="B32" s="1"/>
  <c r="B31" s="1"/>
  <c r="B30" s="1"/>
  <c r="B29" s="1"/>
  <c r="B28" s="1"/>
  <c r="B27" s="1"/>
  <c r="B26" s="1"/>
  <c r="B25" s="1"/>
  <c r="B24" s="1"/>
  <c r="B23" s="1"/>
  <c r="B22" s="1"/>
  <c r="B21" s="1"/>
  <c r="B20" s="1"/>
  <c r="B19" s="1"/>
  <c r="B18" s="1"/>
  <c r="B17" s="1"/>
  <c r="B16" s="1"/>
  <c r="B15" s="1"/>
  <c r="B14" s="1"/>
  <c r="B13" s="1"/>
  <c r="B12" s="1"/>
  <c r="B11" s="1"/>
  <c r="B10" s="1"/>
  <c r="B9" s="1"/>
  <c r="B8" s="1"/>
  <c r="B7" s="1"/>
  <c r="B6" s="1"/>
  <c r="B5" s="1"/>
  <c r="B4" s="1"/>
  <c r="B3" s="1"/>
  <c r="E60"/>
  <c r="B61"/>
  <c r="E61"/>
  <c r="E62"/>
  <c r="E3" i="120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B61"/>
  <c r="B60" s="1"/>
  <c r="B59" s="1"/>
  <c r="B58" s="1"/>
  <c r="B57" s="1"/>
  <c r="B56" s="1"/>
  <c r="B55" s="1"/>
  <c r="B54" s="1"/>
  <c r="B53" s="1"/>
  <c r="B52" s="1"/>
  <c r="B51" s="1"/>
  <c r="B50" s="1"/>
  <c r="B49" s="1"/>
  <c r="B48" s="1"/>
  <c r="B47" s="1"/>
  <c r="B46" s="1"/>
  <c r="B45" s="1"/>
  <c r="B44" s="1"/>
  <c r="B43" s="1"/>
  <c r="B42" s="1"/>
  <c r="B41" s="1"/>
  <c r="B40" s="1"/>
  <c r="B39" s="1"/>
  <c r="B38" s="1"/>
  <c r="B37" s="1"/>
  <c r="B36" s="1"/>
  <c r="B35" s="1"/>
  <c r="B34" s="1"/>
  <c r="B33" s="1"/>
  <c r="B32" s="1"/>
  <c r="B31" s="1"/>
  <c r="B30" s="1"/>
  <c r="B29" s="1"/>
  <c r="B28" s="1"/>
  <c r="B27" s="1"/>
  <c r="B26" s="1"/>
  <c r="B25" s="1"/>
  <c r="B24" s="1"/>
  <c r="B23" s="1"/>
  <c r="B22" s="1"/>
  <c r="B21" s="1"/>
  <c r="B20" s="1"/>
  <c r="B19" s="1"/>
  <c r="B18" s="1"/>
  <c r="B17" s="1"/>
  <c r="B16" s="1"/>
  <c r="B15" s="1"/>
  <c r="B14" s="1"/>
  <c r="B13" s="1"/>
  <c r="B12" s="1"/>
  <c r="B11" s="1"/>
  <c r="B10" s="1"/>
  <c r="B9" s="1"/>
  <c r="B8" s="1"/>
  <c r="B7" s="1"/>
  <c r="B6" s="1"/>
  <c r="B5" s="1"/>
  <c r="B4" s="1"/>
  <c r="B3" s="1"/>
  <c r="E61"/>
  <c r="E62"/>
  <c r="E3" i="119"/>
  <c r="F3" s="1"/>
  <c r="E5"/>
  <c r="F5" s="1"/>
  <c r="E7"/>
  <c r="F7" s="1"/>
  <c r="C8"/>
  <c r="E4" s="1"/>
  <c r="F4" s="1"/>
  <c r="C8" i="118"/>
  <c r="D8" s="1"/>
  <c r="C19" i="117"/>
  <c r="C12" i="116"/>
  <c r="C13" i="115"/>
  <c r="C13" i="114"/>
  <c r="C5" i="113"/>
  <c r="D8"/>
  <c r="D9"/>
  <c r="D10"/>
  <c r="D11"/>
  <c r="D12"/>
  <c r="D13"/>
  <c r="D14"/>
  <c r="D15"/>
  <c r="D16"/>
  <c r="D17"/>
  <c r="C5" i="112"/>
  <c r="F3" i="111"/>
  <c r="G3"/>
  <c r="H3"/>
  <c r="I3"/>
  <c r="J3"/>
  <c r="K3"/>
  <c r="L3"/>
  <c r="M3"/>
  <c r="N3"/>
  <c r="F4"/>
  <c r="G4"/>
  <c r="H4"/>
  <c r="H8" s="1"/>
  <c r="I4"/>
  <c r="J4"/>
  <c r="K4"/>
  <c r="L4"/>
  <c r="L8" s="1"/>
  <c r="M4"/>
  <c r="N4"/>
  <c r="F5"/>
  <c r="G5"/>
  <c r="G8" s="1"/>
  <c r="H5"/>
  <c r="I5"/>
  <c r="J5"/>
  <c r="K5"/>
  <c r="K8" s="1"/>
  <c r="L5"/>
  <c r="M5"/>
  <c r="N5"/>
  <c r="F6"/>
  <c r="F8" s="1"/>
  <c r="G6"/>
  <c r="H6"/>
  <c r="I6"/>
  <c r="J6"/>
  <c r="J8" s="1"/>
  <c r="K6"/>
  <c r="L6"/>
  <c r="M6"/>
  <c r="N6"/>
  <c r="N8" s="1"/>
  <c r="F7"/>
  <c r="G7"/>
  <c r="H7"/>
  <c r="I7"/>
  <c r="J7"/>
  <c r="K7"/>
  <c r="L7"/>
  <c r="M7"/>
  <c r="N7"/>
  <c r="F3" i="110"/>
  <c r="G3"/>
  <c r="H3"/>
  <c r="I3"/>
  <c r="J3"/>
  <c r="K3"/>
  <c r="L3"/>
  <c r="M3"/>
  <c r="N3"/>
  <c r="F4"/>
  <c r="G4"/>
  <c r="H4"/>
  <c r="I4"/>
  <c r="J4"/>
  <c r="J8" s="1"/>
  <c r="K4"/>
  <c r="L4"/>
  <c r="M4"/>
  <c r="N4"/>
  <c r="N8" s="1"/>
  <c r="F5"/>
  <c r="G5"/>
  <c r="H5"/>
  <c r="I5"/>
  <c r="I8" s="1"/>
  <c r="J5"/>
  <c r="K5"/>
  <c r="L5"/>
  <c r="M5"/>
  <c r="M8" s="1"/>
  <c r="N5"/>
  <c r="F6"/>
  <c r="G6"/>
  <c r="H6"/>
  <c r="H8" s="1"/>
  <c r="I6"/>
  <c r="J6"/>
  <c r="K6"/>
  <c r="L6"/>
  <c r="L8" s="1"/>
  <c r="M6"/>
  <c r="N6"/>
  <c r="F7"/>
  <c r="G7"/>
  <c r="H7"/>
  <c r="I7"/>
  <c r="J7"/>
  <c r="K7"/>
  <c r="L7"/>
  <c r="M7"/>
  <c r="N7"/>
  <c r="F8"/>
  <c r="C6" i="109"/>
  <c r="E11" s="1"/>
  <c r="I10"/>
  <c r="K11"/>
  <c r="L11"/>
  <c r="D12"/>
  <c r="D13"/>
  <c r="E13"/>
  <c r="E15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C6" i="108"/>
  <c r="I10"/>
  <c r="E11"/>
  <c r="K11"/>
  <c r="G11" s="1"/>
  <c r="H11" s="1"/>
  <c r="L11"/>
  <c r="D12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C6" i="107"/>
  <c r="H10"/>
  <c r="G11"/>
  <c r="D12"/>
  <c r="E12"/>
  <c r="D13"/>
  <c r="E13"/>
  <c r="D14"/>
  <c r="E14"/>
  <c r="D15"/>
  <c r="D16" s="1"/>
  <c r="D17" s="1"/>
  <c r="D18" s="1"/>
  <c r="D19" s="1"/>
  <c r="D20" s="1"/>
  <c r="E16"/>
  <c r="E17"/>
  <c r="E18"/>
  <c r="E20"/>
  <c r="D2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108" s="1"/>
  <c r="D109" s="1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43" s="1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78" s="1"/>
  <c r="D179" s="1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213" s="1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228" s="1"/>
  <c r="D229" s="1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248" s="1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73" s="1"/>
  <c r="D274" s="1"/>
  <c r="D275" s="1"/>
  <c r="D276" s="1"/>
  <c r="D277" s="1"/>
  <c r="D278" s="1"/>
  <c r="D279" s="1"/>
  <c r="D280" s="1"/>
  <c r="D281" s="1"/>
  <c r="D282" s="1"/>
  <c r="D283" s="1"/>
  <c r="D284" s="1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318" s="1"/>
  <c r="D319" s="1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53" s="1"/>
  <c r="D354" s="1"/>
  <c r="D355" s="1"/>
  <c r="D356" s="1"/>
  <c r="D357" s="1"/>
  <c r="D358" s="1"/>
  <c r="D359" s="1"/>
  <c r="D360" s="1"/>
  <c r="D361" s="1"/>
  <c r="D362" s="1"/>
  <c r="D363" s="1"/>
  <c r="D364" s="1"/>
  <c r="D365" s="1"/>
  <c r="D366" s="1"/>
  <c r="D367" s="1"/>
  <c r="D368" s="1"/>
  <c r="D369" s="1"/>
  <c r="D370" s="1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4" i="106"/>
  <c r="D4" s="1"/>
  <c r="F4" s="1"/>
  <c r="C5"/>
  <c r="C6"/>
  <c r="C7" s="1"/>
  <c r="C15"/>
  <c r="F21"/>
  <c r="F27"/>
  <c r="F3" i="105"/>
  <c r="C4" s="1"/>
  <c r="F4" s="1"/>
  <c r="C5" s="1"/>
  <c r="F5" s="1"/>
  <c r="C6" s="1"/>
  <c r="F6" s="1"/>
  <c r="C7" s="1"/>
  <c r="F7" s="1"/>
  <c r="C8" s="1"/>
  <c r="F8" s="1"/>
  <c r="C9" s="1"/>
  <c r="F9" s="1"/>
  <c r="C10" s="1"/>
  <c r="F10" s="1"/>
  <c r="C11" s="1"/>
  <c r="F11" s="1"/>
  <c r="C12" s="1"/>
  <c r="F12" s="1"/>
  <c r="C13" s="1"/>
  <c r="F13" s="1"/>
  <c r="C14" s="1"/>
  <c r="F14" s="1"/>
  <c r="F17"/>
  <c r="F4" i="104"/>
  <c r="F6" s="1"/>
  <c r="C6"/>
  <c r="C7" s="1"/>
  <c r="C6" i="103"/>
  <c r="C7"/>
  <c r="C6" i="102"/>
  <c r="C7"/>
  <c r="D13" i="101"/>
  <c r="D8" s="1"/>
  <c r="D3" s="1"/>
  <c r="G5" i="100"/>
  <c r="C6"/>
  <c r="C12" s="1"/>
  <c r="D6"/>
  <c r="C10"/>
  <c r="D10"/>
  <c r="G10"/>
  <c r="G15" s="1"/>
  <c r="D12"/>
  <c r="C17"/>
  <c r="D17"/>
  <c r="C20"/>
  <c r="D20"/>
  <c r="D25"/>
  <c r="D27" s="1"/>
  <c r="C4" i="99"/>
  <c r="C6"/>
  <c r="C4" i="98"/>
  <c r="C12" s="1"/>
  <c r="C18" s="1"/>
  <c r="C20" s="1"/>
  <c r="C21" s="1"/>
  <c r="C10"/>
  <c r="C4" i="97"/>
  <c r="E4"/>
  <c r="E3" s="1"/>
  <c r="E6" s="1"/>
  <c r="E8" s="1"/>
  <c r="C6"/>
  <c r="C7"/>
  <c r="C8" s="1"/>
  <c r="C9" s="1"/>
  <c r="E7"/>
  <c r="D3" i="96"/>
  <c r="F3"/>
  <c r="D4"/>
  <c r="F4"/>
  <c r="C5"/>
  <c r="D5"/>
  <c r="E5"/>
  <c r="F5"/>
  <c r="D7"/>
  <c r="F7"/>
  <c r="D8"/>
  <c r="F8"/>
  <c r="C10"/>
  <c r="D10"/>
  <c r="E10"/>
  <c r="F10"/>
  <c r="D12"/>
  <c r="F12"/>
  <c r="D13"/>
  <c r="E13"/>
  <c r="F13" s="1"/>
  <c r="C15"/>
  <c r="D15" s="1"/>
  <c r="E15"/>
  <c r="F15" s="1"/>
  <c r="F9" i="95"/>
  <c r="G9"/>
  <c r="G11"/>
  <c r="F5" i="94"/>
  <c r="F6"/>
  <c r="E3" i="93"/>
  <c r="F3" s="1" a="1"/>
  <c r="F3" s="1"/>
  <c r="E4"/>
  <c r="F4" s="1" a="1"/>
  <c r="F4" s="1"/>
  <c r="E5"/>
  <c r="F5" a="1"/>
  <c r="F5" s="1"/>
  <c r="E6"/>
  <c r="F6" a="1"/>
  <c r="F6" s="1"/>
  <c r="E7"/>
  <c r="F7" s="1" a="1"/>
  <c r="F7" s="1"/>
  <c r="E8"/>
  <c r="F8" s="1" a="1"/>
  <c r="F8" s="1"/>
  <c r="E9"/>
  <c r="F9" s="1" a="1"/>
  <c r="F9" s="1"/>
  <c r="E10"/>
  <c r="F10" a="1"/>
  <c r="F10" s="1"/>
  <c r="E11"/>
  <c r="F11" s="1" a="1"/>
  <c r="F11" s="1"/>
  <c r="E12"/>
  <c r="F12" s="1" a="1"/>
  <c r="F12" s="1"/>
  <c r="E13"/>
  <c r="F13" s="1" a="1"/>
  <c r="F13" s="1"/>
  <c r="E14"/>
  <c r="F14" a="1"/>
  <c r="F14" s="1"/>
  <c r="E15"/>
  <c r="F15" s="1" a="1"/>
  <c r="F15" s="1"/>
  <c r="E16"/>
  <c r="F16" s="1" a="1"/>
  <c r="F16" s="1"/>
  <c r="E17"/>
  <c r="F17" s="1" a="1"/>
  <c r="F17" s="1"/>
  <c r="E18"/>
  <c r="F18" a="1"/>
  <c r="F18" s="1"/>
  <c r="E19"/>
  <c r="F19" s="1" a="1"/>
  <c r="F19" s="1"/>
  <c r="E20"/>
  <c r="F20" s="1" a="1"/>
  <c r="F20" s="1"/>
  <c r="E21"/>
  <c r="F21" s="1" a="1"/>
  <c r="F21" s="1"/>
  <c r="E22"/>
  <c r="F22" a="1"/>
  <c r="F22" s="1"/>
  <c r="E23"/>
  <c r="F23" s="1" a="1"/>
  <c r="F23" s="1"/>
  <c r="E24"/>
  <c r="F24" s="1" a="1"/>
  <c r="F24" s="1"/>
  <c r="E25"/>
  <c r="F25" s="1" a="1"/>
  <c r="F25" s="1"/>
  <c r="E26"/>
  <c r="F26" a="1"/>
  <c r="F26" s="1"/>
  <c r="F5" i="92"/>
  <c r="G5"/>
  <c r="H7" i="91"/>
  <c r="H8"/>
  <c r="G4" i="90"/>
  <c r="G5"/>
  <c r="G6"/>
  <c r="G7"/>
  <c r="G8"/>
  <c r="G9"/>
  <c r="C10"/>
  <c r="D10"/>
  <c r="E10"/>
  <c r="F10"/>
  <c r="G10"/>
  <c r="C15"/>
  <c r="G4" i="89"/>
  <c r="G5"/>
  <c r="G6"/>
  <c r="G7"/>
  <c r="G8"/>
  <c r="G9"/>
  <c r="C10"/>
  <c r="D10"/>
  <c r="E10"/>
  <c r="F10"/>
  <c r="G10"/>
  <c r="C15"/>
  <c r="D26" i="88"/>
  <c r="D28"/>
  <c r="D29"/>
  <c r="K4" i="132"/>
  <c r="G4" i="130"/>
  <c r="G6"/>
  <c r="G4" i="131"/>
  <c r="G5"/>
  <c r="K5" i="132"/>
  <c r="G5" i="130"/>
  <c r="D3" i="127" a="1"/>
  <c r="D30" i="88"/>
  <c r="E5" i="145" l="1"/>
  <c r="E8" s="1"/>
  <c r="D4" i="127"/>
  <c r="D3"/>
  <c r="D5"/>
  <c r="G6" i="131"/>
  <c r="G9" s="1"/>
  <c r="D10" i="130"/>
  <c r="D14"/>
  <c r="D18"/>
  <c r="D22"/>
  <c r="D26"/>
  <c r="D30"/>
  <c r="D4"/>
  <c r="D6"/>
  <c r="D9"/>
  <c r="D13"/>
  <c r="D17"/>
  <c r="D21"/>
  <c r="D25"/>
  <c r="D29"/>
  <c r="D7"/>
  <c r="D15"/>
  <c r="D23"/>
  <c r="D27"/>
  <c r="D5"/>
  <c r="D11"/>
  <c r="D19"/>
  <c r="D31"/>
  <c r="D3"/>
  <c r="D8"/>
  <c r="D12"/>
  <c r="D16"/>
  <c r="D20"/>
  <c r="D24"/>
  <c r="D28"/>
  <c r="D32"/>
  <c r="K6" i="132"/>
  <c r="K14" s="1"/>
  <c r="G3" i="125"/>
  <c r="H3" s="1"/>
  <c r="D29" i="128"/>
  <c r="D25"/>
  <c r="D21"/>
  <c r="D17"/>
  <c r="D13"/>
  <c r="D9"/>
  <c r="D6"/>
  <c r="D4"/>
  <c r="D60" i="135"/>
  <c r="D56"/>
  <c r="D52"/>
  <c r="D48"/>
  <c r="D44"/>
  <c r="D40"/>
  <c r="D36"/>
  <c r="D32"/>
  <c r="D28"/>
  <c r="D24"/>
  <c r="D20"/>
  <c r="D16"/>
  <c r="D14"/>
  <c r="D10"/>
  <c r="D6"/>
  <c r="D60" i="136"/>
  <c r="D56"/>
  <c r="D52"/>
  <c r="D48"/>
  <c r="D44"/>
  <c r="D40"/>
  <c r="D36"/>
  <c r="D32"/>
  <c r="D28"/>
  <c r="D24"/>
  <c r="D20"/>
  <c r="D16"/>
  <c r="D14"/>
  <c r="D10"/>
  <c r="D6"/>
  <c r="D66" s="1"/>
  <c r="E66" s="1"/>
  <c r="G4" i="125"/>
  <c r="H4" s="1"/>
  <c r="E6" i="119"/>
  <c r="F6" s="1"/>
  <c r="F8" s="1"/>
  <c r="D32" i="128"/>
  <c r="D28"/>
  <c r="D20"/>
  <c r="D30"/>
  <c r="D26"/>
  <c r="D22"/>
  <c r="D18"/>
  <c r="D14"/>
  <c r="D10"/>
  <c r="D61" i="135"/>
  <c r="D49"/>
  <c r="D37"/>
  <c r="D25"/>
  <c r="D31" i="128"/>
  <c r="D27"/>
  <c r="D23"/>
  <c r="D19"/>
  <c r="D15"/>
  <c r="D11"/>
  <c r="D7"/>
  <c r="D5"/>
  <c r="D14" i="129"/>
  <c r="D12"/>
  <c r="D62" i="135"/>
  <c r="D58"/>
  <c r="D54"/>
  <c r="D50"/>
  <c r="D46"/>
  <c r="D42"/>
  <c r="D38"/>
  <c r="D34"/>
  <c r="D30"/>
  <c r="D62" i="136"/>
  <c r="D58"/>
  <c r="D54"/>
  <c r="D50"/>
  <c r="D46"/>
  <c r="D42"/>
  <c r="D38"/>
  <c r="D34"/>
  <c r="D30"/>
  <c r="D4" i="101"/>
  <c r="D7"/>
  <c r="D5" s="1"/>
  <c r="C8" i="106"/>
  <c r="G18" i="100"/>
  <c r="C24"/>
  <c r="C25" s="1"/>
  <c r="G19" s="1"/>
  <c r="E5" i="106"/>
  <c r="F7" i="104"/>
  <c r="F16" i="105"/>
  <c r="F18" s="1"/>
  <c r="G12" i="108"/>
  <c r="D13"/>
  <c r="E11" i="107"/>
  <c r="F11" s="1"/>
  <c r="H11" s="1"/>
  <c r="E15"/>
  <c r="E19"/>
  <c r="F11" i="108"/>
  <c r="I11" s="1"/>
  <c r="K8" i="110"/>
  <c r="G8"/>
  <c r="D18" i="113"/>
  <c r="G13" i="109"/>
  <c r="D14"/>
  <c r="G11"/>
  <c r="H11" s="1"/>
  <c r="F11" s="1"/>
  <c r="I11" s="1"/>
  <c r="G12"/>
  <c r="M8" i="111"/>
  <c r="I8"/>
  <c r="E16" i="109"/>
  <c r="E14"/>
  <c r="E12"/>
  <c r="D12" i="87"/>
  <c r="D15" s="1"/>
  <c r="D14"/>
  <c r="D12" i="86"/>
  <c r="D15" s="1"/>
  <c r="D16" s="1"/>
  <c r="D14"/>
  <c r="D3" i="85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3" i="8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C6" i="83"/>
  <c r="C8"/>
  <c r="G5" i="82"/>
  <c r="G6"/>
  <c r="G8"/>
  <c r="G9"/>
  <c r="M3" i="81"/>
  <c r="L5"/>
  <c r="M7"/>
  <c r="O8"/>
  <c r="O9"/>
  <c r="O7" s="1"/>
  <c r="O11" s="1"/>
  <c r="I6" i="80"/>
  <c r="I7"/>
  <c r="I5" i="79"/>
  <c r="I6"/>
  <c r="I5" i="78"/>
  <c r="I6"/>
  <c r="H8"/>
  <c r="I8" s="1"/>
  <c r="H9"/>
  <c r="I9" s="1"/>
  <c r="H10"/>
  <c r="I10" s="1"/>
  <c r="H11"/>
  <c r="I11" s="1"/>
  <c r="H12"/>
  <c r="I12" s="1"/>
  <c r="H13"/>
  <c r="G3" i="77"/>
  <c r="G5" s="1"/>
  <c r="G7"/>
  <c r="G8"/>
  <c r="G10" s="1"/>
  <c r="G12"/>
  <c r="B4" i="76"/>
  <c r="B5"/>
  <c r="G7" i="75"/>
  <c r="G8"/>
  <c r="C13" i="74"/>
  <c r="C14"/>
  <c r="C13" i="73"/>
  <c r="C15"/>
  <c r="C17"/>
  <c r="C18"/>
  <c r="C19"/>
  <c r="C14" i="72"/>
  <c r="C15"/>
  <c r="D3" i="7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3" i="70"/>
  <c r="E3"/>
  <c r="F3"/>
  <c r="D4"/>
  <c r="E4"/>
  <c r="F4"/>
  <c r="D5"/>
  <c r="F5" s="1"/>
  <c r="E5"/>
  <c r="D6"/>
  <c r="F6" s="1"/>
  <c r="E6"/>
  <c r="D7"/>
  <c r="E7"/>
  <c r="F7"/>
  <c r="D8"/>
  <c r="E8"/>
  <c r="F8"/>
  <c r="D9"/>
  <c r="F9" s="1"/>
  <c r="E9"/>
  <c r="D10"/>
  <c r="F10" s="1"/>
  <c r="E10"/>
  <c r="D11"/>
  <c r="E11"/>
  <c r="F11"/>
  <c r="D12"/>
  <c r="E12"/>
  <c r="F12"/>
  <c r="D13"/>
  <c r="F13" s="1"/>
  <c r="E13"/>
  <c r="D14"/>
  <c r="F14" s="1"/>
  <c r="E14"/>
  <c r="D15"/>
  <c r="E15"/>
  <c r="F15"/>
  <c r="D16"/>
  <c r="E16"/>
  <c r="F16"/>
  <c r="D17"/>
  <c r="F17" s="1"/>
  <c r="E17"/>
  <c r="D18"/>
  <c r="F18" s="1"/>
  <c r="E18"/>
  <c r="D19"/>
  <c r="E19"/>
  <c r="F19"/>
  <c r="D20"/>
  <c r="E20"/>
  <c r="F20"/>
  <c r="D21"/>
  <c r="F21" s="1"/>
  <c r="E21"/>
  <c r="D22"/>
  <c r="F22" s="1"/>
  <c r="E22"/>
  <c r="D3" i="69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H2" i="68"/>
  <c r="H2" i="67"/>
  <c r="C14" i="66"/>
  <c r="D14"/>
  <c r="E14"/>
  <c r="F14"/>
  <c r="G14"/>
  <c r="H14"/>
  <c r="C15"/>
  <c r="D15"/>
  <c r="E15"/>
  <c r="F15"/>
  <c r="G15"/>
  <c r="H15"/>
  <c r="C16"/>
  <c r="D16"/>
  <c r="E16"/>
  <c r="F16"/>
  <c r="G16"/>
  <c r="H16"/>
  <c r="C17"/>
  <c r="D17"/>
  <c r="E17"/>
  <c r="F17"/>
  <c r="G17"/>
  <c r="H17"/>
  <c r="C18"/>
  <c r="D18"/>
  <c r="E18"/>
  <c r="F18"/>
  <c r="G18"/>
  <c r="H18"/>
  <c r="C19"/>
  <c r="D19"/>
  <c r="E19"/>
  <c r="F19"/>
  <c r="G19"/>
  <c r="H19"/>
  <c r="C20"/>
  <c r="D20"/>
  <c r="E20"/>
  <c r="F20"/>
  <c r="G20"/>
  <c r="H20"/>
  <c r="C21"/>
  <c r="D21"/>
  <c r="E21"/>
  <c r="F21"/>
  <c r="G21"/>
  <c r="H21"/>
  <c r="C22"/>
  <c r="D22"/>
  <c r="E22"/>
  <c r="F22"/>
  <c r="G22"/>
  <c r="H22"/>
  <c r="C3" i="65"/>
  <c r="F3"/>
  <c r="I3"/>
  <c r="C4"/>
  <c r="F4"/>
  <c r="I4"/>
  <c r="C5"/>
  <c r="F5"/>
  <c r="I5"/>
  <c r="C6"/>
  <c r="F6"/>
  <c r="I6"/>
  <c r="C7"/>
  <c r="F7"/>
  <c r="I7"/>
  <c r="C8"/>
  <c r="F8"/>
  <c r="I8"/>
  <c r="C9"/>
  <c r="F9"/>
  <c r="I9"/>
  <c r="C10"/>
  <c r="F10"/>
  <c r="I10"/>
  <c r="C11"/>
  <c r="F11"/>
  <c r="I11"/>
  <c r="C12"/>
  <c r="F12"/>
  <c r="I12"/>
  <c r="C13"/>
  <c r="F13"/>
  <c r="I13"/>
  <c r="C14"/>
  <c r="F14"/>
  <c r="I14"/>
  <c r="C15"/>
  <c r="F15"/>
  <c r="I15"/>
  <c r="C16"/>
  <c r="F16"/>
  <c r="I16"/>
  <c r="C17"/>
  <c r="F17"/>
  <c r="I17"/>
  <c r="C18"/>
  <c r="F18"/>
  <c r="I18"/>
  <c r="C19"/>
  <c r="F19"/>
  <c r="I19"/>
  <c r="E4" i="64"/>
  <c r="F4"/>
  <c r="E5"/>
  <c r="F5"/>
  <c r="E6"/>
  <c r="F6"/>
  <c r="E7"/>
  <c r="F7"/>
  <c r="D4" i="63"/>
  <c r="D5"/>
  <c r="D6"/>
  <c r="D7"/>
  <c r="D8"/>
  <c r="D9"/>
  <c r="D10"/>
  <c r="D11"/>
  <c r="D12"/>
  <c r="D13"/>
  <c r="D14"/>
  <c r="D15"/>
  <c r="D16"/>
  <c r="D17"/>
  <c r="D18"/>
  <c r="D19"/>
  <c r="D20"/>
  <c r="C5" i="62"/>
  <c r="C6"/>
  <c r="C7"/>
  <c r="C4" i="61"/>
  <c r="D4"/>
  <c r="E4"/>
  <c r="F4"/>
  <c r="G4"/>
  <c r="H4"/>
  <c r="I4"/>
  <c r="C5"/>
  <c r="D5"/>
  <c r="E5"/>
  <c r="F5"/>
  <c r="G5"/>
  <c r="H5"/>
  <c r="I5"/>
  <c r="C6"/>
  <c r="D6"/>
  <c r="E6"/>
  <c r="F6"/>
  <c r="G6"/>
  <c r="H6"/>
  <c r="I6"/>
  <c r="C7"/>
  <c r="D7"/>
  <c r="E7"/>
  <c r="F7"/>
  <c r="G7"/>
  <c r="H7"/>
  <c r="I7"/>
  <c r="C8"/>
  <c r="D8"/>
  <c r="E8"/>
  <c r="F8"/>
  <c r="G8"/>
  <c r="H8"/>
  <c r="I8"/>
  <c r="C9"/>
  <c r="D9"/>
  <c r="E9"/>
  <c r="F9"/>
  <c r="G9"/>
  <c r="H9"/>
  <c r="I9"/>
  <c r="C10"/>
  <c r="D10"/>
  <c r="E10"/>
  <c r="F10"/>
  <c r="G10"/>
  <c r="H10"/>
  <c r="I10"/>
  <c r="C11"/>
  <c r="D11"/>
  <c r="E11"/>
  <c r="F11"/>
  <c r="G11"/>
  <c r="H11"/>
  <c r="I11"/>
  <c r="C12"/>
  <c r="D12"/>
  <c r="E12"/>
  <c r="F12"/>
  <c r="G12"/>
  <c r="H12"/>
  <c r="I12"/>
  <c r="C13"/>
  <c r="D13"/>
  <c r="E13"/>
  <c r="F13"/>
  <c r="G13"/>
  <c r="H13"/>
  <c r="I13"/>
  <c r="C14"/>
  <c r="D14"/>
  <c r="E14"/>
  <c r="F14"/>
  <c r="G14"/>
  <c r="H14"/>
  <c r="I14"/>
  <c r="C15"/>
  <c r="D15"/>
  <c r="E15"/>
  <c r="F15"/>
  <c r="G15"/>
  <c r="H15"/>
  <c r="I15"/>
  <c r="C16"/>
  <c r="D16"/>
  <c r="E16"/>
  <c r="F16"/>
  <c r="G16"/>
  <c r="H16"/>
  <c r="I16"/>
  <c r="C17"/>
  <c r="D17"/>
  <c r="E17"/>
  <c r="F17"/>
  <c r="G17"/>
  <c r="H17"/>
  <c r="I17"/>
  <c r="C18"/>
  <c r="D18"/>
  <c r="E18"/>
  <c r="F18"/>
  <c r="G18"/>
  <c r="H18"/>
  <c r="I18"/>
  <c r="C19"/>
  <c r="D19"/>
  <c r="E19"/>
  <c r="F19"/>
  <c r="G19"/>
  <c r="H19"/>
  <c r="I19"/>
  <c r="C20"/>
  <c r="D20"/>
  <c r="E20"/>
  <c r="F20"/>
  <c r="G20"/>
  <c r="H20"/>
  <c r="I20"/>
  <c r="C21"/>
  <c r="D21"/>
  <c r="E21"/>
  <c r="F21"/>
  <c r="G21"/>
  <c r="H21"/>
  <c r="I21"/>
  <c r="C22"/>
  <c r="D22"/>
  <c r="E22"/>
  <c r="F22"/>
  <c r="G22"/>
  <c r="H22"/>
  <c r="I22"/>
  <c r="C23"/>
  <c r="D23"/>
  <c r="E23"/>
  <c r="F23"/>
  <c r="G23"/>
  <c r="H23"/>
  <c r="I23"/>
  <c r="C24"/>
  <c r="D24"/>
  <c r="E24"/>
  <c r="F24"/>
  <c r="G24"/>
  <c r="H24"/>
  <c r="I24"/>
  <c r="C25"/>
  <c r="D25"/>
  <c r="E25"/>
  <c r="F25"/>
  <c r="G25"/>
  <c r="H25"/>
  <c r="I25"/>
  <c r="C26"/>
  <c r="D26"/>
  <c r="E26"/>
  <c r="F26"/>
  <c r="G26"/>
  <c r="H26"/>
  <c r="I26"/>
  <c r="C27"/>
  <c r="D27"/>
  <c r="E27"/>
  <c r="F27"/>
  <c r="G27"/>
  <c r="H27"/>
  <c r="I27"/>
  <c r="C6" i="60"/>
  <c r="D6"/>
  <c r="E6"/>
  <c r="F6"/>
  <c r="G6"/>
  <c r="H6"/>
  <c r="I6"/>
  <c r="C7"/>
  <c r="D7"/>
  <c r="E7"/>
  <c r="F7"/>
  <c r="G7"/>
  <c r="H7"/>
  <c r="I7"/>
  <c r="C8"/>
  <c r="D8"/>
  <c r="E8"/>
  <c r="F8"/>
  <c r="G8"/>
  <c r="H8"/>
  <c r="I8"/>
  <c r="C9"/>
  <c r="D9"/>
  <c r="E9"/>
  <c r="F9"/>
  <c r="G9"/>
  <c r="H9"/>
  <c r="I9"/>
  <c r="C10"/>
  <c r="D10"/>
  <c r="E10"/>
  <c r="F10"/>
  <c r="G10"/>
  <c r="H10"/>
  <c r="I10"/>
  <c r="C11"/>
  <c r="D11"/>
  <c r="E11"/>
  <c r="F11"/>
  <c r="G11"/>
  <c r="H11"/>
  <c r="I11"/>
  <c r="C12"/>
  <c r="D12"/>
  <c r="E12"/>
  <c r="F12"/>
  <c r="G12"/>
  <c r="H12"/>
  <c r="I12"/>
  <c r="C13"/>
  <c r="D13"/>
  <c r="E13"/>
  <c r="F13"/>
  <c r="G13"/>
  <c r="H13"/>
  <c r="I13"/>
  <c r="C14"/>
  <c r="D14"/>
  <c r="E14"/>
  <c r="F14"/>
  <c r="G14"/>
  <c r="H14"/>
  <c r="I14"/>
  <c r="C15"/>
  <c r="D15"/>
  <c r="E15"/>
  <c r="F15"/>
  <c r="G15"/>
  <c r="H15"/>
  <c r="I15"/>
  <c r="C16"/>
  <c r="D16"/>
  <c r="E16"/>
  <c r="F16"/>
  <c r="G16"/>
  <c r="H16"/>
  <c r="I16"/>
  <c r="C17"/>
  <c r="D17"/>
  <c r="E17"/>
  <c r="F17"/>
  <c r="G17"/>
  <c r="H17"/>
  <c r="I17"/>
  <c r="C18"/>
  <c r="D18"/>
  <c r="E18"/>
  <c r="F18"/>
  <c r="G18"/>
  <c r="H18"/>
  <c r="I18"/>
  <c r="C19"/>
  <c r="D19"/>
  <c r="E19"/>
  <c r="F19"/>
  <c r="G19"/>
  <c r="H19"/>
  <c r="I19"/>
  <c r="C20"/>
  <c r="D20"/>
  <c r="E20"/>
  <c r="F20"/>
  <c r="G20"/>
  <c r="H20"/>
  <c r="I20"/>
  <c r="C21"/>
  <c r="D21"/>
  <c r="E21"/>
  <c r="F21"/>
  <c r="G21"/>
  <c r="H21"/>
  <c r="I21"/>
  <c r="C22"/>
  <c r="D22"/>
  <c r="E22"/>
  <c r="F22"/>
  <c r="G22"/>
  <c r="H22"/>
  <c r="I22"/>
  <c r="C23"/>
  <c r="D23"/>
  <c r="E23"/>
  <c r="F23"/>
  <c r="G23"/>
  <c r="H23"/>
  <c r="I23"/>
  <c r="C24"/>
  <c r="D24"/>
  <c r="E24"/>
  <c r="F24"/>
  <c r="G24"/>
  <c r="H24"/>
  <c r="I24"/>
  <c r="C25"/>
  <c r="D25"/>
  <c r="E25"/>
  <c r="F25"/>
  <c r="G25"/>
  <c r="H25"/>
  <c r="I25"/>
  <c r="C26"/>
  <c r="D26"/>
  <c r="E26"/>
  <c r="F26"/>
  <c r="G26"/>
  <c r="H26"/>
  <c r="I26"/>
  <c r="C27"/>
  <c r="D27"/>
  <c r="E27"/>
  <c r="F27"/>
  <c r="G27"/>
  <c r="H27"/>
  <c r="I27"/>
  <c r="C28"/>
  <c r="D28"/>
  <c r="E28"/>
  <c r="F28"/>
  <c r="G28"/>
  <c r="H28"/>
  <c r="I28"/>
  <c r="C29"/>
  <c r="D29"/>
  <c r="E29"/>
  <c r="F29"/>
  <c r="G29"/>
  <c r="H29"/>
  <c r="I29"/>
  <c r="C3" i="59"/>
  <c r="C4"/>
  <c r="C5"/>
  <c r="C6"/>
  <c r="C7"/>
  <c r="C8"/>
  <c r="C9"/>
  <c r="C10"/>
  <c r="C11"/>
  <c r="C3" i="58"/>
  <c r="C4"/>
  <c r="C5"/>
  <c r="C6"/>
  <c r="C7"/>
  <c r="C8"/>
  <c r="C9"/>
  <c r="C10"/>
  <c r="C11"/>
  <c r="C12"/>
  <c r="C13"/>
  <c r="C14"/>
  <c r="C3" i="57"/>
  <c r="C4"/>
  <c r="C5"/>
  <c r="C6"/>
  <c r="C7"/>
  <c r="C8"/>
  <c r="C9"/>
  <c r="C10"/>
  <c r="C11"/>
  <c r="C12"/>
  <c r="C13"/>
  <c r="C14"/>
  <c r="C3" i="56"/>
  <c r="C4"/>
  <c r="C5"/>
  <c r="C6"/>
  <c r="C7"/>
  <c r="C8"/>
  <c r="C9"/>
  <c r="C10"/>
  <c r="C11"/>
  <c r="C12"/>
  <c r="C13"/>
  <c r="C14"/>
  <c r="C15"/>
  <c r="C16"/>
  <c r="C17"/>
  <c r="C18"/>
  <c r="C3" i="55"/>
  <c r="C4"/>
  <c r="C5"/>
  <c r="C6"/>
  <c r="C7"/>
  <c r="C8"/>
  <c r="C9"/>
  <c r="C10"/>
  <c r="C11"/>
  <c r="C12"/>
  <c r="C13"/>
  <c r="C14"/>
  <c r="C15"/>
  <c r="C16"/>
  <c r="C17"/>
  <c r="C18"/>
  <c r="B3" i="54"/>
  <c r="C3"/>
  <c r="B4" i="53"/>
  <c r="B5"/>
  <c r="B6"/>
  <c r="B7"/>
  <c r="B8"/>
  <c r="B9"/>
  <c r="B10"/>
  <c r="B11"/>
  <c r="B12"/>
  <c r="B13"/>
  <c r="B14"/>
  <c r="B15"/>
  <c r="B4" i="52"/>
  <c r="C4" s="1"/>
  <c r="B5"/>
  <c r="C5" s="1"/>
  <c r="B6"/>
  <c r="C6" s="1"/>
  <c r="B7"/>
  <c r="C7" s="1"/>
  <c r="B8"/>
  <c r="C8" s="1"/>
  <c r="B9"/>
  <c r="C9" s="1"/>
  <c r="B10"/>
  <c r="C10" s="1"/>
  <c r="B11"/>
  <c r="C11" s="1"/>
  <c r="B12"/>
  <c r="C12" s="1"/>
  <c r="B13"/>
  <c r="C13" s="1"/>
  <c r="B14"/>
  <c r="C14" s="1"/>
  <c r="B15"/>
  <c r="C15" s="1"/>
  <c r="C5" i="51"/>
  <c r="C6"/>
  <c r="C7"/>
  <c r="C8"/>
  <c r="C9"/>
  <c r="E4" i="48"/>
  <c r="D4" i="47"/>
  <c r="D5"/>
  <c r="D6"/>
  <c r="D7"/>
  <c r="D8"/>
  <c r="D9"/>
  <c r="C4" i="46"/>
  <c r="E13"/>
  <c r="C3" i="45"/>
  <c r="C5"/>
  <c r="E3" i="44"/>
  <c r="E4"/>
  <c r="E5"/>
  <c r="E6"/>
  <c r="E7"/>
  <c r="E8"/>
  <c r="E9"/>
  <c r="E10"/>
  <c r="E11"/>
  <c r="E12"/>
  <c r="E3" i="43"/>
  <c r="E4"/>
  <c r="E5"/>
  <c r="E6"/>
  <c r="E7"/>
  <c r="E8"/>
  <c r="E9"/>
  <c r="E10"/>
  <c r="E11"/>
  <c r="E12"/>
  <c r="C4" i="42"/>
  <c r="C5"/>
  <c r="C6"/>
  <c r="C7"/>
  <c r="C8"/>
  <c r="C9"/>
  <c r="C10"/>
  <c r="C11"/>
  <c r="C12"/>
  <c r="C13"/>
  <c r="C3" i="41"/>
  <c r="C4"/>
  <c r="C5"/>
  <c r="C6"/>
  <c r="C7"/>
  <c r="C8"/>
  <c r="B3" i="40"/>
  <c r="B4"/>
  <c r="B5"/>
  <c r="B6"/>
  <c r="B7"/>
  <c r="B8"/>
  <c r="C4" i="39"/>
  <c r="C4" i="38"/>
  <c r="E4"/>
  <c r="C5"/>
  <c r="E5"/>
  <c r="C6"/>
  <c r="E6"/>
  <c r="C3" i="37"/>
  <c r="C4"/>
  <c r="C5"/>
  <c r="C6"/>
  <c r="C7"/>
  <c r="C3" i="36"/>
  <c r="C4"/>
  <c r="C5"/>
  <c r="C6"/>
  <c r="C7"/>
  <c r="B4" i="35"/>
  <c r="B5"/>
  <c r="B9"/>
  <c r="B10"/>
  <c r="B14"/>
  <c r="B15"/>
  <c r="B16"/>
  <c r="C4" i="34"/>
  <c r="C5"/>
  <c r="C6"/>
  <c r="C7"/>
  <c r="C6" i="33"/>
  <c r="C7"/>
  <c r="C8"/>
  <c r="C10"/>
  <c r="D3" i="32"/>
  <c r="D4"/>
  <c r="D5"/>
  <c r="D6"/>
  <c r="D7"/>
  <c r="D8"/>
  <c r="D9"/>
  <c r="D10"/>
  <c r="D11"/>
  <c r="D12"/>
  <c r="B6" i="50"/>
  <c r="B10"/>
  <c r="B14"/>
  <c r="B18"/>
  <c r="B22"/>
  <c r="B26"/>
  <c r="B30"/>
  <c r="B34"/>
  <c r="B38"/>
  <c r="B42"/>
  <c r="B46"/>
  <c r="B50"/>
  <c r="B54"/>
  <c r="B58"/>
  <c r="B62"/>
  <c r="B66"/>
  <c r="B70"/>
  <c r="B74"/>
  <c r="B78"/>
  <c r="B82"/>
  <c r="B86"/>
  <c r="B90"/>
  <c r="B94"/>
  <c r="B98"/>
  <c r="B102"/>
  <c r="B106"/>
  <c r="B110"/>
  <c r="B114"/>
  <c r="B118"/>
  <c r="B122"/>
  <c r="B126"/>
  <c r="B130"/>
  <c r="B134"/>
  <c r="B138"/>
  <c r="B142"/>
  <c r="B146"/>
  <c r="B150"/>
  <c r="B154"/>
  <c r="B158"/>
  <c r="B162"/>
  <c r="B166"/>
  <c r="B170"/>
  <c r="B174"/>
  <c r="B178"/>
  <c r="B182"/>
  <c r="B186"/>
  <c r="B190"/>
  <c r="B194"/>
  <c r="B198"/>
  <c r="B202"/>
  <c r="B206"/>
  <c r="B210"/>
  <c r="B214"/>
  <c r="B218"/>
  <c r="B222"/>
  <c r="B226"/>
  <c r="B230"/>
  <c r="B234"/>
  <c r="B238"/>
  <c r="B242"/>
  <c r="B246"/>
  <c r="B250"/>
  <c r="B254"/>
  <c r="B5"/>
  <c r="B9"/>
  <c r="B13"/>
  <c r="B17"/>
  <c r="B21"/>
  <c r="B25"/>
  <c r="B29"/>
  <c r="B33"/>
  <c r="B37"/>
  <c r="B41"/>
  <c r="B45"/>
  <c r="B49"/>
  <c r="B53"/>
  <c r="B57"/>
  <c r="B61"/>
  <c r="B65"/>
  <c r="B69"/>
  <c r="B73"/>
  <c r="B77"/>
  <c r="B81"/>
  <c r="B85"/>
  <c r="B89"/>
  <c r="B93"/>
  <c r="B97"/>
  <c r="B101"/>
  <c r="B105"/>
  <c r="B109"/>
  <c r="B113"/>
  <c r="B117"/>
  <c r="B121"/>
  <c r="B125"/>
  <c r="B129"/>
  <c r="B133"/>
  <c r="B137"/>
  <c r="B141"/>
  <c r="B145"/>
  <c r="B149"/>
  <c r="B153"/>
  <c r="B157"/>
  <c r="B161"/>
  <c r="B165"/>
  <c r="B169"/>
  <c r="B173"/>
  <c r="B177"/>
  <c r="B181"/>
  <c r="B185"/>
  <c r="B189"/>
  <c r="B193"/>
  <c r="B197"/>
  <c r="B201"/>
  <c r="B205"/>
  <c r="B209"/>
  <c r="B213"/>
  <c r="B217"/>
  <c r="B221"/>
  <c r="B225"/>
  <c r="B229"/>
  <c r="B233"/>
  <c r="B237"/>
  <c r="B241"/>
  <c r="B245"/>
  <c r="B249"/>
  <c r="B253"/>
  <c r="B4"/>
  <c r="B8"/>
  <c r="B12"/>
  <c r="B16"/>
  <c r="B20"/>
  <c r="B24"/>
  <c r="B28"/>
  <c r="B32"/>
  <c r="B36"/>
  <c r="B40"/>
  <c r="B44"/>
  <c r="B48"/>
  <c r="B52"/>
  <c r="B56"/>
  <c r="B60"/>
  <c r="B64"/>
  <c r="B68"/>
  <c r="B72"/>
  <c r="B76"/>
  <c r="B80"/>
  <c r="B84"/>
  <c r="B88"/>
  <c r="B92"/>
  <c r="B96"/>
  <c r="B100"/>
  <c r="B104"/>
  <c r="B108"/>
  <c r="B112"/>
  <c r="B116"/>
  <c r="B120"/>
  <c r="B124"/>
  <c r="B128"/>
  <c r="B132"/>
  <c r="B136"/>
  <c r="B140"/>
  <c r="B144"/>
  <c r="B148"/>
  <c r="B152"/>
  <c r="B156"/>
  <c r="B160"/>
  <c r="B164"/>
  <c r="B168"/>
  <c r="B172"/>
  <c r="B176"/>
  <c r="B180"/>
  <c r="B184"/>
  <c r="B188"/>
  <c r="B192"/>
  <c r="B196"/>
  <c r="B200"/>
  <c r="B204"/>
  <c r="B208"/>
  <c r="B212"/>
  <c r="B216"/>
  <c r="B220"/>
  <c r="B224"/>
  <c r="B228"/>
  <c r="B232"/>
  <c r="B236"/>
  <c r="B240"/>
  <c r="B244"/>
  <c r="B248"/>
  <c r="B252"/>
  <c r="B7"/>
  <c r="B11"/>
  <c r="B15"/>
  <c r="B19"/>
  <c r="B23"/>
  <c r="B27"/>
  <c r="B31"/>
  <c r="B35"/>
  <c r="B39"/>
  <c r="B43"/>
  <c r="B47"/>
  <c r="B51"/>
  <c r="B55"/>
  <c r="B59"/>
  <c r="B63"/>
  <c r="B67"/>
  <c r="B71"/>
  <c r="B75"/>
  <c r="B79"/>
  <c r="B83"/>
  <c r="B87"/>
  <c r="B91"/>
  <c r="B95"/>
  <c r="B99"/>
  <c r="B103"/>
  <c r="B107"/>
  <c r="B111"/>
  <c r="B115"/>
  <c r="B119"/>
  <c r="B123"/>
  <c r="B127"/>
  <c r="B131"/>
  <c r="B135"/>
  <c r="B139"/>
  <c r="B143"/>
  <c r="B147"/>
  <c r="B151"/>
  <c r="B155"/>
  <c r="B159"/>
  <c r="B163"/>
  <c r="B167"/>
  <c r="B171"/>
  <c r="B175"/>
  <c r="B179"/>
  <c r="B183"/>
  <c r="B187"/>
  <c r="B191"/>
  <c r="B195"/>
  <c r="B199"/>
  <c r="B203"/>
  <c r="B207"/>
  <c r="B211"/>
  <c r="B215"/>
  <c r="B219"/>
  <c r="B223"/>
  <c r="B227"/>
  <c r="B231"/>
  <c r="B235"/>
  <c r="B239"/>
  <c r="B243"/>
  <c r="B247"/>
  <c r="B251"/>
  <c r="F4" i="49"/>
  <c r="G10" i="131" l="1"/>
  <c r="E7" i="145"/>
  <c r="K13" i="132"/>
  <c r="D69" i="136"/>
  <c r="E69" s="1"/>
  <c r="D65"/>
  <c r="E65" s="1"/>
  <c r="D68"/>
  <c r="E68" s="1"/>
  <c r="K10" i="132"/>
  <c r="D5" i="131"/>
  <c r="D7"/>
  <c r="D10"/>
  <c r="D13"/>
  <c r="D17"/>
  <c r="D21"/>
  <c r="D12"/>
  <c r="D16"/>
  <c r="D20"/>
  <c r="D8"/>
  <c r="D14"/>
  <c r="D22"/>
  <c r="D3"/>
  <c r="D18"/>
  <c r="D4"/>
  <c r="D6"/>
  <c r="D9"/>
  <c r="D11"/>
  <c r="D15"/>
  <c r="D19"/>
  <c r="D73" i="136"/>
  <c r="E73" s="1"/>
  <c r="D67"/>
  <c r="E67" s="1"/>
  <c r="D70"/>
  <c r="E70" s="1"/>
  <c r="D71"/>
  <c r="E71" s="1"/>
  <c r="D72"/>
  <c r="E72" s="1"/>
  <c r="D64"/>
  <c r="E64" s="1"/>
  <c r="D63"/>
  <c r="E63" s="1"/>
  <c r="D74"/>
  <c r="E74" s="1"/>
  <c r="K9" i="132"/>
  <c r="G12" i="107"/>
  <c r="F12" s="1"/>
  <c r="H12" s="1"/>
  <c r="H12" i="109"/>
  <c r="G14"/>
  <c r="D15"/>
  <c r="H12" i="108"/>
  <c r="F12" s="1"/>
  <c r="I12" s="1"/>
  <c r="C27" i="100"/>
  <c r="D14" i="108"/>
  <c r="G13"/>
  <c r="C9" i="106"/>
  <c r="F12" i="109"/>
  <c r="I12" s="1"/>
  <c r="D5" i="106"/>
  <c r="F5" s="1"/>
  <c r="D16" i="87"/>
  <c r="D18"/>
  <c r="O3" i="81"/>
  <c r="B6" i="76"/>
  <c r="C7" i="54"/>
  <c r="B7"/>
  <c r="D12" i="132" l="1"/>
  <c r="D18"/>
  <c r="D22"/>
  <c r="D4"/>
  <c r="D6"/>
  <c r="D9"/>
  <c r="D11"/>
  <c r="D14"/>
  <c r="D17"/>
  <c r="D21"/>
  <c r="D7"/>
  <c r="D13"/>
  <c r="D19"/>
  <c r="D5"/>
  <c r="D10"/>
  <c r="D15"/>
  <c r="D3"/>
  <c r="D8"/>
  <c r="D16"/>
  <c r="D20"/>
  <c r="H13" i="108"/>
  <c r="F13" s="1"/>
  <c r="I13" s="1"/>
  <c r="G13" i="107"/>
  <c r="F13" s="1"/>
  <c r="H13" s="1"/>
  <c r="H13" i="109"/>
  <c r="F13" s="1"/>
  <c r="I13" s="1"/>
  <c r="G15"/>
  <c r="D16"/>
  <c r="C10" i="106"/>
  <c r="E6"/>
  <c r="G14" i="108"/>
  <c r="D15"/>
  <c r="B7" i="76"/>
  <c r="H14" i="108" l="1"/>
  <c r="F14" s="1"/>
  <c r="I14" s="1"/>
  <c r="H14" i="107"/>
  <c r="G14"/>
  <c r="F14" s="1"/>
  <c r="H14" i="109"/>
  <c r="F14" s="1"/>
  <c r="I14" s="1"/>
  <c r="C11" i="106"/>
  <c r="G15" i="108"/>
  <c r="D16"/>
  <c r="D6" i="106"/>
  <c r="F6" s="1"/>
  <c r="G16" i="109"/>
  <c r="D17"/>
  <c r="B8" i="76"/>
  <c r="H15" i="108" l="1"/>
  <c r="F15" s="1"/>
  <c r="I15" s="1"/>
  <c r="I15" i="109"/>
  <c r="H15"/>
  <c r="F15" s="1"/>
  <c r="G17"/>
  <c r="D18"/>
  <c r="E7" i="106"/>
  <c r="C12"/>
  <c r="G15" i="107"/>
  <c r="F15" s="1"/>
  <c r="H15" s="1"/>
  <c r="G16" i="108"/>
  <c r="D17"/>
  <c r="B9" i="76"/>
  <c r="H16" i="108" l="1"/>
  <c r="F16" s="1"/>
  <c r="I16" s="1"/>
  <c r="H16" i="107"/>
  <c r="G16"/>
  <c r="F16" s="1"/>
  <c r="G18" i="109"/>
  <c r="D19"/>
  <c r="D18" i="108"/>
  <c r="G17"/>
  <c r="I16" i="109"/>
  <c r="H16"/>
  <c r="F16" s="1"/>
  <c r="C13" i="106"/>
  <c r="D7"/>
  <c r="F7" s="1"/>
  <c r="B10" i="76"/>
  <c r="H17" i="108" l="1"/>
  <c r="F17" s="1"/>
  <c r="I17" s="1"/>
  <c r="E8" i="106"/>
  <c r="H17" i="109"/>
  <c r="F17" s="1"/>
  <c r="I17" s="1"/>
  <c r="G19"/>
  <c r="D20"/>
  <c r="C14" i="106"/>
  <c r="G18" i="108"/>
  <c r="D19"/>
  <c r="G17" i="107"/>
  <c r="F17" s="1"/>
  <c r="H17"/>
  <c r="B11" i="76"/>
  <c r="H18" i="108" l="1"/>
  <c r="F18" s="1"/>
  <c r="I18" s="1"/>
  <c r="I18" i="109"/>
  <c r="H18"/>
  <c r="F18" s="1"/>
  <c r="G18" i="107"/>
  <c r="F18" s="1"/>
  <c r="H18" s="1"/>
  <c r="G19" i="108"/>
  <c r="D20"/>
  <c r="G20" i="109"/>
  <c r="D21"/>
  <c r="D8" i="106"/>
  <c r="F8" s="1"/>
  <c r="B12" i="76"/>
  <c r="H19" i="108" l="1"/>
  <c r="F19" s="1"/>
  <c r="I19" s="1"/>
  <c r="G19" i="107"/>
  <c r="F19" s="1"/>
  <c r="H19" s="1"/>
  <c r="G20" i="108"/>
  <c r="D21"/>
  <c r="G21" i="109"/>
  <c r="D22"/>
  <c r="H19"/>
  <c r="F19" s="1"/>
  <c r="I19" s="1"/>
  <c r="E9" i="106"/>
  <c r="D9" s="1"/>
  <c r="F9" s="1"/>
  <c r="B13" i="76"/>
  <c r="B14" s="1"/>
  <c r="B15" s="1"/>
  <c r="B16" s="1"/>
  <c r="B17" s="1"/>
  <c r="B18" s="1"/>
  <c r="B19" s="1"/>
  <c r="B20" s="1"/>
  <c r="F7" s="1"/>
  <c r="F10"/>
  <c r="F9"/>
  <c r="F11"/>
  <c r="H20" i="108" l="1"/>
  <c r="F20" s="1"/>
  <c r="I20" s="1"/>
  <c r="H20" i="107"/>
  <c r="G20"/>
  <c r="F20" s="1"/>
  <c r="H20" i="109"/>
  <c r="F20" s="1"/>
  <c r="I20" s="1"/>
  <c r="E10" i="106"/>
  <c r="D10" s="1"/>
  <c r="F10" s="1"/>
  <c r="D22" i="108"/>
  <c r="G21"/>
  <c r="G22" i="109"/>
  <c r="D23"/>
  <c r="E11" i="106" l="1"/>
  <c r="D11" s="1"/>
  <c r="F11" s="1"/>
  <c r="I21" i="108"/>
  <c r="H21"/>
  <c r="F21" s="1"/>
  <c r="H21" i="109"/>
  <c r="F21" s="1"/>
  <c r="I21" s="1"/>
  <c r="G22" i="108"/>
  <c r="D23"/>
  <c r="G21" i="107"/>
  <c r="F21" s="1"/>
  <c r="H21"/>
  <c r="G23" i="109"/>
  <c r="D24"/>
  <c r="E12" i="106" l="1"/>
  <c r="D12" s="1"/>
  <c r="F12" s="1"/>
  <c r="I22" i="109"/>
  <c r="H22"/>
  <c r="F22" s="1"/>
  <c r="G22" i="107"/>
  <c r="F22" s="1"/>
  <c r="H22"/>
  <c r="H22" i="108"/>
  <c r="F22" s="1"/>
  <c r="I22" s="1"/>
  <c r="G24" i="109"/>
  <c r="D25"/>
  <c r="D24" i="108"/>
  <c r="G23"/>
  <c r="E13" i="106" l="1"/>
  <c r="D13" s="1"/>
  <c r="F13" s="1"/>
  <c r="H23" i="108"/>
  <c r="F23" s="1"/>
  <c r="I23" s="1"/>
  <c r="G25" i="109"/>
  <c r="D26"/>
  <c r="G23" i="107"/>
  <c r="F23" s="1"/>
  <c r="H23" s="1"/>
  <c r="D25" i="108"/>
  <c r="G24"/>
  <c r="H23" i="109"/>
  <c r="F23" s="1"/>
  <c r="I23" s="1"/>
  <c r="G24" i="107" l="1"/>
  <c r="F24" s="1"/>
  <c r="H24" s="1"/>
  <c r="F14" i="106"/>
  <c r="E14"/>
  <c r="D14" s="1"/>
  <c r="H24" i="108"/>
  <c r="F24" s="1"/>
  <c r="I24"/>
  <c r="H24" i="109"/>
  <c r="F24" s="1"/>
  <c r="I24" s="1"/>
  <c r="D26" i="108"/>
  <c r="G25"/>
  <c r="G26" i="109"/>
  <c r="D27"/>
  <c r="G25" i="107" l="1"/>
  <c r="F25" s="1"/>
  <c r="H25" s="1"/>
  <c r="I25" i="109"/>
  <c r="H25"/>
  <c r="F25" s="1"/>
  <c r="D27" i="108"/>
  <c r="G26"/>
  <c r="H25"/>
  <c r="F25" s="1"/>
  <c r="I25" s="1"/>
  <c r="E15" i="106"/>
  <c r="G27" i="109"/>
  <c r="D28"/>
  <c r="G26" i="107" l="1"/>
  <c r="F26" s="1"/>
  <c r="H26" s="1"/>
  <c r="H26" i="108"/>
  <c r="F26" s="1"/>
  <c r="I26" s="1"/>
  <c r="D28"/>
  <c r="G27"/>
  <c r="I26" i="109"/>
  <c r="H26"/>
  <c r="F26" s="1"/>
  <c r="D15" i="106"/>
  <c r="F15" s="1"/>
  <c r="F17"/>
  <c r="F18" s="1"/>
  <c r="F23" s="1"/>
  <c r="F24" s="1"/>
  <c r="G28" i="109"/>
  <c r="D29"/>
  <c r="G27" i="107" l="1"/>
  <c r="F27" s="1"/>
  <c r="H27" s="1"/>
  <c r="H27" i="108"/>
  <c r="F27" s="1"/>
  <c r="I27" s="1"/>
  <c r="D29"/>
  <c r="G28"/>
  <c r="I27" i="109"/>
  <c r="H27"/>
  <c r="F27" s="1"/>
  <c r="G29"/>
  <c r="D30"/>
  <c r="G28" i="107" l="1"/>
  <c r="F28" s="1"/>
  <c r="H28" s="1"/>
  <c r="H28" i="108"/>
  <c r="F28" s="1"/>
  <c r="I28" s="1"/>
  <c r="D30"/>
  <c r="G29"/>
  <c r="G30" i="109"/>
  <c r="D31"/>
  <c r="H28"/>
  <c r="F28" s="1"/>
  <c r="I28" s="1"/>
  <c r="G29" i="107" l="1"/>
  <c r="F29" s="1"/>
  <c r="H29" s="1"/>
  <c r="H29" i="108"/>
  <c r="F29" s="1"/>
  <c r="I29" s="1"/>
  <c r="H29" i="109"/>
  <c r="F29" s="1"/>
  <c r="I29" s="1"/>
  <c r="D31" i="108"/>
  <c r="G30"/>
  <c r="G31" i="109"/>
  <c r="D32"/>
  <c r="G30" i="107" l="1"/>
  <c r="F30" s="1"/>
  <c r="H30" s="1"/>
  <c r="H30" i="108"/>
  <c r="F30" s="1"/>
  <c r="I30" s="1"/>
  <c r="H30" i="109"/>
  <c r="F30" s="1"/>
  <c r="I30" s="1"/>
  <c r="G32"/>
  <c r="D33"/>
  <c r="D32" i="108"/>
  <c r="G31"/>
  <c r="G31" i="107" l="1"/>
  <c r="F31" s="1"/>
  <c r="H31" s="1"/>
  <c r="H31" i="108"/>
  <c r="F31" s="1"/>
  <c r="I31" s="1"/>
  <c r="H31" i="109"/>
  <c r="F31" s="1"/>
  <c r="I31" s="1"/>
  <c r="D33" i="108"/>
  <c r="G32"/>
  <c r="G33" i="109"/>
  <c r="D34"/>
  <c r="G32" i="107" l="1"/>
  <c r="F32" s="1"/>
  <c r="H32" s="1"/>
  <c r="H32" i="108"/>
  <c r="F32" s="1"/>
  <c r="I32" s="1"/>
  <c r="H32" i="109"/>
  <c r="F32" s="1"/>
  <c r="I32" s="1"/>
  <c r="D34" i="108"/>
  <c r="G33"/>
  <c r="G34" i="109"/>
  <c r="D35"/>
  <c r="G33" i="107" l="1"/>
  <c r="F33" s="1"/>
  <c r="H33" s="1"/>
  <c r="H33" i="108"/>
  <c r="F33" s="1"/>
  <c r="I33" s="1"/>
  <c r="H33" i="109"/>
  <c r="F33" s="1"/>
  <c r="I33" s="1"/>
  <c r="G35"/>
  <c r="D36"/>
  <c r="D35" i="108"/>
  <c r="G34"/>
  <c r="G34" i="107" l="1"/>
  <c r="F34" s="1"/>
  <c r="H34" s="1"/>
  <c r="H34" i="108"/>
  <c r="F34" s="1"/>
  <c r="I34" s="1"/>
  <c r="H34" i="109"/>
  <c r="F34" s="1"/>
  <c r="I34" s="1"/>
  <c r="D36" i="108"/>
  <c r="G35"/>
  <c r="G36" i="109"/>
  <c r="D37"/>
  <c r="G35" i="107" l="1"/>
  <c r="F35" s="1"/>
  <c r="H35" s="1"/>
  <c r="H35" i="108"/>
  <c r="F35" s="1"/>
  <c r="I35" s="1"/>
  <c r="H35" i="109"/>
  <c r="F35" s="1"/>
  <c r="I35" s="1"/>
  <c r="G37"/>
  <c r="D38"/>
  <c r="D37" i="108"/>
  <c r="G36"/>
  <c r="G36" i="107" l="1"/>
  <c r="F36" s="1"/>
  <c r="H36" s="1"/>
  <c r="H36" i="108"/>
  <c r="F36" s="1"/>
  <c r="I36" s="1"/>
  <c r="H36" i="109"/>
  <c r="F36" s="1"/>
  <c r="I36" s="1"/>
  <c r="D38" i="108"/>
  <c r="G37"/>
  <c r="G38" i="109"/>
  <c r="D39"/>
  <c r="G37" i="107" l="1"/>
  <c r="F37" s="1"/>
  <c r="H37" s="1"/>
  <c r="H37" i="108"/>
  <c r="F37" s="1"/>
  <c r="I37" s="1"/>
  <c r="H37" i="109"/>
  <c r="F37" s="1"/>
  <c r="I37" s="1"/>
  <c r="G39"/>
  <c r="D40"/>
  <c r="D39" i="108"/>
  <c r="G38"/>
  <c r="G38" i="107" l="1"/>
  <c r="F38" s="1"/>
  <c r="H38" s="1"/>
  <c r="H38" i="108"/>
  <c r="F38" s="1"/>
  <c r="I38" s="1"/>
  <c r="H38" i="109"/>
  <c r="F38" s="1"/>
  <c r="I38" s="1"/>
  <c r="D40" i="108"/>
  <c r="G39"/>
  <c r="G40" i="109"/>
  <c r="D41"/>
  <c r="B12" i="28"/>
  <c r="B4"/>
  <c r="F9"/>
  <c r="F6"/>
  <c r="F4"/>
  <c r="I4" i="27"/>
  <c r="H4"/>
  <c r="C12"/>
  <c r="C5" i="26"/>
  <c r="C11"/>
  <c r="C6"/>
  <c r="C3" i="25"/>
  <c r="D3"/>
  <c r="E4" i="23"/>
  <c r="E5" i="22"/>
  <c r="E9"/>
  <c r="D3" i="21"/>
  <c r="D3" i="17"/>
  <c r="D3" i="29"/>
  <c r="E4" i="19"/>
  <c r="D4"/>
  <c r="E4" i="30"/>
  <c r="E4" i="18"/>
  <c r="D6" i="31"/>
  <c r="E5" i="20"/>
  <c r="G39" i="107" l="1"/>
  <c r="F39" s="1"/>
  <c r="H39" s="1"/>
  <c r="H39" i="108"/>
  <c r="F39" s="1"/>
  <c r="I39" s="1"/>
  <c r="H39" i="109"/>
  <c r="F39" s="1"/>
  <c r="I39" s="1"/>
  <c r="G41"/>
  <c r="D42"/>
  <c r="D41" i="108"/>
  <c r="G40"/>
  <c r="J9" i="28"/>
  <c r="F11"/>
  <c r="B8"/>
  <c r="G4"/>
  <c r="H4"/>
  <c r="I4"/>
  <c r="J4"/>
  <c r="K4"/>
  <c r="L4"/>
  <c r="M4"/>
  <c r="N4"/>
  <c r="O4"/>
  <c r="P4"/>
  <c r="Q4"/>
  <c r="G5"/>
  <c r="H5"/>
  <c r="I5"/>
  <c r="J5"/>
  <c r="K5"/>
  <c r="L5"/>
  <c r="M5"/>
  <c r="N5"/>
  <c r="O5"/>
  <c r="P5"/>
  <c r="Q5"/>
  <c r="G6"/>
  <c r="H6"/>
  <c r="I6"/>
  <c r="J6"/>
  <c r="K6"/>
  <c r="L6"/>
  <c r="M6"/>
  <c r="N6"/>
  <c r="O6"/>
  <c r="P6"/>
  <c r="Q6"/>
  <c r="G7"/>
  <c r="H7"/>
  <c r="I7"/>
  <c r="J7"/>
  <c r="K7"/>
  <c r="L7"/>
  <c r="M7"/>
  <c r="N7"/>
  <c r="O7"/>
  <c r="P7"/>
  <c r="Q7"/>
  <c r="G8"/>
  <c r="H8"/>
  <c r="I8"/>
  <c r="J8"/>
  <c r="K8"/>
  <c r="L8"/>
  <c r="M8"/>
  <c r="N8"/>
  <c r="O8"/>
  <c r="P8"/>
  <c r="Q8"/>
  <c r="G9"/>
  <c r="H9"/>
  <c r="I9"/>
  <c r="K9"/>
  <c r="L9"/>
  <c r="M9"/>
  <c r="N9"/>
  <c r="O9"/>
  <c r="P9"/>
  <c r="Q9"/>
  <c r="G10"/>
  <c r="H10"/>
  <c r="I10"/>
  <c r="J10"/>
  <c r="K10"/>
  <c r="L10"/>
  <c r="M10"/>
  <c r="N10"/>
  <c r="O10"/>
  <c r="P10"/>
  <c r="Q10"/>
  <c r="G11"/>
  <c r="H11"/>
  <c r="I11"/>
  <c r="J11"/>
  <c r="K11"/>
  <c r="L11"/>
  <c r="M11"/>
  <c r="N11"/>
  <c r="O11"/>
  <c r="P11"/>
  <c r="Q11"/>
  <c r="G12"/>
  <c r="H12"/>
  <c r="I12"/>
  <c r="J12"/>
  <c r="K12"/>
  <c r="L12"/>
  <c r="M12"/>
  <c r="N12"/>
  <c r="O12"/>
  <c r="P12"/>
  <c r="Q12"/>
  <c r="G13"/>
  <c r="H13"/>
  <c r="I13"/>
  <c r="J13"/>
  <c r="K13"/>
  <c r="L13"/>
  <c r="M13"/>
  <c r="N13"/>
  <c r="O13"/>
  <c r="P13"/>
  <c r="Q13"/>
  <c r="G14"/>
  <c r="H14"/>
  <c r="I14"/>
  <c r="J14"/>
  <c r="K14"/>
  <c r="L14"/>
  <c r="M14"/>
  <c r="N14"/>
  <c r="O14"/>
  <c r="P14"/>
  <c r="Q14"/>
  <c r="G15"/>
  <c r="H15"/>
  <c r="I15"/>
  <c r="J15"/>
  <c r="K15"/>
  <c r="L15"/>
  <c r="M15"/>
  <c r="N15"/>
  <c r="O15"/>
  <c r="P15"/>
  <c r="Q15"/>
  <c r="G16"/>
  <c r="H16"/>
  <c r="I16"/>
  <c r="J16"/>
  <c r="K16"/>
  <c r="L16"/>
  <c r="M16"/>
  <c r="N16"/>
  <c r="O16"/>
  <c r="P16"/>
  <c r="Q16"/>
  <c r="G17"/>
  <c r="H17"/>
  <c r="I17"/>
  <c r="J17"/>
  <c r="K17"/>
  <c r="L17"/>
  <c r="M17"/>
  <c r="N17"/>
  <c r="O17"/>
  <c r="P17"/>
  <c r="Q17"/>
  <c r="G18"/>
  <c r="H18"/>
  <c r="I18"/>
  <c r="J18"/>
  <c r="K18"/>
  <c r="L18"/>
  <c r="M18"/>
  <c r="N18"/>
  <c r="O18"/>
  <c r="P18"/>
  <c r="Q18"/>
  <c r="G19"/>
  <c r="H19"/>
  <c r="I19"/>
  <c r="J19"/>
  <c r="K19"/>
  <c r="L19"/>
  <c r="M19"/>
  <c r="N19"/>
  <c r="O19"/>
  <c r="P19"/>
  <c r="Q19"/>
  <c r="G20"/>
  <c r="H20"/>
  <c r="I20"/>
  <c r="J20"/>
  <c r="K20"/>
  <c r="L20"/>
  <c r="M20"/>
  <c r="N20"/>
  <c r="O20"/>
  <c r="P20"/>
  <c r="Q20"/>
  <c r="F5"/>
  <c r="F7"/>
  <c r="F8"/>
  <c r="F10"/>
  <c r="F12"/>
  <c r="F13"/>
  <c r="F14"/>
  <c r="F15"/>
  <c r="F16"/>
  <c r="F17"/>
  <c r="F18"/>
  <c r="F19"/>
  <c r="F20"/>
  <c r="G40" i="107" l="1"/>
  <c r="F40" s="1"/>
  <c r="H40" s="1"/>
  <c r="H40" i="108"/>
  <c r="F40" s="1"/>
  <c r="I40" s="1"/>
  <c r="H40" i="109"/>
  <c r="F40" s="1"/>
  <c r="I40" s="1"/>
  <c r="D42" i="108"/>
  <c r="G41"/>
  <c r="G42" i="109"/>
  <c r="D43"/>
  <c r="C7" i="26"/>
  <c r="C8"/>
  <c r="C9"/>
  <c r="C10"/>
  <c r="D12" i="27"/>
  <c r="E12"/>
  <c r="F12"/>
  <c r="I5"/>
  <c r="I6"/>
  <c r="I7"/>
  <c r="I8"/>
  <c r="H5"/>
  <c r="H6"/>
  <c r="H7"/>
  <c r="H8"/>
  <c r="G41" i="107" l="1"/>
  <c r="F41" s="1"/>
  <c r="H41" s="1"/>
  <c r="H41" i="108"/>
  <c r="F41" s="1"/>
  <c r="I41" s="1"/>
  <c r="H41" i="109"/>
  <c r="F41" s="1"/>
  <c r="I41" s="1"/>
  <c r="D43" i="108"/>
  <c r="G42"/>
  <c r="G43" i="109"/>
  <c r="D44"/>
  <c r="C8" i="24"/>
  <c r="C7"/>
  <c r="C6"/>
  <c r="C5"/>
  <c r="C3"/>
  <c r="C4"/>
  <c r="E5" i="23"/>
  <c r="E3"/>
  <c r="D4" i="21"/>
  <c r="D5"/>
  <c r="D6"/>
  <c r="D7"/>
  <c r="D8"/>
  <c r="D9"/>
  <c r="D10"/>
  <c r="D11"/>
  <c r="D12"/>
  <c r="D13"/>
  <c r="D14"/>
  <c r="E6" i="20"/>
  <c r="E7"/>
  <c r="E8"/>
  <c r="D7" i="31"/>
  <c r="D8"/>
  <c r="D9"/>
  <c r="E5" i="18"/>
  <c r="E6"/>
  <c r="E7"/>
  <c r="E7" i="30"/>
  <c r="E6"/>
  <c r="E5"/>
  <c r="D5" i="17"/>
  <c r="D4"/>
  <c r="D6"/>
  <c r="D4" i="29"/>
  <c r="D5"/>
  <c r="D6"/>
  <c r="G42" i="107" l="1"/>
  <c r="F42" s="1"/>
  <c r="H42" s="1"/>
  <c r="H42" i="108"/>
  <c r="F42" s="1"/>
  <c r="I42" s="1"/>
  <c r="H42" i="109"/>
  <c r="F42" s="1"/>
  <c r="I42" s="1"/>
  <c r="D44" i="108"/>
  <c r="G43"/>
  <c r="G44" i="109"/>
  <c r="D45"/>
  <c r="G43" i="107" l="1"/>
  <c r="F43" s="1"/>
  <c r="H43" s="1"/>
  <c r="H43" i="108"/>
  <c r="F43" s="1"/>
  <c r="I43" s="1"/>
  <c r="H43" i="109"/>
  <c r="F43" s="1"/>
  <c r="I43" s="1"/>
  <c r="G45"/>
  <c r="D46"/>
  <c r="D45" i="108"/>
  <c r="G44"/>
  <c r="G44" i="107" l="1"/>
  <c r="F44" s="1"/>
  <c r="H44" s="1"/>
  <c r="H44" i="108"/>
  <c r="F44" s="1"/>
  <c r="I44" s="1"/>
  <c r="H44" i="109"/>
  <c r="F44" s="1"/>
  <c r="I44" s="1"/>
  <c r="D46" i="108"/>
  <c r="G45"/>
  <c r="G46" i="109"/>
  <c r="D47"/>
  <c r="G45" i="107" l="1"/>
  <c r="F45" s="1"/>
  <c r="H45" s="1"/>
  <c r="H45" i="108"/>
  <c r="F45" s="1"/>
  <c r="I45" s="1"/>
  <c r="H45" i="109"/>
  <c r="F45" s="1"/>
  <c r="I45" s="1"/>
  <c r="G47"/>
  <c r="D48"/>
  <c r="D47" i="108"/>
  <c r="G46"/>
  <c r="G46" i="107" l="1"/>
  <c r="F46" s="1"/>
  <c r="H46" s="1"/>
  <c r="H46" i="108"/>
  <c r="F46" s="1"/>
  <c r="I46" s="1"/>
  <c r="H46" i="109"/>
  <c r="F46" s="1"/>
  <c r="I46" s="1"/>
  <c r="D48" i="108"/>
  <c r="G47"/>
  <c r="G48" i="109"/>
  <c r="D49"/>
  <c r="G47" i="107" l="1"/>
  <c r="F47" s="1"/>
  <c r="H47" s="1"/>
  <c r="H47" i="108"/>
  <c r="F47" s="1"/>
  <c r="I47" s="1"/>
  <c r="H47" i="109"/>
  <c r="F47" s="1"/>
  <c r="I47" s="1"/>
  <c r="G49"/>
  <c r="D50"/>
  <c r="D49" i="108"/>
  <c r="G48"/>
  <c r="G48" i="107" l="1"/>
  <c r="F48" s="1"/>
  <c r="H48" s="1"/>
  <c r="H48" i="108"/>
  <c r="F48" s="1"/>
  <c r="I48" s="1"/>
  <c r="H48" i="109"/>
  <c r="F48" s="1"/>
  <c r="I48" s="1"/>
  <c r="D50" i="108"/>
  <c r="G49"/>
  <c r="G50" i="109"/>
  <c r="D51"/>
  <c r="G49" i="107" l="1"/>
  <c r="F49" s="1"/>
  <c r="H49" s="1"/>
  <c r="H49" i="108"/>
  <c r="F49" s="1"/>
  <c r="I49" s="1"/>
  <c r="H49" i="109"/>
  <c r="F49" s="1"/>
  <c r="I49" s="1"/>
  <c r="G51"/>
  <c r="D52"/>
  <c r="D51" i="108"/>
  <c r="G50"/>
  <c r="G50" i="107" l="1"/>
  <c r="F50" s="1"/>
  <c r="H50" s="1"/>
  <c r="H50" i="108"/>
  <c r="F50" s="1"/>
  <c r="I50" s="1"/>
  <c r="H50" i="109"/>
  <c r="F50" s="1"/>
  <c r="I50" s="1"/>
  <c r="D52" i="108"/>
  <c r="G51"/>
  <c r="G52" i="109"/>
  <c r="D53"/>
  <c r="G51" i="107" l="1"/>
  <c r="F51" s="1"/>
  <c r="H51" s="1"/>
  <c r="H51" i="108"/>
  <c r="F51" s="1"/>
  <c r="I51" s="1"/>
  <c r="H51" i="109"/>
  <c r="F51" s="1"/>
  <c r="I51" s="1"/>
  <c r="G53"/>
  <c r="D54"/>
  <c r="D53" i="108"/>
  <c r="G52"/>
  <c r="G52" i="107" l="1"/>
  <c r="F52" s="1"/>
  <c r="H52" s="1"/>
  <c r="H52" i="108"/>
  <c r="F52" s="1"/>
  <c r="I52" s="1"/>
  <c r="H52" i="109"/>
  <c r="F52" s="1"/>
  <c r="I52" s="1"/>
  <c r="D54" i="108"/>
  <c r="G53"/>
  <c r="G54" i="109"/>
  <c r="D55"/>
  <c r="G53" i="107" l="1"/>
  <c r="F53" s="1"/>
  <c r="H53" s="1"/>
  <c r="H53" i="108"/>
  <c r="F53" s="1"/>
  <c r="I53" s="1"/>
  <c r="H53" i="109"/>
  <c r="F53" s="1"/>
  <c r="I53" s="1"/>
  <c r="G55"/>
  <c r="D56"/>
  <c r="D55" i="108"/>
  <c r="G54"/>
  <c r="G54" i="107" l="1"/>
  <c r="F54" s="1"/>
  <c r="H54" s="1"/>
  <c r="H54" i="108"/>
  <c r="F54" s="1"/>
  <c r="I54" s="1"/>
  <c r="H54" i="109"/>
  <c r="F54" s="1"/>
  <c r="I54" s="1"/>
  <c r="D56" i="108"/>
  <c r="G55"/>
  <c r="G56" i="109"/>
  <c r="D57"/>
  <c r="G55" i="107" l="1"/>
  <c r="F55" s="1"/>
  <c r="H55" s="1"/>
  <c r="H55" i="108"/>
  <c r="F55" s="1"/>
  <c r="I55" s="1"/>
  <c r="H55" i="109"/>
  <c r="F55" s="1"/>
  <c r="I55" s="1"/>
  <c r="G57"/>
  <c r="D58"/>
  <c r="D57" i="108"/>
  <c r="G56"/>
  <c r="G56" i="107" l="1"/>
  <c r="F56" s="1"/>
  <c r="H56" s="1"/>
  <c r="H56" i="108"/>
  <c r="F56" s="1"/>
  <c r="I56" s="1"/>
  <c r="H56" i="109"/>
  <c r="F56" s="1"/>
  <c r="I56" s="1"/>
  <c r="D58" i="108"/>
  <c r="G57"/>
  <c r="G58" i="109"/>
  <c r="D59"/>
  <c r="G57" i="107" l="1"/>
  <c r="F57" s="1"/>
  <c r="H57" s="1"/>
  <c r="H57" i="108"/>
  <c r="F57" s="1"/>
  <c r="I57" s="1"/>
  <c r="H57" i="109"/>
  <c r="F57" s="1"/>
  <c r="I57" s="1"/>
  <c r="G59"/>
  <c r="D60"/>
  <c r="D59" i="108"/>
  <c r="G58"/>
  <c r="G58" i="107" l="1"/>
  <c r="F58" s="1"/>
  <c r="H58" s="1"/>
  <c r="H58" i="108"/>
  <c r="F58" s="1"/>
  <c r="I58" s="1"/>
  <c r="H58" i="109"/>
  <c r="F58" s="1"/>
  <c r="I58" s="1"/>
  <c r="D60" i="108"/>
  <c r="G59"/>
  <c r="G60" i="109"/>
  <c r="D61"/>
  <c r="G59" i="107" l="1"/>
  <c r="F59" s="1"/>
  <c r="H59" s="1"/>
  <c r="H59" i="108"/>
  <c r="F59" s="1"/>
  <c r="I59" s="1"/>
  <c r="H59" i="109"/>
  <c r="F59" s="1"/>
  <c r="I59" s="1"/>
  <c r="G61"/>
  <c r="D62"/>
  <c r="D61" i="108"/>
  <c r="G60"/>
  <c r="G60" i="107" l="1"/>
  <c r="F60" s="1"/>
  <c r="H60" s="1"/>
  <c r="H60" i="108"/>
  <c r="F60" s="1"/>
  <c r="I60" s="1"/>
  <c r="H60" i="109"/>
  <c r="F60" s="1"/>
  <c r="I60" s="1"/>
  <c r="D62" i="108"/>
  <c r="G61"/>
  <c r="G62" i="109"/>
  <c r="D63"/>
  <c r="G61" i="107" l="1"/>
  <c r="F61" s="1"/>
  <c r="H61" s="1"/>
  <c r="H61" i="108"/>
  <c r="F61" s="1"/>
  <c r="I61" s="1"/>
  <c r="H61" i="109"/>
  <c r="F61" s="1"/>
  <c r="I61" s="1"/>
  <c r="G63"/>
  <c r="D64"/>
  <c r="D63" i="108"/>
  <c r="G62"/>
  <c r="G62" i="107" l="1"/>
  <c r="F62" s="1"/>
  <c r="H62" s="1"/>
  <c r="H62" i="108"/>
  <c r="F62" s="1"/>
  <c r="I62" s="1"/>
  <c r="H62" i="109"/>
  <c r="F62" s="1"/>
  <c r="I62" s="1"/>
  <c r="D64" i="108"/>
  <c r="G63"/>
  <c r="G64" i="109"/>
  <c r="D65"/>
  <c r="G63" i="107" l="1"/>
  <c r="F63" s="1"/>
  <c r="H63" s="1"/>
  <c r="H63" i="108"/>
  <c r="F63" s="1"/>
  <c r="I63" s="1"/>
  <c r="H63" i="109"/>
  <c r="F63" s="1"/>
  <c r="I63" s="1"/>
  <c r="G65"/>
  <c r="D66"/>
  <c r="D65" i="108"/>
  <c r="G64"/>
  <c r="G64" i="107" l="1"/>
  <c r="F64" s="1"/>
  <c r="H64" s="1"/>
  <c r="H64" i="108"/>
  <c r="F64" s="1"/>
  <c r="I64" s="1"/>
  <c r="H64" i="109"/>
  <c r="F64" s="1"/>
  <c r="I64" s="1"/>
  <c r="D66" i="108"/>
  <c r="G65"/>
  <c r="G66" i="109"/>
  <c r="D67"/>
  <c r="G65" i="107" l="1"/>
  <c r="F65" s="1"/>
  <c r="H65" s="1"/>
  <c r="H65" i="108"/>
  <c r="F65" s="1"/>
  <c r="I65" s="1"/>
  <c r="H65" i="109"/>
  <c r="F65" s="1"/>
  <c r="I65" s="1"/>
  <c r="G67"/>
  <c r="D68"/>
  <c r="D67" i="108"/>
  <c r="G66"/>
  <c r="G66" i="107" l="1"/>
  <c r="F66" s="1"/>
  <c r="H66" s="1"/>
  <c r="H66" i="108"/>
  <c r="F66" s="1"/>
  <c r="I66" s="1"/>
  <c r="H66" i="109"/>
  <c r="F66" s="1"/>
  <c r="I66" s="1"/>
  <c r="D68" i="108"/>
  <c r="G67"/>
  <c r="G68" i="109"/>
  <c r="D69"/>
  <c r="G67" i="107" l="1"/>
  <c r="F67" s="1"/>
  <c r="H67" s="1"/>
  <c r="H67" i="108"/>
  <c r="F67" s="1"/>
  <c r="I67" s="1"/>
  <c r="H67" i="109"/>
  <c r="F67" s="1"/>
  <c r="I67" s="1"/>
  <c r="G69"/>
  <c r="D70"/>
  <c r="D69" i="108"/>
  <c r="G68"/>
  <c r="G68" i="107" l="1"/>
  <c r="F68" s="1"/>
  <c r="H68" s="1"/>
  <c r="H68" i="108"/>
  <c r="F68" s="1"/>
  <c r="I68" s="1"/>
  <c r="H68" i="109"/>
  <c r="F68" s="1"/>
  <c r="I68" s="1"/>
  <c r="D70" i="108"/>
  <c r="G69"/>
  <c r="G70" i="109"/>
  <c r="D71"/>
  <c r="G69" i="107" l="1"/>
  <c r="F69" s="1"/>
  <c r="H69" s="1"/>
  <c r="H69" i="108"/>
  <c r="F69" s="1"/>
  <c r="I69" s="1"/>
  <c r="H69" i="109"/>
  <c r="F69" s="1"/>
  <c r="I69" s="1"/>
  <c r="G71"/>
  <c r="D72"/>
  <c r="D71" i="108"/>
  <c r="G70"/>
  <c r="G70" i="107" l="1"/>
  <c r="F70" s="1"/>
  <c r="H70" s="1"/>
  <c r="H70" i="108"/>
  <c r="F70" s="1"/>
  <c r="I70" s="1"/>
  <c r="H70" i="109"/>
  <c r="F70" s="1"/>
  <c r="I70" s="1"/>
  <c r="D72" i="108"/>
  <c r="G71"/>
  <c r="G72" i="109"/>
  <c r="D73"/>
  <c r="G71" i="107" l="1"/>
  <c r="F71" s="1"/>
  <c r="H71" s="1"/>
  <c r="H71" i="108"/>
  <c r="F71" s="1"/>
  <c r="I71" s="1"/>
  <c r="H71" i="109"/>
  <c r="F71" s="1"/>
  <c r="I71" s="1"/>
  <c r="G73"/>
  <c r="D74"/>
  <c r="D73" i="108"/>
  <c r="G72"/>
  <c r="G72" i="107" l="1"/>
  <c r="F72" s="1"/>
  <c r="H72" s="1"/>
  <c r="H72" i="108"/>
  <c r="F72" s="1"/>
  <c r="I72" s="1"/>
  <c r="H72" i="109"/>
  <c r="F72" s="1"/>
  <c r="I72" s="1"/>
  <c r="D74" i="108"/>
  <c r="G73"/>
  <c r="G74" i="109"/>
  <c r="D75"/>
  <c r="G73" i="107" l="1"/>
  <c r="F73" s="1"/>
  <c r="H73" s="1"/>
  <c r="H73" i="108"/>
  <c r="F73" s="1"/>
  <c r="I73" s="1"/>
  <c r="H73" i="109"/>
  <c r="F73" s="1"/>
  <c r="I73" s="1"/>
  <c r="G75"/>
  <c r="D76"/>
  <c r="D75" i="108"/>
  <c r="G74"/>
  <c r="G74" i="107" l="1"/>
  <c r="F74" s="1"/>
  <c r="H74" s="1"/>
  <c r="H74" i="108"/>
  <c r="F74" s="1"/>
  <c r="I74" s="1"/>
  <c r="H74" i="109"/>
  <c r="F74" s="1"/>
  <c r="I74" s="1"/>
  <c r="D76" i="108"/>
  <c r="G75"/>
  <c r="G76" i="109"/>
  <c r="D77"/>
  <c r="G75" i="107" l="1"/>
  <c r="F75" s="1"/>
  <c r="H75" s="1"/>
  <c r="H75" i="108"/>
  <c r="F75" s="1"/>
  <c r="I75" s="1"/>
  <c r="I75" i="109"/>
  <c r="H75"/>
  <c r="F75" s="1"/>
  <c r="G77"/>
  <c r="D78"/>
  <c r="D77" i="108"/>
  <c r="G76"/>
  <c r="G76" i="107" l="1"/>
  <c r="F76" s="1"/>
  <c r="H76" s="1"/>
  <c r="H76" i="108"/>
  <c r="F76" s="1"/>
  <c r="I76" s="1"/>
  <c r="D78"/>
  <c r="G77"/>
  <c r="I76" i="109"/>
  <c r="H76"/>
  <c r="F76" s="1"/>
  <c r="G78"/>
  <c r="D79"/>
  <c r="G77" i="107" l="1"/>
  <c r="F77" s="1"/>
  <c r="H77" s="1"/>
  <c r="H77" i="108"/>
  <c r="F77" s="1"/>
  <c r="I77" s="1"/>
  <c r="D79"/>
  <c r="G78"/>
  <c r="I77" i="109"/>
  <c r="H77"/>
  <c r="F77" s="1"/>
  <c r="G79"/>
  <c r="D80"/>
  <c r="G78" i="107" l="1"/>
  <c r="F78" s="1"/>
  <c r="H78" s="1"/>
  <c r="H78" i="108"/>
  <c r="F78" s="1"/>
  <c r="I78" s="1"/>
  <c r="D80"/>
  <c r="G79"/>
  <c r="G80" i="109"/>
  <c r="D81"/>
  <c r="I78"/>
  <c r="H78"/>
  <c r="F78" s="1"/>
  <c r="G79" i="107" l="1"/>
  <c r="F79" s="1"/>
  <c r="H79" s="1"/>
  <c r="H79" i="108"/>
  <c r="F79" s="1"/>
  <c r="I79" s="1"/>
  <c r="H79" i="109"/>
  <c r="F79" s="1"/>
  <c r="I79" s="1"/>
  <c r="D81" i="108"/>
  <c r="G80"/>
  <c r="G81" i="109"/>
  <c r="D82"/>
  <c r="G80" i="107" l="1"/>
  <c r="F80" s="1"/>
  <c r="H80" s="1"/>
  <c r="H80" i="108"/>
  <c r="F80" s="1"/>
  <c r="I80" s="1"/>
  <c r="H80" i="109"/>
  <c r="F80" s="1"/>
  <c r="I80" s="1"/>
  <c r="G82"/>
  <c r="D83"/>
  <c r="D82" i="108"/>
  <c r="G81"/>
  <c r="G81" i="107" l="1"/>
  <c r="F81" s="1"/>
  <c r="H81" s="1"/>
  <c r="H81" i="108"/>
  <c r="F81" s="1"/>
  <c r="I81" s="1"/>
  <c r="H81" i="109"/>
  <c r="F81" s="1"/>
  <c r="I81" s="1"/>
  <c r="D83" i="108"/>
  <c r="G82"/>
  <c r="G83" i="109"/>
  <c r="D84"/>
  <c r="G82" i="107" l="1"/>
  <c r="F82" s="1"/>
  <c r="H82" s="1"/>
  <c r="H82" i="108"/>
  <c r="F82" s="1"/>
  <c r="I82" s="1"/>
  <c r="H82" i="109"/>
  <c r="F82" s="1"/>
  <c r="I82" s="1"/>
  <c r="G84"/>
  <c r="D85"/>
  <c r="G83" i="108"/>
  <c r="D84"/>
  <c r="G83" i="107" l="1"/>
  <c r="F83" s="1"/>
  <c r="H83" s="1"/>
  <c r="H83" i="108"/>
  <c r="F83" s="1"/>
  <c r="I83" s="1"/>
  <c r="H83" i="109"/>
  <c r="F83" s="1"/>
  <c r="I83" s="1"/>
  <c r="D85" i="108"/>
  <c r="G84"/>
  <c r="G85" i="109"/>
  <c r="D86"/>
  <c r="G84" i="107" l="1"/>
  <c r="F84" s="1"/>
  <c r="H84" s="1"/>
  <c r="I84" i="108"/>
  <c r="H84"/>
  <c r="F84" s="1"/>
  <c r="H84" i="109"/>
  <c r="F84" s="1"/>
  <c r="I84" s="1"/>
  <c r="G86"/>
  <c r="D87"/>
  <c r="D86" i="108"/>
  <c r="G85"/>
  <c r="G85" i="107" l="1"/>
  <c r="F85" s="1"/>
  <c r="H85" s="1"/>
  <c r="I85" i="109"/>
  <c r="H85"/>
  <c r="F85" s="1"/>
  <c r="D87" i="108"/>
  <c r="G86"/>
  <c r="H85"/>
  <c r="F85" s="1"/>
  <c r="I85" s="1"/>
  <c r="G87" i="109"/>
  <c r="D88"/>
  <c r="G86" i="107" l="1"/>
  <c r="F86" s="1"/>
  <c r="H86" s="1"/>
  <c r="I86" i="108"/>
  <c r="H86"/>
  <c r="F86" s="1"/>
  <c r="D88"/>
  <c r="G87"/>
  <c r="G88" i="109"/>
  <c r="D89"/>
  <c r="H86"/>
  <c r="F86" s="1"/>
  <c r="I86" s="1"/>
  <c r="G87" i="107" l="1"/>
  <c r="F87" s="1"/>
  <c r="H87" s="1"/>
  <c r="I87" i="109"/>
  <c r="H87"/>
  <c r="F87" s="1"/>
  <c r="D89" i="108"/>
  <c r="G88"/>
  <c r="H87"/>
  <c r="F87" s="1"/>
  <c r="I87" s="1"/>
  <c r="G89" i="109"/>
  <c r="D90"/>
  <c r="G88" i="107" l="1"/>
  <c r="F88" s="1"/>
  <c r="H88" s="1"/>
  <c r="I88" i="108"/>
  <c r="H88"/>
  <c r="F88" s="1"/>
  <c r="G89"/>
  <c r="D90"/>
  <c r="G90" i="109"/>
  <c r="D91"/>
  <c r="H88"/>
  <c r="F88" s="1"/>
  <c r="I88" s="1"/>
  <c r="G89" i="107" l="1"/>
  <c r="F89" s="1"/>
  <c r="H89" s="1"/>
  <c r="I89" i="109"/>
  <c r="H89"/>
  <c r="F89" s="1"/>
  <c r="D91" i="108"/>
  <c r="G90"/>
  <c r="H89"/>
  <c r="F89" s="1"/>
  <c r="I89" s="1"/>
  <c r="G91" i="109"/>
  <c r="D92"/>
  <c r="G90" i="107" l="1"/>
  <c r="F90" s="1"/>
  <c r="H90" s="1"/>
  <c r="H90" i="108"/>
  <c r="F90" s="1"/>
  <c r="I90" s="1"/>
  <c r="G91"/>
  <c r="D92"/>
  <c r="G92" i="109"/>
  <c r="D93"/>
  <c r="I90"/>
  <c r="H90"/>
  <c r="F90" s="1"/>
  <c r="G91" i="107" l="1"/>
  <c r="F91" s="1"/>
  <c r="H91" s="1"/>
  <c r="H91" i="108"/>
  <c r="F91" s="1"/>
  <c r="I91" s="1"/>
  <c r="H91" i="109"/>
  <c r="F91" s="1"/>
  <c r="I91" s="1"/>
  <c r="D93" i="108"/>
  <c r="G92"/>
  <c r="G93" i="109"/>
  <c r="D94"/>
  <c r="G92" i="107" l="1"/>
  <c r="F92" s="1"/>
  <c r="H92" s="1"/>
  <c r="I92" i="108"/>
  <c r="H92"/>
  <c r="F92" s="1"/>
  <c r="H92" i="109"/>
  <c r="F92" s="1"/>
  <c r="I92" s="1"/>
  <c r="G94"/>
  <c r="D95"/>
  <c r="D94" i="108"/>
  <c r="G93"/>
  <c r="G93" i="107" l="1"/>
  <c r="F93" s="1"/>
  <c r="H93" s="1"/>
  <c r="I93" i="109"/>
  <c r="H93"/>
  <c r="F93" s="1"/>
  <c r="D95" i="108"/>
  <c r="G94"/>
  <c r="H93"/>
  <c r="F93" s="1"/>
  <c r="I93" s="1"/>
  <c r="G95" i="109"/>
  <c r="D96"/>
  <c r="G94" i="107" l="1"/>
  <c r="F94" s="1"/>
  <c r="H94" s="1"/>
  <c r="I94" i="108"/>
  <c r="H94"/>
  <c r="F94" s="1"/>
  <c r="D96"/>
  <c r="G95"/>
  <c r="G96" i="109"/>
  <c r="D97"/>
  <c r="H94"/>
  <c r="F94" s="1"/>
  <c r="I94" s="1"/>
  <c r="H95" i="107" l="1"/>
  <c r="G95"/>
  <c r="F95" s="1"/>
  <c r="I95" i="109"/>
  <c r="H95"/>
  <c r="F95" s="1"/>
  <c r="D97" i="108"/>
  <c r="G96"/>
  <c r="H95"/>
  <c r="F95" s="1"/>
  <c r="I95" s="1"/>
  <c r="G97" i="109"/>
  <c r="D98"/>
  <c r="H96" i="108" l="1"/>
  <c r="F96" s="1"/>
  <c r="I96" s="1"/>
  <c r="G97"/>
  <c r="D98"/>
  <c r="G96" i="107"/>
  <c r="F96" s="1"/>
  <c r="H96" s="1"/>
  <c r="G98" i="109"/>
  <c r="D99"/>
  <c r="H96"/>
  <c r="F96" s="1"/>
  <c r="I96" s="1"/>
  <c r="H97" i="108" l="1"/>
  <c r="F97" s="1"/>
  <c r="I97" s="1"/>
  <c r="I97" i="109"/>
  <c r="H97"/>
  <c r="F97" s="1"/>
  <c r="G97" i="107"/>
  <c r="F97" s="1"/>
  <c r="H97" s="1"/>
  <c r="G99" i="109"/>
  <c r="D100"/>
  <c r="D99" i="108"/>
  <c r="G98"/>
  <c r="H98" l="1"/>
  <c r="F98" s="1"/>
  <c r="I98" s="1"/>
  <c r="G98" i="107"/>
  <c r="F98" s="1"/>
  <c r="H98" s="1"/>
  <c r="G99" i="108"/>
  <c r="D100"/>
  <c r="I98" i="109"/>
  <c r="H98"/>
  <c r="F98" s="1"/>
  <c r="G100"/>
  <c r="D101"/>
  <c r="H99" i="108" l="1"/>
  <c r="F99" s="1"/>
  <c r="I99" s="1"/>
  <c r="H99" i="107"/>
  <c r="G99"/>
  <c r="F99" s="1"/>
  <c r="G101" i="109"/>
  <c r="D102"/>
  <c r="D101" i="108"/>
  <c r="G100"/>
  <c r="H99" i="109"/>
  <c r="F99" s="1"/>
  <c r="I99" s="1"/>
  <c r="I100" i="108" l="1"/>
  <c r="H100"/>
  <c r="F100" s="1"/>
  <c r="I100" i="109"/>
  <c r="H100"/>
  <c r="F100" s="1"/>
  <c r="G102"/>
  <c r="D103"/>
  <c r="D102" i="108"/>
  <c r="G101"/>
  <c r="G100" i="107"/>
  <c r="F100" s="1"/>
  <c r="H100" s="1"/>
  <c r="G101" l="1"/>
  <c r="F101" s="1"/>
  <c r="H101" s="1"/>
  <c r="H101" i="108"/>
  <c r="F101" s="1"/>
  <c r="I101" s="1"/>
  <c r="G103" i="109"/>
  <c r="D104"/>
  <c r="D103" i="108"/>
  <c r="G102"/>
  <c r="I101" i="109"/>
  <c r="H101"/>
  <c r="F101" s="1"/>
  <c r="G102" i="107" l="1"/>
  <c r="F102" s="1"/>
  <c r="H102" s="1"/>
  <c r="I102" i="108"/>
  <c r="H102"/>
  <c r="F102" s="1"/>
  <c r="I102" i="109"/>
  <c r="H102"/>
  <c r="F102" s="1"/>
  <c r="D104" i="108"/>
  <c r="G103"/>
  <c r="G104" i="109"/>
  <c r="D105"/>
  <c r="G103" i="107" l="1"/>
  <c r="F103" s="1"/>
  <c r="H103" s="1"/>
  <c r="G105" i="109"/>
  <c r="D106"/>
  <c r="H103"/>
  <c r="F103" s="1"/>
  <c r="I103" s="1"/>
  <c r="D105" i="108"/>
  <c r="G104"/>
  <c r="H103"/>
  <c r="F103" s="1"/>
  <c r="I103"/>
  <c r="G104" i="107" l="1"/>
  <c r="F104" s="1"/>
  <c r="H104" s="1"/>
  <c r="I104" i="109"/>
  <c r="H104"/>
  <c r="F104" s="1"/>
  <c r="H104" i="108"/>
  <c r="F104" s="1"/>
  <c r="I104" s="1"/>
  <c r="G105"/>
  <c r="D106"/>
  <c r="G106" i="109"/>
  <c r="D107"/>
  <c r="G105" i="107" l="1"/>
  <c r="F105" s="1"/>
  <c r="H105" s="1"/>
  <c r="H105" i="108"/>
  <c r="F105" s="1"/>
  <c r="I105" s="1"/>
  <c r="G107" i="109"/>
  <c r="D108"/>
  <c r="I105"/>
  <c r="H105"/>
  <c r="F105" s="1"/>
  <c r="D107" i="108"/>
  <c r="G106"/>
  <c r="G106" i="107" l="1"/>
  <c r="F106" s="1"/>
  <c r="H106" s="1"/>
  <c r="H106" i="108"/>
  <c r="F106" s="1"/>
  <c r="I106" s="1"/>
  <c r="G108" i="109"/>
  <c r="D109"/>
  <c r="I106"/>
  <c r="H106"/>
  <c r="F106" s="1"/>
  <c r="G107" i="108"/>
  <c r="D108"/>
  <c r="G107" i="107" l="1"/>
  <c r="F107" s="1"/>
  <c r="H107" s="1"/>
  <c r="H107" i="108"/>
  <c r="F107" s="1"/>
  <c r="I107" s="1"/>
  <c r="D109"/>
  <c r="G108"/>
  <c r="G109" i="109"/>
  <c r="D110"/>
  <c r="H107"/>
  <c r="F107" s="1"/>
  <c r="I107" s="1"/>
  <c r="G108" i="107" l="1"/>
  <c r="F108" s="1"/>
  <c r="H108" s="1"/>
  <c r="I108" i="108"/>
  <c r="H108"/>
  <c r="F108" s="1"/>
  <c r="H108" i="109"/>
  <c r="F108" s="1"/>
  <c r="I108" s="1"/>
  <c r="D110" i="108"/>
  <c r="G109"/>
  <c r="G110" i="109"/>
  <c r="D111"/>
  <c r="H109" i="107" l="1"/>
  <c r="G109"/>
  <c r="F109" s="1"/>
  <c r="I109" i="109"/>
  <c r="H109"/>
  <c r="F109" s="1"/>
  <c r="G111"/>
  <c r="D112"/>
  <c r="D111" i="108"/>
  <c r="G110"/>
  <c r="H109"/>
  <c r="F109" s="1"/>
  <c r="I109" s="1"/>
  <c r="H110" l="1"/>
  <c r="F110" s="1"/>
  <c r="I110" s="1"/>
  <c r="G110" i="107"/>
  <c r="F110" s="1"/>
  <c r="H110" s="1"/>
  <c r="G112" i="109"/>
  <c r="D113"/>
  <c r="D112" i="108"/>
  <c r="G111"/>
  <c r="I110" i="109"/>
  <c r="H110"/>
  <c r="F110" s="1"/>
  <c r="H111" i="108" l="1"/>
  <c r="F111" s="1"/>
  <c r="I111" s="1"/>
  <c r="H111" i="107"/>
  <c r="G111"/>
  <c r="F111" s="1"/>
  <c r="G113" i="109"/>
  <c r="D114"/>
  <c r="D113" i="108"/>
  <c r="G112"/>
  <c r="H111" i="109"/>
  <c r="F111" s="1"/>
  <c r="I111" s="1"/>
  <c r="H112" i="108" l="1"/>
  <c r="F112" s="1"/>
  <c r="I112" s="1"/>
  <c r="I112" i="109"/>
  <c r="H112"/>
  <c r="F112" s="1"/>
  <c r="G114"/>
  <c r="D115"/>
  <c r="G113" i="108"/>
  <c r="D114"/>
  <c r="G112" i="107"/>
  <c r="F112" s="1"/>
  <c r="H112" s="1"/>
  <c r="H113" i="108" l="1"/>
  <c r="F113" s="1"/>
  <c r="I113" s="1"/>
  <c r="H113" i="107"/>
  <c r="G113"/>
  <c r="F113" s="1"/>
  <c r="G115" i="109"/>
  <c r="D116"/>
  <c r="H113"/>
  <c r="F113" s="1"/>
  <c r="I113" s="1"/>
  <c r="D115" i="108"/>
  <c r="G114"/>
  <c r="H114" l="1"/>
  <c r="F114" s="1"/>
  <c r="I114" s="1"/>
  <c r="I114" i="109"/>
  <c r="H114"/>
  <c r="F114" s="1"/>
  <c r="G115" i="108"/>
  <c r="D116"/>
  <c r="G116" i="109"/>
  <c r="D117"/>
  <c r="G114" i="107"/>
  <c r="F114" s="1"/>
  <c r="H114" s="1"/>
  <c r="H115" i="108" l="1"/>
  <c r="F115" s="1"/>
  <c r="I115" s="1"/>
  <c r="H115" i="107"/>
  <c r="G115"/>
  <c r="F115" s="1"/>
  <c r="D117" i="108"/>
  <c r="G116"/>
  <c r="H115" i="109"/>
  <c r="F115" s="1"/>
  <c r="I115" s="1"/>
  <c r="G117"/>
  <c r="D118"/>
  <c r="H116" i="108" l="1"/>
  <c r="F116" s="1"/>
  <c r="I116" s="1"/>
  <c r="I116" i="109"/>
  <c r="H116"/>
  <c r="F116" s="1"/>
  <c r="D118" i="108"/>
  <c r="G117"/>
  <c r="G116" i="107"/>
  <c r="F116" s="1"/>
  <c r="H116" s="1"/>
  <c r="G118" i="109"/>
  <c r="D119"/>
  <c r="H117" i="108" l="1"/>
  <c r="F117" s="1"/>
  <c r="I117" s="1"/>
  <c r="H117" i="107"/>
  <c r="G117"/>
  <c r="F117" s="1"/>
  <c r="D119" i="108"/>
  <c r="G118"/>
  <c r="G119" i="109"/>
  <c r="D120"/>
  <c r="I117"/>
  <c r="H117"/>
  <c r="F117" s="1"/>
  <c r="I118" i="108" l="1"/>
  <c r="H118"/>
  <c r="F118" s="1"/>
  <c r="D120"/>
  <c r="G119"/>
  <c r="G118" i="107"/>
  <c r="F118" s="1"/>
  <c r="H118" s="1"/>
  <c r="H118" i="109"/>
  <c r="F118" s="1"/>
  <c r="I118" s="1"/>
  <c r="G120"/>
  <c r="D121"/>
  <c r="G119" i="107" l="1"/>
  <c r="F119" s="1"/>
  <c r="H119" s="1"/>
  <c r="I119" i="109"/>
  <c r="H119"/>
  <c r="F119" s="1"/>
  <c r="H119" i="108"/>
  <c r="F119" s="1"/>
  <c r="I119" s="1"/>
  <c r="G121" i="109"/>
  <c r="D122"/>
  <c r="D121" i="108"/>
  <c r="G120"/>
  <c r="H120" i="107" l="1"/>
  <c r="G120"/>
  <c r="F120" s="1"/>
  <c r="I120" i="108"/>
  <c r="H120"/>
  <c r="F120" s="1"/>
  <c r="H120" i="109"/>
  <c r="F120" s="1"/>
  <c r="I120" s="1"/>
  <c r="G121" i="108"/>
  <c r="D122"/>
  <c r="G122" i="109"/>
  <c r="D123"/>
  <c r="H121" l="1"/>
  <c r="F121" s="1"/>
  <c r="I121" s="1"/>
  <c r="H121" i="107"/>
  <c r="G121"/>
  <c r="F121" s="1"/>
  <c r="G123" i="109"/>
  <c r="D124"/>
  <c r="H121" i="108"/>
  <c r="F121" s="1"/>
  <c r="I121" s="1"/>
  <c r="D123"/>
  <c r="G122"/>
  <c r="H122" i="109" l="1"/>
  <c r="F122" s="1"/>
  <c r="I122" s="1"/>
  <c r="H122" i="108"/>
  <c r="F122" s="1"/>
  <c r="I122" s="1"/>
  <c r="G123"/>
  <c r="D124"/>
  <c r="G122" i="107"/>
  <c r="F122" s="1"/>
  <c r="H122" s="1"/>
  <c r="G124" i="109"/>
  <c r="D125"/>
  <c r="G123" i="107" l="1"/>
  <c r="F123" s="1"/>
  <c r="H123" s="1"/>
  <c r="I123" i="109"/>
  <c r="H123"/>
  <c r="F123" s="1"/>
  <c r="H123" i="108"/>
  <c r="F123" s="1"/>
  <c r="I123" s="1"/>
  <c r="G125" i="109"/>
  <c r="D126"/>
  <c r="D125" i="108"/>
  <c r="G124"/>
  <c r="H124" i="107" l="1"/>
  <c r="G124"/>
  <c r="F124" s="1"/>
  <c r="I124" i="108"/>
  <c r="H124"/>
  <c r="F124" s="1"/>
  <c r="D126"/>
  <c r="G125"/>
  <c r="H124" i="109"/>
  <c r="F124" s="1"/>
  <c r="I124" s="1"/>
  <c r="G126"/>
  <c r="D127"/>
  <c r="I125" l="1"/>
  <c r="H125"/>
  <c r="F125" s="1"/>
  <c r="H125" i="107"/>
  <c r="G125"/>
  <c r="F125" s="1"/>
  <c r="G127" i="109"/>
  <c r="D128"/>
  <c r="D127" i="108"/>
  <c r="G126"/>
  <c r="H125"/>
  <c r="F125" s="1"/>
  <c r="I125" s="1"/>
  <c r="H126" l="1"/>
  <c r="F126" s="1"/>
  <c r="I126" s="1"/>
  <c r="I126" i="109"/>
  <c r="H126"/>
  <c r="F126" s="1"/>
  <c r="G128"/>
  <c r="D129"/>
  <c r="D128" i="108"/>
  <c r="G127"/>
  <c r="G126" i="107"/>
  <c r="F126" s="1"/>
  <c r="H126" s="1"/>
  <c r="H127" i="108" l="1"/>
  <c r="F127" s="1"/>
  <c r="I127" s="1"/>
  <c r="H127" i="107"/>
  <c r="G127"/>
  <c r="F127" s="1"/>
  <c r="G129" i="109"/>
  <c r="D130"/>
  <c r="D129" i="108"/>
  <c r="G128"/>
  <c r="H127" i="109"/>
  <c r="F127" s="1"/>
  <c r="I127" s="1"/>
  <c r="I128" i="108" l="1"/>
  <c r="H128"/>
  <c r="F128" s="1"/>
  <c r="I128" i="109"/>
  <c r="H128"/>
  <c r="F128" s="1"/>
  <c r="G130"/>
  <c r="D131"/>
  <c r="G129" i="108"/>
  <c r="D130"/>
  <c r="G128" i="107"/>
  <c r="F128" s="1"/>
  <c r="H128" s="1"/>
  <c r="H129" l="1"/>
  <c r="G129"/>
  <c r="F129" s="1"/>
  <c r="H129" i="108"/>
  <c r="F129" s="1"/>
  <c r="I129" s="1"/>
  <c r="G131" i="109"/>
  <c r="D132"/>
  <c r="I129"/>
  <c r="H129"/>
  <c r="F129" s="1"/>
  <c r="D131" i="108"/>
  <c r="G130"/>
  <c r="H130" l="1"/>
  <c r="F130" s="1"/>
  <c r="I130" s="1"/>
  <c r="G130" i="107"/>
  <c r="F130" s="1"/>
  <c r="H130" s="1"/>
  <c r="G132" i="109"/>
  <c r="D133"/>
  <c r="I130"/>
  <c r="H130"/>
  <c r="F130" s="1"/>
  <c r="G131" i="108"/>
  <c r="D132"/>
  <c r="H131" l="1"/>
  <c r="F131" s="1"/>
  <c r="I131" s="1"/>
  <c r="H131" i="107"/>
  <c r="G131"/>
  <c r="F131" s="1"/>
  <c r="D133" i="108"/>
  <c r="G132"/>
  <c r="G133" i="109"/>
  <c r="D134"/>
  <c r="H131"/>
  <c r="F131" s="1"/>
  <c r="I131" s="1"/>
  <c r="H132" i="108" l="1"/>
  <c r="F132" s="1"/>
  <c r="I132" s="1"/>
  <c r="I132" i="109"/>
  <c r="H132"/>
  <c r="F132" s="1"/>
  <c r="D134" i="108"/>
  <c r="G133"/>
  <c r="G132" i="107"/>
  <c r="F132" s="1"/>
  <c r="H132" s="1"/>
  <c r="G134" i="109"/>
  <c r="D135"/>
  <c r="H133" i="108" l="1"/>
  <c r="F133" s="1"/>
  <c r="I133" s="1"/>
  <c r="H133" i="107"/>
  <c r="G133"/>
  <c r="F133" s="1"/>
  <c r="D135" i="108"/>
  <c r="G134"/>
  <c r="G135" i="109"/>
  <c r="D136"/>
  <c r="H133"/>
  <c r="F133" s="1"/>
  <c r="I133" s="1"/>
  <c r="H134" i="108" l="1"/>
  <c r="F134" s="1"/>
  <c r="I134" s="1"/>
  <c r="I134" i="109"/>
  <c r="H134"/>
  <c r="F134" s="1"/>
  <c r="D136" i="108"/>
  <c r="G135"/>
  <c r="G134" i="107"/>
  <c r="F134" s="1"/>
  <c r="H134" s="1"/>
  <c r="G136" i="109"/>
  <c r="D137"/>
  <c r="H135" i="108" l="1"/>
  <c r="F135" s="1"/>
  <c r="I135" s="1"/>
  <c r="H135" i="107"/>
  <c r="G135"/>
  <c r="F135" s="1"/>
  <c r="D137" i="108"/>
  <c r="G136"/>
  <c r="G137" i="109"/>
  <c r="D138"/>
  <c r="H135"/>
  <c r="F135" s="1"/>
  <c r="I135" s="1"/>
  <c r="H136" i="108" l="1"/>
  <c r="F136" s="1"/>
  <c r="I136" s="1"/>
  <c r="I136" i="109"/>
  <c r="H136"/>
  <c r="F136" s="1"/>
  <c r="G137" i="108"/>
  <c r="D138"/>
  <c r="G136" i="107"/>
  <c r="F136" s="1"/>
  <c r="H136" s="1"/>
  <c r="G138" i="109"/>
  <c r="D139"/>
  <c r="H137" i="108" l="1"/>
  <c r="F137" s="1"/>
  <c r="I137" s="1"/>
  <c r="H137" i="107"/>
  <c r="G137"/>
  <c r="F137" s="1"/>
  <c r="H137" i="109"/>
  <c r="F137" s="1"/>
  <c r="I137" s="1"/>
  <c r="G139"/>
  <c r="D140"/>
  <c r="D139" i="108"/>
  <c r="G138"/>
  <c r="H138" l="1"/>
  <c r="F138" s="1"/>
  <c r="I138" s="1"/>
  <c r="I138" i="109"/>
  <c r="H138"/>
  <c r="F138" s="1"/>
  <c r="G138" i="107"/>
  <c r="F138" s="1"/>
  <c r="H138" s="1"/>
  <c r="G139" i="108"/>
  <c r="D140"/>
  <c r="D141" i="109"/>
  <c r="G140"/>
  <c r="H139" i="108" l="1"/>
  <c r="F139" s="1"/>
  <c r="I139" s="1"/>
  <c r="H139" i="107"/>
  <c r="G139"/>
  <c r="F139" s="1"/>
  <c r="G141" i="109"/>
  <c r="D142"/>
  <c r="H139"/>
  <c r="F139" s="1"/>
  <c r="I139" s="1"/>
  <c r="D141" i="108"/>
  <c r="G140"/>
  <c r="H140" l="1"/>
  <c r="F140" s="1"/>
  <c r="I140" s="1"/>
  <c r="I140" i="109"/>
  <c r="H140"/>
  <c r="F140" s="1"/>
  <c r="D142" i="108"/>
  <c r="G141"/>
  <c r="D143" i="109"/>
  <c r="G142"/>
  <c r="G140" i="107"/>
  <c r="F140" s="1"/>
  <c r="H140" s="1"/>
  <c r="H141" i="108" l="1"/>
  <c r="F141" s="1"/>
  <c r="I141" s="1"/>
  <c r="H141" i="107"/>
  <c r="G141"/>
  <c r="F141" s="1"/>
  <c r="D143" i="108"/>
  <c r="G142"/>
  <c r="G143" i="109"/>
  <c r="D144"/>
  <c r="H141"/>
  <c r="F141" s="1"/>
  <c r="I141" s="1"/>
  <c r="H142" i="108" l="1"/>
  <c r="F142" s="1"/>
  <c r="I142" s="1"/>
  <c r="I142" i="109"/>
  <c r="H142"/>
  <c r="F142" s="1"/>
  <c r="G142" i="107"/>
  <c r="F142" s="1"/>
  <c r="H142" s="1"/>
  <c r="D144" i="108"/>
  <c r="G143"/>
  <c r="G144" i="109"/>
  <c r="D145"/>
  <c r="H143" i="108" l="1"/>
  <c r="F143" s="1"/>
  <c r="I143" s="1"/>
  <c r="H143" i="107"/>
  <c r="G143"/>
  <c r="F143" s="1"/>
  <c r="G145" i="109"/>
  <c r="D146"/>
  <c r="D145" i="108"/>
  <c r="G144"/>
  <c r="H143" i="109"/>
  <c r="F143" s="1"/>
  <c r="I143" s="1"/>
  <c r="H144" i="108" l="1"/>
  <c r="F144" s="1"/>
  <c r="I144" s="1"/>
  <c r="I144" i="109"/>
  <c r="H144"/>
  <c r="F144" s="1"/>
  <c r="D147"/>
  <c r="G146"/>
  <c r="G145" i="108"/>
  <c r="D146"/>
  <c r="G144" i="107"/>
  <c r="F144" s="1"/>
  <c r="H144" s="1"/>
  <c r="H145" i="108" l="1"/>
  <c r="F145" s="1"/>
  <c r="I145" s="1"/>
  <c r="H145" i="107"/>
  <c r="G145"/>
  <c r="F145" s="1"/>
  <c r="G147" i="109"/>
  <c r="D148"/>
  <c r="H145"/>
  <c r="F145" s="1"/>
  <c r="I145" s="1"/>
  <c r="D147" i="108"/>
  <c r="G146"/>
  <c r="H146" l="1"/>
  <c r="F146" s="1"/>
  <c r="I146" s="1"/>
  <c r="I146" i="109"/>
  <c r="H146"/>
  <c r="F146" s="1"/>
  <c r="G147" i="108"/>
  <c r="D148"/>
  <c r="D149" i="109"/>
  <c r="G148"/>
  <c r="G146" i="107"/>
  <c r="F146" s="1"/>
  <c r="H146" s="1"/>
  <c r="H147" i="108" l="1"/>
  <c r="F147" s="1"/>
  <c r="I147" s="1"/>
  <c r="H147" i="107"/>
  <c r="G147"/>
  <c r="F147" s="1"/>
  <c r="G148" i="108"/>
  <c r="D149"/>
  <c r="G149" i="109"/>
  <c r="D150"/>
  <c r="H147"/>
  <c r="F147" s="1"/>
  <c r="I147" s="1"/>
  <c r="H148" i="108" l="1"/>
  <c r="F148" s="1"/>
  <c r="I148" s="1"/>
  <c r="I148" i="109"/>
  <c r="H148"/>
  <c r="F148" s="1"/>
  <c r="G149" i="108"/>
  <c r="D150"/>
  <c r="G148" i="107"/>
  <c r="F148" s="1"/>
  <c r="H148" s="1"/>
  <c r="D151" i="109"/>
  <c r="G150"/>
  <c r="H149" i="108" l="1"/>
  <c r="F149" s="1"/>
  <c r="I149" s="1"/>
  <c r="H149" i="107"/>
  <c r="G149"/>
  <c r="F149" s="1"/>
  <c r="G151" i="109"/>
  <c r="D152"/>
  <c r="H149"/>
  <c r="F149" s="1"/>
  <c r="I149" s="1"/>
  <c r="G150" i="108"/>
  <c r="D151"/>
  <c r="I150" l="1"/>
  <c r="H150"/>
  <c r="F150" s="1"/>
  <c r="I150" i="109"/>
  <c r="H150"/>
  <c r="F150" s="1"/>
  <c r="G151" i="108"/>
  <c r="D152"/>
  <c r="G150" i="107"/>
  <c r="F150" s="1"/>
  <c r="H150" s="1"/>
  <c r="G152" i="109"/>
  <c r="D153"/>
  <c r="H151" i="107" l="1"/>
  <c r="G151"/>
  <c r="F151" s="1"/>
  <c r="I151" i="108"/>
  <c r="H151"/>
  <c r="F151" s="1"/>
  <c r="G153" i="109"/>
  <c r="D154"/>
  <c r="G152" i="108"/>
  <c r="D153"/>
  <c r="H151" i="109"/>
  <c r="F151" s="1"/>
  <c r="I151" s="1"/>
  <c r="H152" l="1"/>
  <c r="F152" s="1"/>
  <c r="I152" s="1"/>
  <c r="H152" i="107"/>
  <c r="G152"/>
  <c r="F152" s="1"/>
  <c r="D155" i="109"/>
  <c r="G154"/>
  <c r="H152" i="108"/>
  <c r="F152" s="1"/>
  <c r="I152" s="1"/>
  <c r="G153"/>
  <c r="D154"/>
  <c r="H153" i="109" l="1"/>
  <c r="F153" s="1"/>
  <c r="I153" s="1"/>
  <c r="I153" i="108"/>
  <c r="H153"/>
  <c r="F153" s="1"/>
  <c r="G155" i="109"/>
  <c r="D156"/>
  <c r="G154" i="108"/>
  <c r="D155"/>
  <c r="G153" i="107"/>
  <c r="F153" s="1"/>
  <c r="H153" s="1"/>
  <c r="H154" i="109" l="1"/>
  <c r="F154" s="1"/>
  <c r="I154" s="1"/>
  <c r="G154" i="107"/>
  <c r="F154" s="1"/>
  <c r="H154" s="1"/>
  <c r="D157" i="109"/>
  <c r="G156"/>
  <c r="I154" i="108"/>
  <c r="H154"/>
  <c r="F154" s="1"/>
  <c r="G155"/>
  <c r="D156"/>
  <c r="I155" i="109" l="1"/>
  <c r="H155"/>
  <c r="F155" s="1"/>
  <c r="H155" i="107"/>
  <c r="G155"/>
  <c r="F155" s="1"/>
  <c r="G157" i="109"/>
  <c r="D158"/>
  <c r="G156" i="108"/>
  <c r="D157"/>
  <c r="I155"/>
  <c r="H155"/>
  <c r="F155" s="1"/>
  <c r="H156" i="109" l="1"/>
  <c r="F156" s="1"/>
  <c r="I156" s="1"/>
  <c r="D159"/>
  <c r="G158"/>
  <c r="H156" i="108"/>
  <c r="F156" s="1"/>
  <c r="I156" s="1"/>
  <c r="H156" i="107"/>
  <c r="G156"/>
  <c r="F156" s="1"/>
  <c r="G157" i="108"/>
  <c r="D158"/>
  <c r="H157" i="109" l="1"/>
  <c r="F157" s="1"/>
  <c r="I157" s="1"/>
  <c r="I157" i="108"/>
  <c r="H157"/>
  <c r="F157" s="1"/>
  <c r="G158"/>
  <c r="D159"/>
  <c r="G159" i="109"/>
  <c r="D160"/>
  <c r="G157" i="107"/>
  <c r="F157" s="1"/>
  <c r="H157" s="1"/>
  <c r="G158" l="1"/>
  <c r="F158" s="1"/>
  <c r="H158" s="1"/>
  <c r="I158" i="109"/>
  <c r="H158"/>
  <c r="F158" s="1"/>
  <c r="G159" i="108"/>
  <c r="D160"/>
  <c r="I158"/>
  <c r="H158"/>
  <c r="F158" s="1"/>
  <c r="G160" i="109"/>
  <c r="D161"/>
  <c r="H159" i="107" l="1"/>
  <c r="G159"/>
  <c r="F159" s="1"/>
  <c r="G161" i="109"/>
  <c r="D162"/>
  <c r="G160" i="108"/>
  <c r="D161"/>
  <c r="I159"/>
  <c r="H159"/>
  <c r="F159" s="1"/>
  <c r="H159" i="109"/>
  <c r="F159" s="1"/>
  <c r="I159" s="1"/>
  <c r="I160" l="1"/>
  <c r="H160"/>
  <c r="F160" s="1"/>
  <c r="H160" i="107"/>
  <c r="G160"/>
  <c r="F160" s="1"/>
  <c r="G161" i="108"/>
  <c r="D162"/>
  <c r="I160"/>
  <c r="H160"/>
  <c r="F160" s="1"/>
  <c r="D163" i="109"/>
  <c r="G162"/>
  <c r="G162" i="108" l="1"/>
  <c r="D163"/>
  <c r="H161"/>
  <c r="F161" s="1"/>
  <c r="I161" s="1"/>
  <c r="H161" i="107"/>
  <c r="G161"/>
  <c r="F161" s="1"/>
  <c r="G163" i="109"/>
  <c r="D164"/>
  <c r="I161"/>
  <c r="H161"/>
  <c r="F161" s="1"/>
  <c r="H162" i="108" l="1"/>
  <c r="F162" s="1"/>
  <c r="I162" s="1"/>
  <c r="I162" i="109"/>
  <c r="H162"/>
  <c r="F162" s="1"/>
  <c r="G162" i="107"/>
  <c r="F162" s="1"/>
  <c r="H162"/>
  <c r="G163" i="108"/>
  <c r="D164"/>
  <c r="D165" i="109"/>
  <c r="G164"/>
  <c r="I163" i="108" l="1"/>
  <c r="H163"/>
  <c r="F163" s="1"/>
  <c r="G163" i="107"/>
  <c r="F163" s="1"/>
  <c r="H163" s="1"/>
  <c r="I163" i="109"/>
  <c r="H163"/>
  <c r="F163" s="1"/>
  <c r="G164" i="108"/>
  <c r="D165"/>
  <c r="G165" i="109"/>
  <c r="D166"/>
  <c r="H164" i="107" l="1"/>
  <c r="G164"/>
  <c r="F164" s="1"/>
  <c r="D167" i="109"/>
  <c r="G166"/>
  <c r="I164"/>
  <c r="H164"/>
  <c r="F164" s="1"/>
  <c r="H164" i="108"/>
  <c r="F164" s="1"/>
  <c r="I164" s="1"/>
  <c r="G165"/>
  <c r="D166"/>
  <c r="I165" l="1"/>
  <c r="H165"/>
  <c r="F165" s="1"/>
  <c r="I165" i="109"/>
  <c r="H165"/>
  <c r="F165" s="1"/>
  <c r="H165" i="107"/>
  <c r="G165"/>
  <c r="F165" s="1"/>
  <c r="G166" i="108"/>
  <c r="D167"/>
  <c r="G167" i="109"/>
  <c r="D168"/>
  <c r="G168" l="1"/>
  <c r="D169"/>
  <c r="G166" i="107"/>
  <c r="F166" s="1"/>
  <c r="H166" s="1"/>
  <c r="H166" i="108"/>
  <c r="F166" s="1"/>
  <c r="I166" s="1"/>
  <c r="I166" i="109"/>
  <c r="H166"/>
  <c r="F166" s="1"/>
  <c r="G167" i="108"/>
  <c r="D168"/>
  <c r="H167" i="107" l="1"/>
  <c r="G167"/>
  <c r="F167" s="1"/>
  <c r="H167" i="108"/>
  <c r="F167" s="1"/>
  <c r="I167" s="1"/>
  <c r="G168"/>
  <c r="D169"/>
  <c r="G169" i="109"/>
  <c r="D170"/>
  <c r="H167"/>
  <c r="F167" s="1"/>
  <c r="I167" s="1"/>
  <c r="I168" i="108" l="1"/>
  <c r="H168"/>
  <c r="F168" s="1"/>
  <c r="H168" i="109"/>
  <c r="F168" s="1"/>
  <c r="I168" s="1"/>
  <c r="H168" i="107"/>
  <c r="G168"/>
  <c r="F168" s="1"/>
  <c r="G169" i="108"/>
  <c r="D170"/>
  <c r="D171" i="109"/>
  <c r="G170"/>
  <c r="I169" l="1"/>
  <c r="H169"/>
  <c r="F169" s="1"/>
  <c r="G169" i="107"/>
  <c r="F169" s="1"/>
  <c r="H169" s="1"/>
  <c r="I169" i="108"/>
  <c r="H169"/>
  <c r="F169" s="1"/>
  <c r="G171" i="109"/>
  <c r="D172"/>
  <c r="G170" i="108"/>
  <c r="D171"/>
  <c r="G170" i="107" l="1"/>
  <c r="F170" s="1"/>
  <c r="H170" s="1"/>
  <c r="G171" i="108"/>
  <c r="D172"/>
  <c r="I170"/>
  <c r="H170"/>
  <c r="F170" s="1"/>
  <c r="I170" i="109"/>
  <c r="H170"/>
  <c r="F170" s="1"/>
  <c r="D173"/>
  <c r="G172"/>
  <c r="H171" i="107" l="1"/>
  <c r="G171"/>
  <c r="F171" s="1"/>
  <c r="H171" i="108"/>
  <c r="F171" s="1"/>
  <c r="I171" s="1"/>
  <c r="G173" i="109"/>
  <c r="D174"/>
  <c r="H171"/>
  <c r="F171" s="1"/>
  <c r="I171" s="1"/>
  <c r="G172" i="108"/>
  <c r="D173"/>
  <c r="I172" i="109" l="1"/>
  <c r="H172"/>
  <c r="F172" s="1"/>
  <c r="I172" i="108"/>
  <c r="H172"/>
  <c r="F172" s="1"/>
  <c r="H172" i="107"/>
  <c r="G172"/>
  <c r="F172" s="1"/>
  <c r="G173" i="108"/>
  <c r="D174"/>
  <c r="D175" i="109"/>
  <c r="G174"/>
  <c r="G175" l="1"/>
  <c r="D176"/>
  <c r="H173" i="107"/>
  <c r="G173"/>
  <c r="F173" s="1"/>
  <c r="I173" i="109"/>
  <c r="H173"/>
  <c r="F173" s="1"/>
  <c r="I173" i="108"/>
  <c r="H173"/>
  <c r="F173" s="1"/>
  <c r="G174"/>
  <c r="D175"/>
  <c r="G175" l="1"/>
  <c r="D176"/>
  <c r="I174" i="109"/>
  <c r="H174"/>
  <c r="F174" s="1"/>
  <c r="G176"/>
  <c r="D177"/>
  <c r="I174" i="108"/>
  <c r="H174"/>
  <c r="F174" s="1"/>
  <c r="G174" i="107"/>
  <c r="F174" s="1"/>
  <c r="H174" s="1"/>
  <c r="H175" l="1"/>
  <c r="G175"/>
  <c r="F175" s="1"/>
  <c r="G177" i="109"/>
  <c r="D178"/>
  <c r="G176" i="108"/>
  <c r="D177"/>
  <c r="I175"/>
  <c r="H175"/>
  <c r="F175" s="1"/>
  <c r="H175" i="109"/>
  <c r="F175" s="1"/>
  <c r="I175" s="1"/>
  <c r="I176" l="1"/>
  <c r="H176"/>
  <c r="F176" s="1"/>
  <c r="G176" i="107"/>
  <c r="F176" s="1"/>
  <c r="H176" s="1"/>
  <c r="G177" i="108"/>
  <c r="D178"/>
  <c r="H176"/>
  <c r="F176" s="1"/>
  <c r="I176" s="1"/>
  <c r="D179" i="109"/>
  <c r="G178"/>
  <c r="H177" i="108" l="1"/>
  <c r="F177" s="1"/>
  <c r="I177" s="1"/>
  <c r="H177" i="107"/>
  <c r="G177"/>
  <c r="F177" s="1"/>
  <c r="H177" i="109"/>
  <c r="F177" s="1"/>
  <c r="I177" s="1"/>
  <c r="G179"/>
  <c r="D180"/>
  <c r="G178" i="108"/>
  <c r="D179"/>
  <c r="I178" l="1"/>
  <c r="H178"/>
  <c r="F178" s="1"/>
  <c r="I178" i="109"/>
  <c r="H178"/>
  <c r="F178" s="1"/>
  <c r="G178" i="107"/>
  <c r="F178" s="1"/>
  <c r="H178" s="1"/>
  <c r="G179" i="108"/>
  <c r="D180"/>
  <c r="G180" i="109"/>
  <c r="D181"/>
  <c r="H179" i="107" l="1"/>
  <c r="G179"/>
  <c r="F179" s="1"/>
  <c r="H179" i="108"/>
  <c r="F179" s="1"/>
  <c r="I179" s="1"/>
  <c r="G181" i="109"/>
  <c r="D182"/>
  <c r="H179"/>
  <c r="F179" s="1"/>
  <c r="I179" s="1"/>
  <c r="G180" i="108"/>
  <c r="D181"/>
  <c r="I180" i="109" l="1"/>
  <c r="H180"/>
  <c r="F180" s="1"/>
  <c r="I180" i="108"/>
  <c r="H180"/>
  <c r="F180" s="1"/>
  <c r="H180" i="107"/>
  <c r="G180"/>
  <c r="F180" s="1"/>
  <c r="G181" i="108"/>
  <c r="D182"/>
  <c r="G182" i="109"/>
  <c r="D183"/>
  <c r="I181" l="1"/>
  <c r="H181"/>
  <c r="F181" s="1"/>
  <c r="G183"/>
  <c r="D184"/>
  <c r="G181" i="107"/>
  <c r="F181" s="1"/>
  <c r="H181" s="1"/>
  <c r="H181" i="108"/>
  <c r="F181" s="1"/>
  <c r="I181" s="1"/>
  <c r="G182"/>
  <c r="D183"/>
  <c r="G182" i="107" l="1"/>
  <c r="F182" s="1"/>
  <c r="H182" s="1"/>
  <c r="I182" i="108"/>
  <c r="H182"/>
  <c r="F182" s="1"/>
  <c r="I182" i="109"/>
  <c r="H182"/>
  <c r="F182" s="1"/>
  <c r="G183" i="108"/>
  <c r="D184"/>
  <c r="G184" i="109"/>
  <c r="D185"/>
  <c r="H183" i="107" l="1"/>
  <c r="G183"/>
  <c r="F183" s="1"/>
  <c r="I183" i="109"/>
  <c r="H183"/>
  <c r="F183" s="1"/>
  <c r="G185"/>
  <c r="D186"/>
  <c r="I183" i="108"/>
  <c r="H183"/>
  <c r="F183" s="1"/>
  <c r="G184"/>
  <c r="D185"/>
  <c r="G184" i="107" l="1"/>
  <c r="F184" s="1"/>
  <c r="H184" s="1"/>
  <c r="G185" i="108"/>
  <c r="D186"/>
  <c r="G186" i="109"/>
  <c r="D187"/>
  <c r="I184" i="108"/>
  <c r="H184"/>
  <c r="F184" s="1"/>
  <c r="I184" i="109"/>
  <c r="H184"/>
  <c r="F184" s="1"/>
  <c r="G185" i="107" l="1"/>
  <c r="F185" s="1"/>
  <c r="H185" s="1"/>
  <c r="G187" i="109"/>
  <c r="D188"/>
  <c r="H185" i="108"/>
  <c r="F185" s="1"/>
  <c r="I185" s="1"/>
  <c r="I185" i="109"/>
  <c r="H185"/>
  <c r="F185" s="1"/>
  <c r="G186" i="108"/>
  <c r="D187"/>
  <c r="G186" i="107" l="1"/>
  <c r="F186" s="1"/>
  <c r="H186" s="1"/>
  <c r="I186" i="108"/>
  <c r="H186"/>
  <c r="F186" s="1"/>
  <c r="G187"/>
  <c r="D188"/>
  <c r="I186" i="109"/>
  <c r="H186"/>
  <c r="F186" s="1"/>
  <c r="G188"/>
  <c r="D189"/>
  <c r="H187" i="107" l="1"/>
  <c r="G187"/>
  <c r="F187" s="1"/>
  <c r="H187" i="109"/>
  <c r="F187" s="1"/>
  <c r="I187" s="1"/>
  <c r="G189"/>
  <c r="D190"/>
  <c r="G188" i="108"/>
  <c r="D189"/>
  <c r="I187"/>
  <c r="H187"/>
  <c r="F187" s="1"/>
  <c r="H188" i="109" l="1"/>
  <c r="F188" s="1"/>
  <c r="I188" s="1"/>
  <c r="H188" i="108"/>
  <c r="F188" s="1"/>
  <c r="I188" s="1"/>
  <c r="G188" i="107"/>
  <c r="F188" s="1"/>
  <c r="H188" s="1"/>
  <c r="G190" i="109"/>
  <c r="D191"/>
  <c r="G189" i="108"/>
  <c r="D190"/>
  <c r="H189" i="109" l="1"/>
  <c r="F189" s="1"/>
  <c r="I189" s="1"/>
  <c r="H189" i="108"/>
  <c r="F189" s="1"/>
  <c r="I189" s="1"/>
  <c r="G189" i="107"/>
  <c r="F189" s="1"/>
  <c r="H189" s="1"/>
  <c r="G190" i="108"/>
  <c r="D191"/>
  <c r="G191" i="109"/>
  <c r="D192"/>
  <c r="G190" i="107" l="1"/>
  <c r="F190" s="1"/>
  <c r="H190" s="1"/>
  <c r="I190" i="109"/>
  <c r="H190"/>
  <c r="F190" s="1"/>
  <c r="I190" i="108"/>
  <c r="H190"/>
  <c r="F190" s="1"/>
  <c r="G192" i="109"/>
  <c r="D193"/>
  <c r="G191" i="108"/>
  <c r="D192"/>
  <c r="H191" i="107" l="1"/>
  <c r="G191"/>
  <c r="F191" s="1"/>
  <c r="G192" i="108"/>
  <c r="D193"/>
  <c r="H191" i="109"/>
  <c r="F191" s="1"/>
  <c r="I191" s="1"/>
  <c r="I191" i="108"/>
  <c r="H191"/>
  <c r="F191" s="1"/>
  <c r="G193" i="109"/>
  <c r="D194"/>
  <c r="H192" l="1"/>
  <c r="F192" s="1"/>
  <c r="I192" s="1"/>
  <c r="G192" i="107"/>
  <c r="F192" s="1"/>
  <c r="H192" s="1"/>
  <c r="G194" i="109"/>
  <c r="D195"/>
  <c r="H192" i="108"/>
  <c r="F192" s="1"/>
  <c r="I192" s="1"/>
  <c r="G193"/>
  <c r="D194"/>
  <c r="H193" l="1"/>
  <c r="F193" s="1"/>
  <c r="I193" s="1"/>
  <c r="H193" i="107"/>
  <c r="G193"/>
  <c r="F193" s="1"/>
  <c r="H193" i="109"/>
  <c r="F193" s="1"/>
  <c r="I193" s="1"/>
  <c r="G195"/>
  <c r="D196"/>
  <c r="G194" i="108"/>
  <c r="D195"/>
  <c r="H194" l="1"/>
  <c r="F194" s="1"/>
  <c r="I194" s="1"/>
  <c r="I194" i="109"/>
  <c r="H194"/>
  <c r="F194" s="1"/>
  <c r="G195" i="108"/>
  <c r="D196"/>
  <c r="G194" i="107"/>
  <c r="F194" s="1"/>
  <c r="H194" s="1"/>
  <c r="G196" i="109"/>
  <c r="D197"/>
  <c r="H195" i="108" l="1"/>
  <c r="F195" s="1"/>
  <c r="I195" s="1"/>
  <c r="H195" i="107"/>
  <c r="G195"/>
  <c r="F195" s="1"/>
  <c r="G197" i="109"/>
  <c r="D198"/>
  <c r="G196" i="108"/>
  <c r="D197"/>
  <c r="H195" i="109"/>
  <c r="F195" s="1"/>
  <c r="I195" s="1"/>
  <c r="H196" i="108" l="1"/>
  <c r="F196" s="1"/>
  <c r="I196" s="1"/>
  <c r="I196" i="109"/>
  <c r="H196"/>
  <c r="F196" s="1"/>
  <c r="G198"/>
  <c r="D199"/>
  <c r="G196" i="107"/>
  <c r="F196" s="1"/>
  <c r="H196" s="1"/>
  <c r="G197" i="108"/>
  <c r="D198"/>
  <c r="I197" l="1"/>
  <c r="H197"/>
  <c r="F197" s="1"/>
  <c r="H197" i="107"/>
  <c r="G197"/>
  <c r="F197" s="1"/>
  <c r="G199" i="109"/>
  <c r="D200"/>
  <c r="H197"/>
  <c r="F197" s="1"/>
  <c r="I197" s="1"/>
  <c r="G198" i="108"/>
  <c r="D199"/>
  <c r="I198" i="109" l="1"/>
  <c r="H198"/>
  <c r="F198" s="1"/>
  <c r="I198" i="108"/>
  <c r="H198"/>
  <c r="F198" s="1"/>
  <c r="G200" i="109"/>
  <c r="D201"/>
  <c r="G198" i="107"/>
  <c r="F198" s="1"/>
  <c r="H198" s="1"/>
  <c r="G199" i="108"/>
  <c r="D200"/>
  <c r="G199" i="107" l="1"/>
  <c r="F199" s="1"/>
  <c r="H199" s="1"/>
  <c r="I199" i="109"/>
  <c r="H199"/>
  <c r="F199" s="1"/>
  <c r="G200" i="108"/>
  <c r="D201"/>
  <c r="G201" i="109"/>
  <c r="D202"/>
  <c r="H199" i="108"/>
  <c r="F199" s="1"/>
  <c r="I199" s="1"/>
  <c r="G200" i="107" l="1"/>
  <c r="F200" s="1"/>
  <c r="H200" s="1"/>
  <c r="I200" i="108"/>
  <c r="H200"/>
  <c r="F200" s="1"/>
  <c r="G201"/>
  <c r="D202"/>
  <c r="H200" i="109"/>
  <c r="F200" s="1"/>
  <c r="I200" s="1"/>
  <c r="G202"/>
  <c r="D203"/>
  <c r="G201" i="107" l="1"/>
  <c r="F201" s="1"/>
  <c r="H201" s="1"/>
  <c r="I201" i="109"/>
  <c r="H201"/>
  <c r="F201" s="1"/>
  <c r="G203"/>
  <c r="D204"/>
  <c r="H201" i="108"/>
  <c r="F201" s="1"/>
  <c r="I201" s="1"/>
  <c r="G202"/>
  <c r="D203"/>
  <c r="G202" i="107" l="1"/>
  <c r="F202" s="1"/>
  <c r="H202" s="1"/>
  <c r="I202" i="108"/>
  <c r="H202"/>
  <c r="F202" s="1"/>
  <c r="G204" i="109"/>
  <c r="D205"/>
  <c r="H202"/>
  <c r="F202" s="1"/>
  <c r="I202" s="1"/>
  <c r="G203" i="108"/>
  <c r="D204"/>
  <c r="G203" i="107" l="1"/>
  <c r="F203" s="1"/>
  <c r="H203" s="1"/>
  <c r="I203" i="109"/>
  <c r="H203"/>
  <c r="F203" s="1"/>
  <c r="G205"/>
  <c r="D206"/>
  <c r="H203" i="108"/>
  <c r="F203" s="1"/>
  <c r="I203" s="1"/>
  <c r="G204"/>
  <c r="D205"/>
  <c r="H204" i="107" l="1"/>
  <c r="G204"/>
  <c r="F204" s="1"/>
  <c r="I204" i="108"/>
  <c r="H204"/>
  <c r="F204" s="1"/>
  <c r="G205"/>
  <c r="D206"/>
  <c r="I204" i="109"/>
  <c r="H204"/>
  <c r="F204" s="1"/>
  <c r="G206"/>
  <c r="D207"/>
  <c r="G205" i="107" l="1"/>
  <c r="F205" s="1"/>
  <c r="H205" s="1"/>
  <c r="I205" i="109"/>
  <c r="H205"/>
  <c r="F205" s="1"/>
  <c r="H205" i="108"/>
  <c r="F205" s="1"/>
  <c r="I205" s="1"/>
  <c r="G207" i="109"/>
  <c r="D208"/>
  <c r="G206" i="108"/>
  <c r="D207"/>
  <c r="G206" i="107" l="1"/>
  <c r="F206" s="1"/>
  <c r="H206" s="1"/>
  <c r="I206" i="108"/>
  <c r="H206"/>
  <c r="F206" s="1"/>
  <c r="G207"/>
  <c r="D208"/>
  <c r="H206" i="109"/>
  <c r="F206" s="1"/>
  <c r="I206" s="1"/>
  <c r="G208"/>
  <c r="D209"/>
  <c r="H207" i="107" l="1"/>
  <c r="G207"/>
  <c r="F207" s="1"/>
  <c r="I207" i="109"/>
  <c r="H207"/>
  <c r="F207" s="1"/>
  <c r="G209"/>
  <c r="D210"/>
  <c r="G208" i="108"/>
  <c r="D209"/>
  <c r="H207"/>
  <c r="F207" s="1"/>
  <c r="I207" s="1"/>
  <c r="H208" l="1"/>
  <c r="F208" s="1"/>
  <c r="I208" s="1"/>
  <c r="H208" i="107"/>
  <c r="G208"/>
  <c r="F208" s="1"/>
  <c r="G210" i="109"/>
  <c r="D211"/>
  <c r="H208"/>
  <c r="F208" s="1"/>
  <c r="I208" s="1"/>
  <c r="G209" i="108"/>
  <c r="D210"/>
  <c r="H209" l="1"/>
  <c r="F209" s="1"/>
  <c r="I209" s="1"/>
  <c r="I209" i="109"/>
  <c r="H209"/>
  <c r="F209" s="1"/>
  <c r="G211"/>
  <c r="D212"/>
  <c r="G209" i="107"/>
  <c r="F209" s="1"/>
  <c r="H209" s="1"/>
  <c r="G210" i="108"/>
  <c r="D211"/>
  <c r="I210" l="1"/>
  <c r="H210"/>
  <c r="F210" s="1"/>
  <c r="G210" i="107"/>
  <c r="F210" s="1"/>
  <c r="H210" s="1"/>
  <c r="G211" i="108"/>
  <c r="D212"/>
  <c r="I210" i="109"/>
  <c r="H210"/>
  <c r="F210" s="1"/>
  <c r="G212"/>
  <c r="D213"/>
  <c r="H211" i="107" l="1"/>
  <c r="G211"/>
  <c r="F211" s="1"/>
  <c r="I211" i="108"/>
  <c r="H211"/>
  <c r="F211" s="1"/>
  <c r="G213" i="109"/>
  <c r="D214"/>
  <c r="G212" i="108"/>
  <c r="D213"/>
  <c r="H211" i="109"/>
  <c r="F211" s="1"/>
  <c r="I211" s="1"/>
  <c r="H212" l="1"/>
  <c r="F212" s="1"/>
  <c r="I212" s="1"/>
  <c r="H212" i="107"/>
  <c r="G212"/>
  <c r="F212" s="1"/>
  <c r="G214" i="109"/>
  <c r="D215"/>
  <c r="H212" i="108"/>
  <c r="F212" s="1"/>
  <c r="I212" s="1"/>
  <c r="G213"/>
  <c r="D214"/>
  <c r="H213" i="109" l="1"/>
  <c r="F213" s="1"/>
  <c r="I213" s="1"/>
  <c r="I213" i="108"/>
  <c r="H213"/>
  <c r="F213" s="1"/>
  <c r="G215" i="109"/>
  <c r="D216"/>
  <c r="G213" i="107"/>
  <c r="F213" s="1"/>
  <c r="H213" s="1"/>
  <c r="G214" i="108"/>
  <c r="D215"/>
  <c r="H214" i="109" l="1"/>
  <c r="F214" s="1"/>
  <c r="I214" s="1"/>
  <c r="G214" i="107"/>
  <c r="F214" s="1"/>
  <c r="H214" s="1"/>
  <c r="G216" i="109"/>
  <c r="D217"/>
  <c r="I214" i="108"/>
  <c r="H214"/>
  <c r="F214" s="1"/>
  <c r="G215"/>
  <c r="D216"/>
  <c r="H215" i="109" l="1"/>
  <c r="F215" s="1"/>
  <c r="I215" s="1"/>
  <c r="H215" i="107"/>
  <c r="G215"/>
  <c r="F215" s="1"/>
  <c r="G217" i="109"/>
  <c r="D218"/>
  <c r="G216" i="108"/>
  <c r="D217"/>
  <c r="I215"/>
  <c r="H215"/>
  <c r="F215" s="1"/>
  <c r="H216" i="109" l="1"/>
  <c r="F216" s="1"/>
  <c r="I216" s="1"/>
  <c r="G218"/>
  <c r="D219"/>
  <c r="H216" i="108"/>
  <c r="F216" s="1"/>
  <c r="I216" s="1"/>
  <c r="G216" i="107"/>
  <c r="F216" s="1"/>
  <c r="H216" s="1"/>
  <c r="G217" i="108"/>
  <c r="D218"/>
  <c r="G217" i="107" l="1"/>
  <c r="F217" s="1"/>
  <c r="H217" s="1"/>
  <c r="I217" i="109"/>
  <c r="H217"/>
  <c r="F217" s="1"/>
  <c r="H217" i="108"/>
  <c r="F217" s="1"/>
  <c r="I217" s="1"/>
  <c r="G218"/>
  <c r="D219"/>
  <c r="G219" i="109"/>
  <c r="D220"/>
  <c r="G218" i="107" l="1"/>
  <c r="F218" s="1"/>
  <c r="H218" s="1"/>
  <c r="I218" i="108"/>
  <c r="H218"/>
  <c r="F218" s="1"/>
  <c r="G220" i="109"/>
  <c r="D221"/>
  <c r="H218"/>
  <c r="F218" s="1"/>
  <c r="I218" s="1"/>
  <c r="G219" i="108"/>
  <c r="D220"/>
  <c r="G219" i="107" l="1"/>
  <c r="F219" s="1"/>
  <c r="H219" s="1"/>
  <c r="I219" i="109"/>
  <c r="H219"/>
  <c r="F219" s="1"/>
  <c r="G220" i="108"/>
  <c r="D221"/>
  <c r="G221" i="109"/>
  <c r="D222"/>
  <c r="H219" i="108"/>
  <c r="F219" s="1"/>
  <c r="I219" s="1"/>
  <c r="G220" i="107" l="1"/>
  <c r="F220" s="1"/>
  <c r="H220" s="1"/>
  <c r="I220" i="108"/>
  <c r="H220"/>
  <c r="F220" s="1"/>
  <c r="G221"/>
  <c r="D222"/>
  <c r="H220" i="109"/>
  <c r="F220" s="1"/>
  <c r="I220" s="1"/>
  <c r="G222"/>
  <c r="D223"/>
  <c r="G221" i="107" l="1"/>
  <c r="F221" s="1"/>
  <c r="H221" s="1"/>
  <c r="I221" i="109"/>
  <c r="H221"/>
  <c r="F221" s="1"/>
  <c r="G222" i="108"/>
  <c r="D223"/>
  <c r="H221"/>
  <c r="F221" s="1"/>
  <c r="I221" s="1"/>
  <c r="G223" i="109"/>
  <c r="D224"/>
  <c r="G222" i="107" l="1"/>
  <c r="F222" s="1"/>
  <c r="H222" s="1"/>
  <c r="I222" i="108"/>
  <c r="H222"/>
  <c r="F222" s="1"/>
  <c r="G223"/>
  <c r="D224"/>
  <c r="I222" i="109"/>
  <c r="H222"/>
  <c r="F222" s="1"/>
  <c r="G224"/>
  <c r="D225"/>
  <c r="G223" i="107" l="1"/>
  <c r="F223" s="1"/>
  <c r="H223" s="1"/>
  <c r="G225" i="109"/>
  <c r="D226"/>
  <c r="G224" i="108"/>
  <c r="D225"/>
  <c r="H223"/>
  <c r="F223" s="1"/>
  <c r="I223" s="1"/>
  <c r="H223" i="109"/>
  <c r="F223" s="1"/>
  <c r="I223" s="1"/>
  <c r="G224" i="107" l="1"/>
  <c r="F224" s="1"/>
  <c r="H224" s="1"/>
  <c r="I224" i="108"/>
  <c r="H224"/>
  <c r="F224" s="1"/>
  <c r="H224" i="109"/>
  <c r="F224" s="1"/>
  <c r="I224" s="1"/>
  <c r="G225" i="108"/>
  <c r="D226"/>
  <c r="G226" i="109"/>
  <c r="D227"/>
  <c r="G225" i="107" l="1"/>
  <c r="F225" s="1"/>
  <c r="H225" s="1"/>
  <c r="I225" i="109"/>
  <c r="H225"/>
  <c r="F225" s="1"/>
  <c r="G227"/>
  <c r="D228"/>
  <c r="H225" i="108"/>
  <c r="F225" s="1"/>
  <c r="I225" s="1"/>
  <c r="G226"/>
  <c r="D227"/>
  <c r="G226" i="107" l="1"/>
  <c r="F226" s="1"/>
  <c r="H226" s="1"/>
  <c r="I226" i="108"/>
  <c r="H226"/>
  <c r="F226" s="1"/>
  <c r="G227"/>
  <c r="D228"/>
  <c r="H226" i="109"/>
  <c r="F226" s="1"/>
  <c r="I226" s="1"/>
  <c r="G228"/>
  <c r="D229"/>
  <c r="G227" i="107" l="1"/>
  <c r="F227" s="1"/>
  <c r="H227" s="1"/>
  <c r="I227" i="109"/>
  <c r="H227"/>
  <c r="F227" s="1"/>
  <c r="G229"/>
  <c r="D230"/>
  <c r="G228" i="108"/>
  <c r="D229"/>
  <c r="H227"/>
  <c r="F227" s="1"/>
  <c r="I227" s="1"/>
  <c r="G228" i="107" l="1"/>
  <c r="F228" s="1"/>
  <c r="H228" s="1"/>
  <c r="I228" i="108"/>
  <c r="H228"/>
  <c r="F228" s="1"/>
  <c r="G230" i="109"/>
  <c r="D231"/>
  <c r="H228"/>
  <c r="F228" s="1"/>
  <c r="I228" s="1"/>
  <c r="G229" i="108"/>
  <c r="D230"/>
  <c r="G229" i="107" l="1"/>
  <c r="F229" s="1"/>
  <c r="H229" s="1"/>
  <c r="I229" i="109"/>
  <c r="H229"/>
  <c r="F229" s="1"/>
  <c r="G231"/>
  <c r="D232"/>
  <c r="H229" i="108"/>
  <c r="F229" s="1"/>
  <c r="I229" s="1"/>
  <c r="G230"/>
  <c r="D231"/>
  <c r="G230" i="107" l="1"/>
  <c r="F230" s="1"/>
  <c r="H230" s="1"/>
  <c r="I230" i="108"/>
  <c r="H230"/>
  <c r="F230" s="1"/>
  <c r="G231"/>
  <c r="D232"/>
  <c r="H230" i="109"/>
  <c r="F230" s="1"/>
  <c r="I230" s="1"/>
  <c r="G232"/>
  <c r="D233"/>
  <c r="G231" i="107" l="1"/>
  <c r="F231" s="1"/>
  <c r="H231" s="1"/>
  <c r="I231" i="109"/>
  <c r="H231"/>
  <c r="F231" s="1"/>
  <c r="G233"/>
  <c r="D234"/>
  <c r="G232" i="108"/>
  <c r="D233"/>
  <c r="H231"/>
  <c r="F231" s="1"/>
  <c r="I231" s="1"/>
  <c r="G232" i="107" l="1"/>
  <c r="F232" s="1"/>
  <c r="H232" s="1"/>
  <c r="I232" i="108"/>
  <c r="H232"/>
  <c r="F232" s="1"/>
  <c r="G234" i="109"/>
  <c r="D235"/>
  <c r="H232"/>
  <c r="F232" s="1"/>
  <c r="I232" s="1"/>
  <c r="G233" i="108"/>
  <c r="D234"/>
  <c r="G233" i="107" l="1"/>
  <c r="F233" s="1"/>
  <c r="H233" s="1"/>
  <c r="I233" i="109"/>
  <c r="H233"/>
  <c r="F233" s="1"/>
  <c r="G234" i="108"/>
  <c r="D235"/>
  <c r="H233"/>
  <c r="F233" s="1"/>
  <c r="I233" s="1"/>
  <c r="G235" i="109"/>
  <c r="D236"/>
  <c r="G234" i="107" l="1"/>
  <c r="F234" s="1"/>
  <c r="H234" s="1"/>
  <c r="I234" i="108"/>
  <c r="H234"/>
  <c r="F234" s="1"/>
  <c r="G236" i="109"/>
  <c r="D237"/>
  <c r="H234"/>
  <c r="F234" s="1"/>
  <c r="I234" s="1"/>
  <c r="G235" i="108"/>
  <c r="D236"/>
  <c r="G235" i="107" l="1"/>
  <c r="F235" s="1"/>
  <c r="H235" s="1"/>
  <c r="I235" i="109"/>
  <c r="H235"/>
  <c r="F235" s="1"/>
  <c r="G237"/>
  <c r="D238"/>
  <c r="H235" i="108"/>
  <c r="F235" s="1"/>
  <c r="I235" s="1"/>
  <c r="G236"/>
  <c r="D237"/>
  <c r="G236" i="107" l="1"/>
  <c r="F236" s="1"/>
  <c r="H236" s="1"/>
  <c r="I236" i="108"/>
  <c r="H236"/>
  <c r="F236" s="1"/>
  <c r="G237"/>
  <c r="D238"/>
  <c r="H236" i="109"/>
  <c r="F236" s="1"/>
  <c r="I236" s="1"/>
  <c r="G238"/>
  <c r="D239"/>
  <c r="G237" i="107" l="1"/>
  <c r="F237" s="1"/>
  <c r="H237" s="1"/>
  <c r="I237" i="109"/>
  <c r="H237"/>
  <c r="F237" s="1"/>
  <c r="G239"/>
  <c r="D240"/>
  <c r="H237" i="108"/>
  <c r="F237" s="1"/>
  <c r="I237" s="1"/>
  <c r="G238"/>
  <c r="D239"/>
  <c r="G238" i="107" l="1"/>
  <c r="F238" s="1"/>
  <c r="H238" s="1"/>
  <c r="I238" i="108"/>
  <c r="H238"/>
  <c r="F238" s="1"/>
  <c r="G239"/>
  <c r="D240"/>
  <c r="H238" i="109"/>
  <c r="F238" s="1"/>
  <c r="I238" s="1"/>
  <c r="G240"/>
  <c r="D241"/>
  <c r="G239" i="107" l="1"/>
  <c r="F239" s="1"/>
  <c r="H239" s="1"/>
  <c r="I239" i="109"/>
  <c r="H239"/>
  <c r="F239" s="1"/>
  <c r="G241"/>
  <c r="D242"/>
  <c r="G240" i="108"/>
  <c r="D241"/>
  <c r="I239"/>
  <c r="H239"/>
  <c r="F239" s="1"/>
  <c r="G240" i="107" l="1"/>
  <c r="F240" s="1"/>
  <c r="H240" s="1"/>
  <c r="G242" i="109"/>
  <c r="D243"/>
  <c r="H240" i="108"/>
  <c r="F240" s="1"/>
  <c r="I240" s="1"/>
  <c r="H240" i="109"/>
  <c r="F240" s="1"/>
  <c r="I240" s="1"/>
  <c r="G241" i="108"/>
  <c r="D242"/>
  <c r="H241" i="109" l="1"/>
  <c r="F241" s="1"/>
  <c r="I241" s="1"/>
  <c r="H241" i="107"/>
  <c r="G241"/>
  <c r="F241" s="1"/>
  <c r="H241" i="108"/>
  <c r="F241" s="1"/>
  <c r="I241" s="1"/>
  <c r="G242"/>
  <c r="D243"/>
  <c r="G243" i="109"/>
  <c r="D244"/>
  <c r="H242" l="1"/>
  <c r="F242" s="1"/>
  <c r="I242" s="1"/>
  <c r="I242" i="108"/>
  <c r="H242"/>
  <c r="F242" s="1"/>
  <c r="G244" i="109"/>
  <c r="D245"/>
  <c r="G242" i="107"/>
  <c r="F242" s="1"/>
  <c r="H242" s="1"/>
  <c r="G243" i="108"/>
  <c r="D244"/>
  <c r="H243" i="109" l="1"/>
  <c r="F243" s="1"/>
  <c r="I243" s="1"/>
  <c r="H243" i="107"/>
  <c r="G243"/>
  <c r="F243" s="1"/>
  <c r="G244" i="108"/>
  <c r="D245"/>
  <c r="G245" i="109"/>
  <c r="D246"/>
  <c r="H243" i="108"/>
  <c r="F243" s="1"/>
  <c r="I243" s="1"/>
  <c r="H244" i="109" l="1"/>
  <c r="F244" s="1"/>
  <c r="I244" s="1"/>
  <c r="H244" i="108"/>
  <c r="F244" s="1"/>
  <c r="I244" s="1"/>
  <c r="D246"/>
  <c r="G245"/>
  <c r="H244" i="107"/>
  <c r="G244"/>
  <c r="F244" s="1"/>
  <c r="G246" i="109"/>
  <c r="D247"/>
  <c r="H245" l="1"/>
  <c r="F245" s="1"/>
  <c r="I245" s="1"/>
  <c r="I245" i="108"/>
  <c r="H245"/>
  <c r="F245" s="1"/>
  <c r="G246"/>
  <c r="D247"/>
  <c r="G247" i="109"/>
  <c r="D248"/>
  <c r="G245" i="107"/>
  <c r="F245" s="1"/>
  <c r="H245" s="1"/>
  <c r="H246" i="109" l="1"/>
  <c r="F246" s="1"/>
  <c r="I246" s="1"/>
  <c r="G246" i="107"/>
  <c r="F246" s="1"/>
  <c r="H246" s="1"/>
  <c r="D248" i="108"/>
  <c r="G247"/>
  <c r="H246"/>
  <c r="F246" s="1"/>
  <c r="I246" s="1"/>
  <c r="G248" i="109"/>
  <c r="D249"/>
  <c r="H247" i="108" l="1"/>
  <c r="F247" s="1"/>
  <c r="I247" s="1"/>
  <c r="I247" i="109"/>
  <c r="H247"/>
  <c r="F247" s="1"/>
  <c r="G247" i="107"/>
  <c r="F247" s="1"/>
  <c r="H247" s="1"/>
  <c r="G248" i="108"/>
  <c r="D249"/>
  <c r="G249" i="109"/>
  <c r="D250"/>
  <c r="H248" i="108" l="1"/>
  <c r="F248" s="1"/>
  <c r="I248" s="1"/>
  <c r="H248" i="107"/>
  <c r="G248"/>
  <c r="F248" s="1"/>
  <c r="G250" i="109"/>
  <c r="D251"/>
  <c r="H248"/>
  <c r="F248" s="1"/>
  <c r="I248" s="1"/>
  <c r="D250" i="108"/>
  <c r="G249"/>
  <c r="H249" l="1"/>
  <c r="F249" s="1"/>
  <c r="I249" s="1"/>
  <c r="I249" i="109"/>
  <c r="H249"/>
  <c r="F249" s="1"/>
  <c r="G250" i="108"/>
  <c r="D251"/>
  <c r="G251" i="109"/>
  <c r="D252"/>
  <c r="G249" i="107"/>
  <c r="F249" s="1"/>
  <c r="H249" s="1"/>
  <c r="H250" i="108" l="1"/>
  <c r="F250" s="1"/>
  <c r="I250" s="1"/>
  <c r="G250" i="107"/>
  <c r="F250" s="1"/>
  <c r="H250" s="1"/>
  <c r="D252" i="108"/>
  <c r="G251"/>
  <c r="I250" i="109"/>
  <c r="H250"/>
  <c r="F250" s="1"/>
  <c r="D253"/>
  <c r="G252"/>
  <c r="H251" i="108" l="1"/>
  <c r="F251" s="1"/>
  <c r="I251" s="1"/>
  <c r="H251" i="107"/>
  <c r="G251"/>
  <c r="F251" s="1"/>
  <c r="G253" i="109"/>
  <c r="D254"/>
  <c r="G252" i="108"/>
  <c r="D253"/>
  <c r="H251" i="109"/>
  <c r="F251" s="1"/>
  <c r="I251" s="1"/>
  <c r="H252" i="108" l="1"/>
  <c r="F252" s="1"/>
  <c r="I252" s="1"/>
  <c r="I252" i="109"/>
  <c r="H252"/>
  <c r="F252" s="1"/>
  <c r="D255"/>
  <c r="G254"/>
  <c r="G252" i="107"/>
  <c r="F252" s="1"/>
  <c r="H252" s="1"/>
  <c r="D254" i="108"/>
  <c r="G253"/>
  <c r="H253" l="1"/>
  <c r="F253" s="1"/>
  <c r="I253" s="1"/>
  <c r="H253" i="107"/>
  <c r="G253"/>
  <c r="F253" s="1"/>
  <c r="G255" i="109"/>
  <c r="D256"/>
  <c r="G254" i="108"/>
  <c r="D255"/>
  <c r="H253" i="109"/>
  <c r="F253" s="1"/>
  <c r="I253" s="1"/>
  <c r="H254" i="108" l="1"/>
  <c r="F254" s="1"/>
  <c r="I254" s="1"/>
  <c r="I254" i="109"/>
  <c r="H254"/>
  <c r="F254" s="1"/>
  <c r="D257"/>
  <c r="G256"/>
  <c r="G254" i="107"/>
  <c r="F254" s="1"/>
  <c r="H254" s="1"/>
  <c r="D256" i="108"/>
  <c r="G255"/>
  <c r="H255" l="1"/>
  <c r="F255" s="1"/>
  <c r="I255" s="1"/>
  <c r="H255" i="107"/>
  <c r="G255"/>
  <c r="F255" s="1"/>
  <c r="G256" i="108"/>
  <c r="D257"/>
  <c r="G257" i="109"/>
  <c r="D258"/>
  <c r="H255"/>
  <c r="F255" s="1"/>
  <c r="I255" s="1"/>
  <c r="H256" i="108" l="1"/>
  <c r="F256" s="1"/>
  <c r="I256" s="1"/>
  <c r="I256" i="109"/>
  <c r="H256"/>
  <c r="F256" s="1"/>
  <c r="D258" i="108"/>
  <c r="G257"/>
  <c r="G256" i="107"/>
  <c r="F256" s="1"/>
  <c r="H256" s="1"/>
  <c r="D259" i="109"/>
  <c r="G258"/>
  <c r="H257" i="108" l="1"/>
  <c r="F257" s="1"/>
  <c r="I257" s="1"/>
  <c r="H257" i="107"/>
  <c r="G257"/>
  <c r="F257" s="1"/>
  <c r="G259" i="109"/>
  <c r="D260"/>
  <c r="G258" i="108"/>
  <c r="D259"/>
  <c r="H257" i="109"/>
  <c r="F257" s="1"/>
  <c r="I257" s="1"/>
  <c r="H258" i="108" l="1"/>
  <c r="F258" s="1"/>
  <c r="I258" s="1"/>
  <c r="I258" i="109"/>
  <c r="H258"/>
  <c r="F258" s="1"/>
  <c r="D261"/>
  <c r="G260"/>
  <c r="G258" i="107"/>
  <c r="F258" s="1"/>
  <c r="H258" s="1"/>
  <c r="D260" i="108"/>
  <c r="G259"/>
  <c r="H259" l="1"/>
  <c r="F259" s="1"/>
  <c r="I259" s="1"/>
  <c r="H259" i="107"/>
  <c r="G259"/>
  <c r="F259" s="1"/>
  <c r="G260" i="108"/>
  <c r="D261"/>
  <c r="G261" i="109"/>
  <c r="D262"/>
  <c r="H259"/>
  <c r="F259" s="1"/>
  <c r="I259" s="1"/>
  <c r="H260" i="108" l="1"/>
  <c r="F260" s="1"/>
  <c r="I260" s="1"/>
  <c r="I260" i="109"/>
  <c r="H260"/>
  <c r="F260" s="1"/>
  <c r="D262" i="108"/>
  <c r="G261"/>
  <c r="G260" i="107"/>
  <c r="F260" s="1"/>
  <c r="H260" s="1"/>
  <c r="D263" i="109"/>
  <c r="G262"/>
  <c r="H261" i="108" l="1"/>
  <c r="F261" s="1"/>
  <c r="I261" s="1"/>
  <c r="H261" i="107"/>
  <c r="G261"/>
  <c r="F261" s="1"/>
  <c r="G263" i="109"/>
  <c r="D264"/>
  <c r="G262" i="108"/>
  <c r="D263"/>
  <c r="H261" i="109"/>
  <c r="F261" s="1"/>
  <c r="I261" s="1"/>
  <c r="H262" i="108" l="1"/>
  <c r="F262" s="1"/>
  <c r="I262" s="1"/>
  <c r="I262" i="109"/>
  <c r="H262"/>
  <c r="F262" s="1"/>
  <c r="D265"/>
  <c r="G264"/>
  <c r="G262" i="107"/>
  <c r="F262" s="1"/>
  <c r="H262" s="1"/>
  <c r="D264" i="108"/>
  <c r="G263"/>
  <c r="H263" l="1"/>
  <c r="F263" s="1"/>
  <c r="I263" s="1"/>
  <c r="H263" i="107"/>
  <c r="G263"/>
  <c r="F263" s="1"/>
  <c r="G264" i="108"/>
  <c r="D265"/>
  <c r="G265" i="109"/>
  <c r="D266"/>
  <c r="H263"/>
  <c r="F263" s="1"/>
  <c r="I263" s="1"/>
  <c r="H264" i="108" l="1"/>
  <c r="F264" s="1"/>
  <c r="I264" s="1"/>
  <c r="I264" i="109"/>
  <c r="H264"/>
  <c r="F264" s="1"/>
  <c r="D266" i="108"/>
  <c r="G265"/>
  <c r="G264" i="107"/>
  <c r="F264" s="1"/>
  <c r="H264" s="1"/>
  <c r="D267" i="109"/>
  <c r="G266"/>
  <c r="H265" i="108" l="1"/>
  <c r="F265" s="1"/>
  <c r="I265" s="1"/>
  <c r="H265" i="107"/>
  <c r="G265"/>
  <c r="F265" s="1"/>
  <c r="G267" i="109"/>
  <c r="D268"/>
  <c r="G266" i="108"/>
  <c r="D267"/>
  <c r="H265" i="109"/>
  <c r="F265" s="1"/>
  <c r="I265" s="1"/>
  <c r="H266" i="108" l="1"/>
  <c r="F266" s="1"/>
  <c r="I266" s="1"/>
  <c r="I266" i="109"/>
  <c r="H266"/>
  <c r="F266" s="1"/>
  <c r="D269"/>
  <c r="G268"/>
  <c r="G266" i="107"/>
  <c r="F266" s="1"/>
  <c r="H266" s="1"/>
  <c r="D268" i="108"/>
  <c r="G267"/>
  <c r="H267" l="1"/>
  <c r="F267" s="1"/>
  <c r="I267" s="1"/>
  <c r="H267" i="107"/>
  <c r="G267"/>
  <c r="F267" s="1"/>
  <c r="G268" i="108"/>
  <c r="D269"/>
  <c r="G269" i="109"/>
  <c r="D270"/>
  <c r="H267"/>
  <c r="F267" s="1"/>
  <c r="I267" s="1"/>
  <c r="H268" i="108" l="1"/>
  <c r="F268" s="1"/>
  <c r="I268" s="1"/>
  <c r="I268" i="109"/>
  <c r="H268"/>
  <c r="F268" s="1"/>
  <c r="D270" i="108"/>
  <c r="G269"/>
  <c r="G268" i="107"/>
  <c r="F268" s="1"/>
  <c r="H268" s="1"/>
  <c r="D271" i="109"/>
  <c r="G270"/>
  <c r="H269" i="108" l="1"/>
  <c r="F269" s="1"/>
  <c r="I269" s="1"/>
  <c r="H269" i="107"/>
  <c r="G269"/>
  <c r="F269" s="1"/>
  <c r="G271" i="109"/>
  <c r="D272"/>
  <c r="G270" i="108"/>
  <c r="D271"/>
  <c r="H269" i="109"/>
  <c r="F269" s="1"/>
  <c r="I269" s="1"/>
  <c r="H270" i="108" l="1"/>
  <c r="F270" s="1"/>
  <c r="I270" s="1"/>
  <c r="I270" i="109"/>
  <c r="H270"/>
  <c r="F270" s="1"/>
  <c r="D273"/>
  <c r="G272"/>
  <c r="G270" i="107"/>
  <c r="F270" s="1"/>
  <c r="H270" s="1"/>
  <c r="D272" i="108"/>
  <c r="G271"/>
  <c r="H271" l="1"/>
  <c r="F271" s="1"/>
  <c r="I271" s="1"/>
  <c r="H271" i="107"/>
  <c r="G271"/>
  <c r="F271" s="1"/>
  <c r="G272" i="108"/>
  <c r="D273"/>
  <c r="G273" i="109"/>
  <c r="D274"/>
  <c r="H271"/>
  <c r="F271" s="1"/>
  <c r="I271" s="1"/>
  <c r="H272" i="108" l="1"/>
  <c r="F272" s="1"/>
  <c r="I272" s="1"/>
  <c r="I272" i="109"/>
  <c r="H272"/>
  <c r="F272" s="1"/>
  <c r="D274" i="108"/>
  <c r="G273"/>
  <c r="G272" i="107"/>
  <c r="F272" s="1"/>
  <c r="H272" s="1"/>
  <c r="D275" i="109"/>
  <c r="G274"/>
  <c r="H273" i="108" l="1"/>
  <c r="F273" s="1"/>
  <c r="I273" s="1"/>
  <c r="H273" i="107"/>
  <c r="G273"/>
  <c r="F273" s="1"/>
  <c r="G275" i="109"/>
  <c r="D276"/>
  <c r="G274" i="108"/>
  <c r="D275"/>
  <c r="H273" i="109"/>
  <c r="F273" s="1"/>
  <c r="I273" s="1"/>
  <c r="H274" i="108" l="1"/>
  <c r="F274" s="1"/>
  <c r="I274" s="1"/>
  <c r="I274" i="109"/>
  <c r="H274"/>
  <c r="F274" s="1"/>
  <c r="D277"/>
  <c r="G276"/>
  <c r="G274" i="107"/>
  <c r="F274" s="1"/>
  <c r="H274" s="1"/>
  <c r="D276" i="108"/>
  <c r="G275"/>
  <c r="H275" l="1"/>
  <c r="F275" s="1"/>
  <c r="I275" s="1"/>
  <c r="H275" i="107"/>
  <c r="G275"/>
  <c r="F275" s="1"/>
  <c r="G276" i="108"/>
  <c r="D277"/>
  <c r="G277" i="109"/>
  <c r="D278"/>
  <c r="H275"/>
  <c r="F275" s="1"/>
  <c r="I275" s="1"/>
  <c r="H276" i="108" l="1"/>
  <c r="F276" s="1"/>
  <c r="I276" s="1"/>
  <c r="I276" i="109"/>
  <c r="H276"/>
  <c r="F276" s="1"/>
  <c r="D278" i="108"/>
  <c r="G277"/>
  <c r="H276" i="107"/>
  <c r="G276"/>
  <c r="F276" s="1"/>
  <c r="D279" i="109"/>
  <c r="G278"/>
  <c r="H277" i="108" l="1"/>
  <c r="F277" s="1"/>
  <c r="I277" s="1"/>
  <c r="G279" i="109"/>
  <c r="D280"/>
  <c r="G278" i="108"/>
  <c r="D279"/>
  <c r="G277" i="107"/>
  <c r="F277" s="1"/>
  <c r="H277" s="1"/>
  <c r="H277" i="109"/>
  <c r="F277" s="1"/>
  <c r="I277" s="1"/>
  <c r="H278" i="108" l="1"/>
  <c r="F278" s="1"/>
  <c r="I278" s="1"/>
  <c r="H278" i="107"/>
  <c r="G278"/>
  <c r="F278" s="1"/>
  <c r="I278" i="109"/>
  <c r="H278"/>
  <c r="F278" s="1"/>
  <c r="D280" i="108"/>
  <c r="G279"/>
  <c r="D281" i="109"/>
  <c r="G280"/>
  <c r="H279" i="108" l="1"/>
  <c r="F279" s="1"/>
  <c r="I279" s="1"/>
  <c r="H279" i="109"/>
  <c r="F279" s="1"/>
  <c r="I279" s="1"/>
  <c r="G280" i="108"/>
  <c r="D281"/>
  <c r="H279" i="107"/>
  <c r="G279"/>
  <c r="F279" s="1"/>
  <c r="G281" i="109"/>
  <c r="D282"/>
  <c r="H280" i="108" l="1"/>
  <c r="F280" s="1"/>
  <c r="I280" s="1"/>
  <c r="I280" i="109"/>
  <c r="H280"/>
  <c r="F280" s="1"/>
  <c r="D283"/>
  <c r="G282"/>
  <c r="D282" i="108"/>
  <c r="G281"/>
  <c r="G280" i="107"/>
  <c r="F280" s="1"/>
  <c r="H280" s="1"/>
  <c r="H281" i="108" l="1"/>
  <c r="F281" s="1"/>
  <c r="I281" s="1"/>
  <c r="G281" i="107"/>
  <c r="F281" s="1"/>
  <c r="H281" s="1"/>
  <c r="G282" i="108"/>
  <c r="D283"/>
  <c r="H281" i="109"/>
  <c r="F281" s="1"/>
  <c r="I281" s="1"/>
  <c r="G283"/>
  <c r="D284"/>
  <c r="H282" l="1"/>
  <c r="F282" s="1"/>
  <c r="I282" s="1"/>
  <c r="H282" i="108"/>
  <c r="F282" s="1"/>
  <c r="I282" s="1"/>
  <c r="G282" i="107"/>
  <c r="F282" s="1"/>
  <c r="H282" s="1"/>
  <c r="D285" i="109"/>
  <c r="G284"/>
  <c r="D284" i="108"/>
  <c r="G283"/>
  <c r="H283" i="109" l="1"/>
  <c r="F283" s="1"/>
  <c r="I283" s="1"/>
  <c r="I283" i="108"/>
  <c r="H283"/>
  <c r="F283" s="1"/>
  <c r="H283" i="107"/>
  <c r="G283"/>
  <c r="F283" s="1"/>
  <c r="G284" i="108"/>
  <c r="D285"/>
  <c r="G285" i="109"/>
  <c r="D286"/>
  <c r="H284" l="1"/>
  <c r="F284" s="1"/>
  <c r="I284" s="1"/>
  <c r="D287"/>
  <c r="G286"/>
  <c r="G284" i="107"/>
  <c r="F284" s="1"/>
  <c r="H284" s="1"/>
  <c r="H284" i="108"/>
  <c r="F284" s="1"/>
  <c r="I284" s="1"/>
  <c r="D286"/>
  <c r="G285"/>
  <c r="H285" l="1"/>
  <c r="F285" s="1"/>
  <c r="I285" s="1"/>
  <c r="H285" i="109"/>
  <c r="F285" s="1"/>
  <c r="I285" s="1"/>
  <c r="G285" i="107"/>
  <c r="F285" s="1"/>
  <c r="H285" s="1"/>
  <c r="G286" i="108"/>
  <c r="D287"/>
  <c r="G287" i="109"/>
  <c r="D288"/>
  <c r="H286" i="108" l="1"/>
  <c r="F286" s="1"/>
  <c r="I286" s="1"/>
  <c r="I286" i="109"/>
  <c r="H286"/>
  <c r="F286" s="1"/>
  <c r="G286" i="107"/>
  <c r="F286" s="1"/>
  <c r="H286" s="1"/>
  <c r="D289" i="109"/>
  <c r="G288"/>
  <c r="D288" i="108"/>
  <c r="G287"/>
  <c r="H287" l="1"/>
  <c r="F287" s="1"/>
  <c r="I287" s="1"/>
  <c r="H287" i="107"/>
  <c r="G287"/>
  <c r="F287" s="1"/>
  <c r="G288" i="108"/>
  <c r="D289"/>
  <c r="G289" i="109"/>
  <c r="D290"/>
  <c r="H287"/>
  <c r="F287" s="1"/>
  <c r="I287" s="1"/>
  <c r="H288" i="108" l="1"/>
  <c r="F288" s="1"/>
  <c r="I288" s="1"/>
  <c r="I288" i="109"/>
  <c r="H288"/>
  <c r="F288" s="1"/>
  <c r="D290" i="108"/>
  <c r="G289"/>
  <c r="G288" i="107"/>
  <c r="F288" s="1"/>
  <c r="H288" s="1"/>
  <c r="D291" i="109"/>
  <c r="G290"/>
  <c r="H289" i="108" l="1"/>
  <c r="F289" s="1"/>
  <c r="I289" s="1"/>
  <c r="G289" i="107"/>
  <c r="F289" s="1"/>
  <c r="H289" s="1"/>
  <c r="G291" i="109"/>
  <c r="D292"/>
  <c r="G290" i="108"/>
  <c r="D291"/>
  <c r="H289" i="109"/>
  <c r="F289" s="1"/>
  <c r="I289" s="1"/>
  <c r="H290" i="108" l="1"/>
  <c r="F290" s="1"/>
  <c r="I290" s="1"/>
  <c r="H290" i="107"/>
  <c r="G290"/>
  <c r="F290" s="1"/>
  <c r="H290" i="109"/>
  <c r="F290" s="1"/>
  <c r="I290" s="1"/>
  <c r="D293"/>
  <c r="G292"/>
  <c r="D292" i="108"/>
  <c r="G291"/>
  <c r="H291" l="1"/>
  <c r="F291" s="1"/>
  <c r="I291" s="1"/>
  <c r="H291" i="109"/>
  <c r="F291" s="1"/>
  <c r="I291" s="1"/>
  <c r="G292" i="108"/>
  <c r="D293"/>
  <c r="G293" i="109"/>
  <c r="D294"/>
  <c r="G291" i="107"/>
  <c r="F291" s="1"/>
  <c r="H291" s="1"/>
  <c r="H292" i="108" l="1"/>
  <c r="F292" s="1"/>
  <c r="I292" s="1"/>
  <c r="I292" i="109"/>
  <c r="H292"/>
  <c r="F292" s="1"/>
  <c r="H292" i="107"/>
  <c r="G292"/>
  <c r="F292" s="1"/>
  <c r="D294" i="108"/>
  <c r="G293"/>
  <c r="D295" i="109"/>
  <c r="G294"/>
  <c r="H293" i="108" l="1"/>
  <c r="F293" s="1"/>
  <c r="I293" s="1"/>
  <c r="G295" i="109"/>
  <c r="D296"/>
  <c r="G294" i="108"/>
  <c r="D295"/>
  <c r="H293" i="109"/>
  <c r="F293" s="1"/>
  <c r="I293" s="1"/>
  <c r="G293" i="107"/>
  <c r="F293" s="1"/>
  <c r="H293" s="1"/>
  <c r="H294" i="108" l="1"/>
  <c r="F294" s="1"/>
  <c r="I294" s="1"/>
  <c r="I294" i="109"/>
  <c r="H294"/>
  <c r="F294" s="1"/>
  <c r="H294" i="107"/>
  <c r="G294"/>
  <c r="F294" s="1"/>
  <c r="D296" i="108"/>
  <c r="G295"/>
  <c r="D297" i="109"/>
  <c r="G296"/>
  <c r="H295" i="108" l="1"/>
  <c r="F295" s="1"/>
  <c r="I295" s="1"/>
  <c r="G297" i="109"/>
  <c r="D298"/>
  <c r="G296" i="108"/>
  <c r="D297"/>
  <c r="H295" i="109"/>
  <c r="F295" s="1"/>
  <c r="I295" s="1"/>
  <c r="G295" i="107"/>
  <c r="F295" s="1"/>
  <c r="H295" s="1"/>
  <c r="H296" i="108" l="1"/>
  <c r="F296" s="1"/>
  <c r="I296" s="1"/>
  <c r="I296" i="109"/>
  <c r="H296"/>
  <c r="F296" s="1"/>
  <c r="H296" i="107"/>
  <c r="G296"/>
  <c r="F296" s="1"/>
  <c r="D298" i="108"/>
  <c r="G297"/>
  <c r="D299" i="109"/>
  <c r="G298"/>
  <c r="H297" i="108" l="1"/>
  <c r="F297" s="1"/>
  <c r="I297" s="1"/>
  <c r="G299" i="109"/>
  <c r="D300"/>
  <c r="G297" i="107"/>
  <c r="F297" s="1"/>
  <c r="H297" s="1"/>
  <c r="G298" i="108"/>
  <c r="D299"/>
  <c r="H297" i="109"/>
  <c r="F297" s="1"/>
  <c r="I297" s="1"/>
  <c r="H298" i="108" l="1"/>
  <c r="F298" s="1"/>
  <c r="I298" s="1"/>
  <c r="I298" i="109"/>
  <c r="H298"/>
  <c r="F298" s="1"/>
  <c r="H298" i="107"/>
  <c r="G298"/>
  <c r="F298" s="1"/>
  <c r="D300" i="108"/>
  <c r="G299"/>
  <c r="D301" i="109"/>
  <c r="G300"/>
  <c r="H299" i="108" l="1"/>
  <c r="F299" s="1"/>
  <c r="I299" s="1"/>
  <c r="G301" i="109"/>
  <c r="D302"/>
  <c r="G299" i="107"/>
  <c r="F299" s="1"/>
  <c r="H299" s="1"/>
  <c r="G300" i="108"/>
  <c r="D301"/>
  <c r="H299" i="109"/>
  <c r="F299" s="1"/>
  <c r="I299" s="1"/>
  <c r="H300" i="108" l="1"/>
  <c r="F300" s="1"/>
  <c r="I300" s="1"/>
  <c r="H300" i="109"/>
  <c r="F300" s="1"/>
  <c r="I300" s="1"/>
  <c r="H300" i="107"/>
  <c r="G300"/>
  <c r="F300" s="1"/>
  <c r="D302" i="108"/>
  <c r="G301"/>
  <c r="D303" i="109"/>
  <c r="G302"/>
  <c r="H301" i="108" l="1"/>
  <c r="F301" s="1"/>
  <c r="I301" s="1"/>
  <c r="H301" i="109"/>
  <c r="F301" s="1"/>
  <c r="I301" s="1"/>
  <c r="G303"/>
  <c r="D304"/>
  <c r="G301" i="107"/>
  <c r="F301" s="1"/>
  <c r="H301" s="1"/>
  <c r="G302" i="108"/>
  <c r="D303"/>
  <c r="G302" i="107" l="1"/>
  <c r="F302" s="1"/>
  <c r="H302" s="1"/>
  <c r="H302" i="108"/>
  <c r="F302" s="1"/>
  <c r="I302" s="1"/>
  <c r="H302" i="109"/>
  <c r="F302" s="1"/>
  <c r="I302" s="1"/>
  <c r="D305"/>
  <c r="G304"/>
  <c r="D304" i="108"/>
  <c r="G303"/>
  <c r="G303" i="107" l="1"/>
  <c r="F303" s="1"/>
  <c r="H303" s="1"/>
  <c r="I303" i="108"/>
  <c r="H303"/>
  <c r="F303" s="1"/>
  <c r="H303" i="109"/>
  <c r="F303" s="1"/>
  <c r="I303" s="1"/>
  <c r="G304" i="108"/>
  <c r="D305"/>
  <c r="G305" i="109"/>
  <c r="D306"/>
  <c r="G304" i="107" l="1"/>
  <c r="F304" s="1"/>
  <c r="H304" s="1"/>
  <c r="I304" i="109"/>
  <c r="H304"/>
  <c r="F304" s="1"/>
  <c r="D307"/>
  <c r="G306"/>
  <c r="H304" i="108"/>
  <c r="F304" s="1"/>
  <c r="I304" s="1"/>
  <c r="D306"/>
  <c r="G305"/>
  <c r="G305" i="107" l="1"/>
  <c r="F305" s="1"/>
  <c r="H305" s="1"/>
  <c r="I305" i="108"/>
  <c r="H305"/>
  <c r="F305" s="1"/>
  <c r="G307" i="109"/>
  <c r="D308"/>
  <c r="G306" i="108"/>
  <c r="D307"/>
  <c r="H305" i="109"/>
  <c r="F305" s="1"/>
  <c r="I305" s="1"/>
  <c r="G306" i="107" l="1"/>
  <c r="F306" s="1"/>
  <c r="H306" s="1"/>
  <c r="I306" i="109"/>
  <c r="H306"/>
  <c r="F306" s="1"/>
  <c r="D309"/>
  <c r="G308"/>
  <c r="H306" i="108"/>
  <c r="F306" s="1"/>
  <c r="I306" s="1"/>
  <c r="D308"/>
  <c r="G307"/>
  <c r="G307" i="107" l="1"/>
  <c r="F307" s="1"/>
  <c r="H307" s="1"/>
  <c r="I307" i="108"/>
  <c r="H307"/>
  <c r="F307" s="1"/>
  <c r="G309" i="109"/>
  <c r="D310"/>
  <c r="H307"/>
  <c r="F307" s="1"/>
  <c r="I307" s="1"/>
  <c r="G308" i="108"/>
  <c r="D309"/>
  <c r="G308" i="107" l="1"/>
  <c r="F308" s="1"/>
  <c r="H308" s="1"/>
  <c r="I308" i="109"/>
  <c r="H308"/>
  <c r="F308" s="1"/>
  <c r="D310" i="108"/>
  <c r="G309"/>
  <c r="D311" i="109"/>
  <c r="G310"/>
  <c r="H308" i="108"/>
  <c r="F308" s="1"/>
  <c r="I308" s="1"/>
  <c r="G309" i="107" l="1"/>
  <c r="F309" s="1"/>
  <c r="H309" s="1"/>
  <c r="I309" i="108"/>
  <c r="H309"/>
  <c r="F309" s="1"/>
  <c r="G310"/>
  <c r="D311"/>
  <c r="G311" i="109"/>
  <c r="D312"/>
  <c r="H309"/>
  <c r="F309" s="1"/>
  <c r="I309" s="1"/>
  <c r="G310" i="107" l="1"/>
  <c r="F310" s="1"/>
  <c r="H310" s="1"/>
  <c r="I310" i="109"/>
  <c r="H310"/>
  <c r="F310" s="1"/>
  <c r="D312" i="108"/>
  <c r="G311"/>
  <c r="H310"/>
  <c r="F310" s="1"/>
  <c r="I310" s="1"/>
  <c r="D313" i="109"/>
  <c r="G312"/>
  <c r="G311" i="107" l="1"/>
  <c r="F311" s="1"/>
  <c r="H311" s="1"/>
  <c r="I311" i="108"/>
  <c r="H311"/>
  <c r="F311" s="1"/>
  <c r="G313" i="109"/>
  <c r="D314"/>
  <c r="G312" i="108"/>
  <c r="D313"/>
  <c r="H311" i="109"/>
  <c r="F311" s="1"/>
  <c r="I311" s="1"/>
  <c r="G312" i="107" l="1"/>
  <c r="F312" s="1"/>
  <c r="H312" s="1"/>
  <c r="I312" i="109"/>
  <c r="H312"/>
  <c r="F312" s="1"/>
  <c r="D315"/>
  <c r="G314"/>
  <c r="H312" i="108"/>
  <c r="F312" s="1"/>
  <c r="I312" s="1"/>
  <c r="D314"/>
  <c r="G313"/>
  <c r="G313" i="107" l="1"/>
  <c r="F313" s="1"/>
  <c r="H313" s="1"/>
  <c r="I313" i="108"/>
  <c r="H313"/>
  <c r="F313" s="1"/>
  <c r="G315" i="109"/>
  <c r="D316"/>
  <c r="G314" i="108"/>
  <c r="D315"/>
  <c r="H313" i="109"/>
  <c r="F313" s="1"/>
  <c r="I313" s="1"/>
  <c r="G314" i="107" l="1"/>
  <c r="F314" s="1"/>
  <c r="H314" s="1"/>
  <c r="I314" i="109"/>
  <c r="H314"/>
  <c r="F314" s="1"/>
  <c r="D317"/>
  <c r="G316"/>
  <c r="H314" i="108"/>
  <c r="F314" s="1"/>
  <c r="I314" s="1"/>
  <c r="D316"/>
  <c r="G315"/>
  <c r="G315" i="107" l="1"/>
  <c r="F315" s="1"/>
  <c r="H315" s="1"/>
  <c r="I315" i="108"/>
  <c r="H315"/>
  <c r="F315" s="1"/>
  <c r="G317" i="109"/>
  <c r="D318"/>
  <c r="G316" i="108"/>
  <c r="D317"/>
  <c r="H315" i="109"/>
  <c r="F315" s="1"/>
  <c r="I315" s="1"/>
  <c r="G316" i="107" l="1"/>
  <c r="F316" s="1"/>
  <c r="H316" s="1"/>
  <c r="I316" i="109"/>
  <c r="H316"/>
  <c r="F316" s="1"/>
  <c r="D319"/>
  <c r="G318"/>
  <c r="H316" i="108"/>
  <c r="F316" s="1"/>
  <c r="I316" s="1"/>
  <c r="D318"/>
  <c r="G317"/>
  <c r="G317" i="107" l="1"/>
  <c r="F317" s="1"/>
  <c r="H317" s="1"/>
  <c r="I317" i="108"/>
  <c r="H317"/>
  <c r="F317" s="1"/>
  <c r="G319" i="109"/>
  <c r="D320"/>
  <c r="G318" i="108"/>
  <c r="D319"/>
  <c r="H317" i="109"/>
  <c r="F317" s="1"/>
  <c r="I317" s="1"/>
  <c r="G318" i="107" l="1"/>
  <c r="F318" s="1"/>
  <c r="H318" s="1"/>
  <c r="I318" i="109"/>
  <c r="H318"/>
  <c r="F318" s="1"/>
  <c r="D321"/>
  <c r="G320"/>
  <c r="H318" i="108"/>
  <c r="F318" s="1"/>
  <c r="I318" s="1"/>
  <c r="D320"/>
  <c r="G319"/>
  <c r="G319" i="107" l="1"/>
  <c r="F319" s="1"/>
  <c r="H319" s="1"/>
  <c r="I319" i="108"/>
  <c r="H319"/>
  <c r="F319" s="1"/>
  <c r="G321" i="109"/>
  <c r="D322"/>
  <c r="G320" i="108"/>
  <c r="D321"/>
  <c r="H319" i="109"/>
  <c r="F319" s="1"/>
  <c r="I319" s="1"/>
  <c r="G320" i="107" l="1"/>
  <c r="F320" s="1"/>
  <c r="H320" s="1"/>
  <c r="I320" i="109"/>
  <c r="H320"/>
  <c r="F320" s="1"/>
  <c r="D323"/>
  <c r="G322"/>
  <c r="H320" i="108"/>
  <c r="F320" s="1"/>
  <c r="I320" s="1"/>
  <c r="D322"/>
  <c r="G321"/>
  <c r="G321" i="107" l="1"/>
  <c r="F321" s="1"/>
  <c r="H321" s="1"/>
  <c r="H321" i="108"/>
  <c r="F321" s="1"/>
  <c r="I321" s="1"/>
  <c r="G323" i="109"/>
  <c r="D324"/>
  <c r="G322" i="108"/>
  <c r="D323"/>
  <c r="H321" i="109"/>
  <c r="F321" s="1"/>
  <c r="I321" s="1"/>
  <c r="G322" i="107" l="1"/>
  <c r="F322" s="1"/>
  <c r="H322" s="1"/>
  <c r="H322" i="108"/>
  <c r="F322" s="1"/>
  <c r="I322" s="1"/>
  <c r="H322" i="109"/>
  <c r="F322" s="1"/>
  <c r="I322" s="1"/>
  <c r="D325"/>
  <c r="G324"/>
  <c r="D324" i="108"/>
  <c r="G323"/>
  <c r="G323" i="107" l="1"/>
  <c r="F323" s="1"/>
  <c r="H323" s="1"/>
  <c r="I323" i="108"/>
  <c r="H323"/>
  <c r="F323" s="1"/>
  <c r="H323" i="109"/>
  <c r="F323" s="1"/>
  <c r="I323" s="1"/>
  <c r="D325" i="108"/>
  <c r="G324"/>
  <c r="G325" i="109"/>
  <c r="D326"/>
  <c r="G324" i="107" l="1"/>
  <c r="F324" s="1"/>
  <c r="H324" s="1"/>
  <c r="I324" i="109"/>
  <c r="H324"/>
  <c r="F324" s="1"/>
  <c r="D327"/>
  <c r="G326"/>
  <c r="D326" i="108"/>
  <c r="G325"/>
  <c r="H324"/>
  <c r="F324" s="1"/>
  <c r="I324" s="1"/>
  <c r="G325" i="107" l="1"/>
  <c r="F325" s="1"/>
  <c r="H325" s="1"/>
  <c r="I325" i="108"/>
  <c r="H325"/>
  <c r="F325" s="1"/>
  <c r="G327" i="109"/>
  <c r="D328"/>
  <c r="D327" i="108"/>
  <c r="G326"/>
  <c r="H325" i="109"/>
  <c r="F325" s="1"/>
  <c r="I325" s="1"/>
  <c r="G326" i="107" l="1"/>
  <c r="F326" s="1"/>
  <c r="H326" s="1"/>
  <c r="I326" i="109"/>
  <c r="H326"/>
  <c r="F326" s="1"/>
  <c r="D329"/>
  <c r="G328"/>
  <c r="D328" i="108"/>
  <c r="G327"/>
  <c r="H326"/>
  <c r="F326" s="1"/>
  <c r="I326" s="1"/>
  <c r="H327" i="107" l="1"/>
  <c r="G327"/>
  <c r="F327" s="1"/>
  <c r="I327" i="108"/>
  <c r="H327"/>
  <c r="F327" s="1"/>
  <c r="G329" i="109"/>
  <c r="D330"/>
  <c r="G328" i="108"/>
  <c r="D329"/>
  <c r="H327" i="109"/>
  <c r="F327" s="1"/>
  <c r="I327" s="1"/>
  <c r="I328" l="1"/>
  <c r="H328"/>
  <c r="F328" s="1"/>
  <c r="H328" i="107"/>
  <c r="G328"/>
  <c r="F328" s="1"/>
  <c r="D331" i="109"/>
  <c r="G330"/>
  <c r="H328" i="108"/>
  <c r="F328" s="1"/>
  <c r="I328" s="1"/>
  <c r="D330"/>
  <c r="G329"/>
  <c r="H329" l="1"/>
  <c r="F329" s="1"/>
  <c r="I329" s="1"/>
  <c r="G331" i="109"/>
  <c r="D332"/>
  <c r="H329"/>
  <c r="F329" s="1"/>
  <c r="I329" s="1"/>
  <c r="G330" i="108"/>
  <c r="D331"/>
  <c r="G329" i="107"/>
  <c r="F329" s="1"/>
  <c r="H329" s="1"/>
  <c r="H330" i="108" l="1"/>
  <c r="F330" s="1"/>
  <c r="I330" s="1"/>
  <c r="H330" i="107"/>
  <c r="G330"/>
  <c r="F330" s="1"/>
  <c r="I330" i="109"/>
  <c r="H330"/>
  <c r="F330" s="1"/>
  <c r="D332" i="108"/>
  <c r="G331"/>
  <c r="D333" i="109"/>
  <c r="G332"/>
  <c r="H331" i="108" l="1"/>
  <c r="F331" s="1"/>
  <c r="I331" s="1"/>
  <c r="G333" i="109"/>
  <c r="D334"/>
  <c r="H331"/>
  <c r="F331" s="1"/>
  <c r="I331" s="1"/>
  <c r="D333" i="108"/>
  <c r="G332"/>
  <c r="H331" i="107"/>
  <c r="G331"/>
  <c r="F331" s="1"/>
  <c r="H332" i="108" l="1"/>
  <c r="F332" s="1"/>
  <c r="I332" s="1"/>
  <c r="I332" i="109"/>
  <c r="H332"/>
  <c r="F332" s="1"/>
  <c r="G332" i="107"/>
  <c r="F332" s="1"/>
  <c r="H332" s="1"/>
  <c r="D334" i="108"/>
  <c r="G333"/>
  <c r="D335" i="109"/>
  <c r="G334"/>
  <c r="H333" i="108" l="1"/>
  <c r="F333" s="1"/>
  <c r="I333" s="1"/>
  <c r="G333" i="107"/>
  <c r="F333" s="1"/>
  <c r="H333" s="1"/>
  <c r="G335" i="109"/>
  <c r="D336"/>
  <c r="D335" i="108"/>
  <c r="G334"/>
  <c r="H333" i="109"/>
  <c r="F333" s="1"/>
  <c r="I333" s="1"/>
  <c r="H334" i="108" l="1"/>
  <c r="F334" s="1"/>
  <c r="I334" s="1"/>
  <c r="H334" i="107"/>
  <c r="G334"/>
  <c r="F334" s="1"/>
  <c r="H334" i="109"/>
  <c r="F334" s="1"/>
  <c r="I334" s="1"/>
  <c r="D337"/>
  <c r="G336"/>
  <c r="D336" i="108"/>
  <c r="G335"/>
  <c r="H335" l="1"/>
  <c r="F335" s="1"/>
  <c r="I335" s="1"/>
  <c r="H335" i="109"/>
  <c r="F335" s="1"/>
  <c r="I335" s="1"/>
  <c r="G337"/>
  <c r="D338"/>
  <c r="H335" i="107"/>
  <c r="G335"/>
  <c r="F335" s="1"/>
  <c r="G336" i="108"/>
  <c r="D337"/>
  <c r="H336" l="1"/>
  <c r="F336" s="1"/>
  <c r="I336" s="1"/>
  <c r="I336" i="109"/>
  <c r="H336"/>
  <c r="F336" s="1"/>
  <c r="D338" i="108"/>
  <c r="G337"/>
  <c r="D339" i="109"/>
  <c r="G338"/>
  <c r="G336" i="107"/>
  <c r="F336" s="1"/>
  <c r="H336" s="1"/>
  <c r="H337" i="108" l="1"/>
  <c r="F337" s="1"/>
  <c r="I337" s="1"/>
  <c r="H337" i="107"/>
  <c r="G337"/>
  <c r="F337" s="1"/>
  <c r="G338" i="108"/>
  <c r="D339"/>
  <c r="D340" i="109"/>
  <c r="G339"/>
  <c r="H337"/>
  <c r="F337" s="1"/>
  <c r="I337" s="1"/>
  <c r="H338" i="108" l="1"/>
  <c r="F338" s="1"/>
  <c r="I338" s="1"/>
  <c r="I338" i="109"/>
  <c r="H338"/>
  <c r="F338" s="1"/>
  <c r="D340" i="108"/>
  <c r="G339"/>
  <c r="D341" i="109"/>
  <c r="G340"/>
  <c r="G338" i="107"/>
  <c r="F338" s="1"/>
  <c r="H338" s="1"/>
  <c r="H339" i="108" l="1"/>
  <c r="F339" s="1"/>
  <c r="I339" s="1"/>
  <c r="G339" i="107"/>
  <c r="F339" s="1"/>
  <c r="H339" s="1"/>
  <c r="D341" i="108"/>
  <c r="G340"/>
  <c r="D342" i="109"/>
  <c r="G341"/>
  <c r="H339"/>
  <c r="F339" s="1"/>
  <c r="I339" s="1"/>
  <c r="H340" i="108" l="1"/>
  <c r="F340" s="1"/>
  <c r="I340" s="1"/>
  <c r="H340" i="107"/>
  <c r="G340"/>
  <c r="F340" s="1"/>
  <c r="I340" i="109"/>
  <c r="H340"/>
  <c r="F340" s="1"/>
  <c r="D342" i="108"/>
  <c r="G341"/>
  <c r="D343" i="109"/>
  <c r="G342"/>
  <c r="H341" i="108" l="1"/>
  <c r="F341" s="1"/>
  <c r="I341" s="1"/>
  <c r="G343" i="109"/>
  <c r="D344"/>
  <c r="H341"/>
  <c r="F341" s="1"/>
  <c r="I341" s="1"/>
  <c r="D343" i="108"/>
  <c r="G342"/>
  <c r="G341" i="107"/>
  <c r="F341" s="1"/>
  <c r="H341" s="1"/>
  <c r="H342" i="108" l="1"/>
  <c r="F342" s="1"/>
  <c r="I342" s="1"/>
  <c r="G342" i="107"/>
  <c r="F342" s="1"/>
  <c r="H342" s="1"/>
  <c r="I342" i="109"/>
  <c r="H342"/>
  <c r="F342" s="1"/>
  <c r="D344" i="108"/>
  <c r="G343"/>
  <c r="D345" i="109"/>
  <c r="G344"/>
  <c r="H343" i="108" l="1"/>
  <c r="F343" s="1"/>
  <c r="I343" s="1"/>
  <c r="G343" i="107"/>
  <c r="F343" s="1"/>
  <c r="H343" s="1"/>
  <c r="G345" i="109"/>
  <c r="D346"/>
  <c r="H343"/>
  <c r="F343" s="1"/>
  <c r="I343" s="1"/>
  <c r="G344" i="108"/>
  <c r="D345"/>
  <c r="H344" i="109" l="1"/>
  <c r="F344" s="1"/>
  <c r="I344" s="1"/>
  <c r="H344" i="108"/>
  <c r="F344" s="1"/>
  <c r="I344" s="1"/>
  <c r="H344" i="107"/>
  <c r="G344"/>
  <c r="F344" s="1"/>
  <c r="D346" i="108"/>
  <c r="G345"/>
  <c r="D347" i="109"/>
  <c r="G346"/>
  <c r="H345" l="1"/>
  <c r="F345" s="1"/>
  <c r="I345" s="1"/>
  <c r="H345" i="108"/>
  <c r="F345" s="1"/>
  <c r="I345" s="1"/>
  <c r="D348" i="109"/>
  <c r="G347"/>
  <c r="G346" i="108"/>
  <c r="D347"/>
  <c r="H345" i="107"/>
  <c r="G345"/>
  <c r="F345" s="1"/>
  <c r="H346" i="109" l="1"/>
  <c r="F346" s="1"/>
  <c r="I346" s="1"/>
  <c r="H346" i="108"/>
  <c r="F346" s="1"/>
  <c r="I346" s="1"/>
  <c r="G346" i="107"/>
  <c r="F346" s="1"/>
  <c r="H346" s="1"/>
  <c r="D349" i="109"/>
  <c r="G348"/>
  <c r="D348" i="108"/>
  <c r="G347"/>
  <c r="H347" i="109" l="1"/>
  <c r="F347" s="1"/>
  <c r="I347" s="1"/>
  <c r="I347" i="108"/>
  <c r="H347"/>
  <c r="F347" s="1"/>
  <c r="G347" i="107"/>
  <c r="F347" s="1"/>
  <c r="H347" s="1"/>
  <c r="D349" i="108"/>
  <c r="G348"/>
  <c r="D350" i="109"/>
  <c r="G349"/>
  <c r="H348" l="1"/>
  <c r="F348" s="1"/>
  <c r="I348" s="1"/>
  <c r="H348" i="107"/>
  <c r="G348"/>
  <c r="F348" s="1"/>
  <c r="D350" i="108"/>
  <c r="G349"/>
  <c r="H348"/>
  <c r="F348" s="1"/>
  <c r="I348" s="1"/>
  <c r="D351" i="109"/>
  <c r="G350"/>
  <c r="H349" l="1"/>
  <c r="F349" s="1"/>
  <c r="I349" s="1"/>
  <c r="I349" i="108"/>
  <c r="H349"/>
  <c r="F349" s="1"/>
  <c r="D352" i="109"/>
  <c r="G351"/>
  <c r="D351" i="108"/>
  <c r="G350"/>
  <c r="G349" i="107"/>
  <c r="F349" s="1"/>
  <c r="H349" s="1"/>
  <c r="H350" i="109" l="1"/>
  <c r="F350" s="1"/>
  <c r="I350" s="1"/>
  <c r="G350" i="107"/>
  <c r="F350" s="1"/>
  <c r="H350" s="1"/>
  <c r="D352" i="108"/>
  <c r="G351"/>
  <c r="H350"/>
  <c r="F350" s="1"/>
  <c r="I350" s="1"/>
  <c r="D353" i="109"/>
  <c r="G352"/>
  <c r="H351" i="108" l="1"/>
  <c r="F351" s="1"/>
  <c r="I351" s="1"/>
  <c r="H351" i="109"/>
  <c r="F351" s="1"/>
  <c r="I351" s="1"/>
  <c r="G351" i="107"/>
  <c r="F351" s="1"/>
  <c r="H351" s="1"/>
  <c r="G353" i="109"/>
  <c r="D354"/>
  <c r="G352" i="108"/>
  <c r="D353"/>
  <c r="H352" l="1"/>
  <c r="F352" s="1"/>
  <c r="I352" s="1"/>
  <c r="H352" i="109"/>
  <c r="F352" s="1"/>
  <c r="I352" s="1"/>
  <c r="G352" i="107"/>
  <c r="F352" s="1"/>
  <c r="H352" s="1"/>
  <c r="D354" i="108"/>
  <c r="G353"/>
  <c r="D355" i="109"/>
  <c r="G354"/>
  <c r="H353" i="108" l="1"/>
  <c r="F353" s="1"/>
  <c r="I353" s="1"/>
  <c r="H353" i="109"/>
  <c r="F353" s="1"/>
  <c r="I353" s="1"/>
  <c r="G353" i="107"/>
  <c r="F353" s="1"/>
  <c r="H353" s="1"/>
  <c r="G355" i="109"/>
  <c r="D356"/>
  <c r="G354" i="108"/>
  <c r="D355"/>
  <c r="H354" l="1"/>
  <c r="F354" s="1"/>
  <c r="I354" s="1"/>
  <c r="I354" i="109"/>
  <c r="H354"/>
  <c r="F354" s="1"/>
  <c r="G354" i="107"/>
  <c r="F354" s="1"/>
  <c r="H354" s="1"/>
  <c r="D356" i="108"/>
  <c r="G355"/>
  <c r="D357" i="109"/>
  <c r="G356"/>
  <c r="H355" i="108" l="1"/>
  <c r="F355" s="1"/>
  <c r="I355" s="1"/>
  <c r="G355" i="107"/>
  <c r="F355" s="1"/>
  <c r="H355" s="1"/>
  <c r="D357" i="108"/>
  <c r="G356"/>
  <c r="H355" i="109"/>
  <c r="F355" s="1"/>
  <c r="I355" s="1"/>
  <c r="D358"/>
  <c r="G357"/>
  <c r="H356" l="1"/>
  <c r="F356" s="1"/>
  <c r="I356" s="1"/>
  <c r="H356" i="108"/>
  <c r="F356" s="1"/>
  <c r="I356" s="1"/>
  <c r="G356" i="107"/>
  <c r="F356" s="1"/>
  <c r="H356" s="1"/>
  <c r="D359" i="109"/>
  <c r="G358"/>
  <c r="D358" i="108"/>
  <c r="G357"/>
  <c r="H357" i="109" l="1"/>
  <c r="F357" s="1"/>
  <c r="I357" s="1"/>
  <c r="I357" i="108"/>
  <c r="H357"/>
  <c r="F357" s="1"/>
  <c r="H357" i="107"/>
  <c r="G357"/>
  <c r="F357" s="1"/>
  <c r="D359" i="108"/>
  <c r="G358"/>
  <c r="D360" i="109"/>
  <c r="G359"/>
  <c r="H358" l="1"/>
  <c r="F358" s="1"/>
  <c r="I358" s="1"/>
  <c r="D361"/>
  <c r="G360"/>
  <c r="D360" i="108"/>
  <c r="G359"/>
  <c r="H358"/>
  <c r="F358" s="1"/>
  <c r="I358" s="1"/>
  <c r="G358" i="107"/>
  <c r="F358" s="1"/>
  <c r="H358" s="1"/>
  <c r="H359" i="109" l="1"/>
  <c r="F359" s="1"/>
  <c r="I359" s="1"/>
  <c r="I359" i="108"/>
  <c r="H359"/>
  <c r="F359" s="1"/>
  <c r="G359" i="107"/>
  <c r="F359" s="1"/>
  <c r="H359" s="1"/>
  <c r="G360" i="108"/>
  <c r="D361"/>
  <c r="G361" i="109"/>
  <c r="D362"/>
  <c r="H360" l="1"/>
  <c r="F360" s="1"/>
  <c r="I360" s="1"/>
  <c r="H360" i="107"/>
  <c r="G360"/>
  <c r="F360" s="1"/>
  <c r="D363" i="109"/>
  <c r="G362"/>
  <c r="H360" i="108"/>
  <c r="F360" s="1"/>
  <c r="I360" s="1"/>
  <c r="D362"/>
  <c r="G361"/>
  <c r="H361" i="109" l="1"/>
  <c r="F361" s="1"/>
  <c r="I361" s="1"/>
  <c r="H361" i="108"/>
  <c r="F361" s="1"/>
  <c r="I361" s="1"/>
  <c r="G362"/>
  <c r="D363"/>
  <c r="D364" i="109"/>
  <c r="G363"/>
  <c r="G361" i="107"/>
  <c r="F361" s="1"/>
  <c r="H361" s="1"/>
  <c r="H362" i="109" l="1"/>
  <c r="F362" s="1"/>
  <c r="I362" s="1"/>
  <c r="H362" i="108"/>
  <c r="F362" s="1"/>
  <c r="I362" s="1"/>
  <c r="G362" i="107"/>
  <c r="F362" s="1"/>
  <c r="H362" s="1"/>
  <c r="D364" i="108"/>
  <c r="G363"/>
  <c r="D365" i="109"/>
  <c r="G364"/>
  <c r="H363" l="1"/>
  <c r="F363" s="1"/>
  <c r="I363" s="1"/>
  <c r="I363" i="108"/>
  <c r="H363"/>
  <c r="F363" s="1"/>
  <c r="G363" i="107"/>
  <c r="F363" s="1"/>
  <c r="H363" s="1"/>
  <c r="D366" i="109"/>
  <c r="G365"/>
  <c r="D365" i="108"/>
  <c r="G364"/>
  <c r="H364" i="109" l="1"/>
  <c r="F364" s="1"/>
  <c r="I364" s="1"/>
  <c r="H364" i="107"/>
  <c r="G364"/>
  <c r="F364" s="1"/>
  <c r="D366" i="108"/>
  <c r="G365"/>
  <c r="D367" i="109"/>
  <c r="G366"/>
  <c r="H364" i="108"/>
  <c r="F364" s="1"/>
  <c r="I364" s="1"/>
  <c r="H365" i="109" l="1"/>
  <c r="F365" s="1"/>
  <c r="I365" s="1"/>
  <c r="I365" i="108"/>
  <c r="H365"/>
  <c r="F365" s="1"/>
  <c r="D367"/>
  <c r="G366"/>
  <c r="D368" i="109"/>
  <c r="G367"/>
  <c r="G365" i="107"/>
  <c r="F365" s="1"/>
  <c r="H365" s="1"/>
  <c r="H366" i="109" l="1"/>
  <c r="F366" s="1"/>
  <c r="I366" s="1"/>
  <c r="G366" i="107"/>
  <c r="F366" s="1"/>
  <c r="H366" s="1"/>
  <c r="D369" i="109"/>
  <c r="G368"/>
  <c r="H366" i="108"/>
  <c r="F366" s="1"/>
  <c r="I366" s="1"/>
  <c r="D368"/>
  <c r="G367"/>
  <c r="H367" l="1"/>
  <c r="F367" s="1"/>
  <c r="I367" s="1"/>
  <c r="H367" i="109"/>
  <c r="F367" s="1"/>
  <c r="I367" s="1"/>
  <c r="G367" i="107"/>
  <c r="F367" s="1"/>
  <c r="H367"/>
  <c r="G369" i="109"/>
  <c r="D370"/>
  <c r="G370" s="1"/>
  <c r="G368" i="108"/>
  <c r="D369"/>
  <c r="H368" l="1"/>
  <c r="F368" s="1"/>
  <c r="I368" s="1"/>
  <c r="H368" i="109"/>
  <c r="F368" s="1"/>
  <c r="I368" s="1"/>
  <c r="G368" i="107"/>
  <c r="F368" s="1"/>
  <c r="H368" s="1"/>
  <c r="D370" i="108"/>
  <c r="G370" s="1"/>
  <c r="G369"/>
  <c r="H369" l="1"/>
  <c r="F369" s="1"/>
  <c r="I369" s="1"/>
  <c r="H369" i="109"/>
  <c r="F369" s="1"/>
  <c r="I369" s="1"/>
  <c r="G369" i="107"/>
  <c r="F369" s="1"/>
  <c r="H369" s="1"/>
  <c r="H370" i="108" l="1"/>
  <c r="F370" s="1"/>
  <c r="I370" s="1"/>
  <c r="I370" i="109"/>
  <c r="H370"/>
  <c r="F370" s="1"/>
  <c r="G370" i="107"/>
  <c r="F370" s="1"/>
  <c r="H370" s="1"/>
</calcChain>
</file>

<file path=xl/sharedStrings.xml><?xml version="1.0" encoding="utf-8"?>
<sst xmlns="http://schemas.openxmlformats.org/spreadsheetml/2006/main" count="2654" uniqueCount="1084">
  <si>
    <t>Region</t>
  </si>
  <si>
    <t>Revenue</t>
  </si>
  <si>
    <t>North</t>
  </si>
  <si>
    <t>South</t>
  </si>
  <si>
    <t>East</t>
  </si>
  <si>
    <t>West</t>
  </si>
  <si>
    <t>Total</t>
  </si>
  <si>
    <t>Percent of Total</t>
  </si>
  <si>
    <t>Units Sold</t>
  </si>
  <si>
    <t>Product A</t>
  </si>
  <si>
    <t>Prior Year</t>
  </si>
  <si>
    <t>Current Year</t>
  </si>
  <si>
    <t>Percent Variance</t>
  </si>
  <si>
    <t>Budget</t>
  </si>
  <si>
    <t>Actual</t>
  </si>
  <si>
    <t>Standard Percent Variance</t>
  </si>
  <si>
    <t>Improved Percent Variance</t>
  </si>
  <si>
    <t>Goal</t>
  </si>
  <si>
    <t>Common Goal</t>
  </si>
  <si>
    <t>Percent of Goal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</si>
  <si>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</si>
  <si>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</si>
  <si>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</si>
  <si>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</si>
  <si>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</si>
  <si>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</si>
  <si>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</si>
  <si>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</si>
  <si>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</si>
  <si>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</si>
  <si>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</si>
  <si>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</si>
  <si>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Running Total</t>
  </si>
  <si>
    <t>Unit Cost</t>
  </si>
  <si>
    <t>Price Increase</t>
  </si>
  <si>
    <t>Customer A</t>
  </si>
  <si>
    <t>Cost per Service</t>
  </si>
  <si>
    <t>Percent Discount</t>
  </si>
  <si>
    <t>Final Price</t>
  </si>
  <si>
    <t>Discounted Cost</t>
  </si>
  <si>
    <t>Jim</t>
  </si>
  <si>
    <t>Tim</t>
  </si>
  <si>
    <t>Kim</t>
  </si>
  <si>
    <t>Percent to Budget</t>
  </si>
  <si>
    <t>=ROUND(94.45,1)</t>
  </si>
  <si>
    <t>=ROUND(94.45,0)</t>
  </si>
  <si>
    <t>=ROUND(94.45,-1)</t>
  </si>
  <si>
    <t>=ROUND(94.45,-2)</t>
  </si>
  <si>
    <t>=ROUNDDOWN(94.45,0)</t>
  </si>
  <si>
    <t>=ROUNDUP(94.45,0)</t>
  </si>
  <si>
    <t>Formula</t>
  </si>
  <si>
    <t>Result</t>
  </si>
  <si>
    <t>Dollar Amount</t>
  </si>
  <si>
    <t>Round up to Nearest Penny</t>
  </si>
  <si>
    <t>Round Down to the Nearest Penny</t>
  </si>
  <si>
    <t>Raw Number</t>
  </si>
  <si>
    <t>Significant Digits</t>
  </si>
  <si>
    <t>English</t>
  </si>
  <si>
    <t>Art</t>
  </si>
  <si>
    <t>History</t>
  </si>
  <si>
    <t>Exams Taken
By Each Student</t>
  </si>
  <si>
    <t>Fail</t>
  </si>
  <si>
    <t>How many students passed each exam.</t>
  </si>
  <si>
    <t>Math</t>
  </si>
  <si>
    <t>Student 1</t>
  </si>
  <si>
    <t>Student 2</t>
  </si>
  <si>
    <t>Student 3</t>
  </si>
  <si>
    <t>Student 4</t>
  </si>
  <si>
    <t>Student 5</t>
  </si>
  <si>
    <t>Science</t>
  </si>
  <si>
    <t>Exams Remaining</t>
  </si>
  <si>
    <t xml:space="preserve">Teaspoon   </t>
  </si>
  <si>
    <t xml:space="preserve">Tablespoon   </t>
  </si>
  <si>
    <t xml:space="preserve">Fluid ounce  </t>
  </si>
  <si>
    <t xml:space="preserve">Cup   </t>
  </si>
  <si>
    <t xml:space="preserve">U.S. pint  </t>
  </si>
  <si>
    <t xml:space="preserve">U.K. pint  </t>
  </si>
  <si>
    <t xml:space="preserve">Quart   </t>
  </si>
  <si>
    <t xml:space="preserve">Imperial quart  </t>
  </si>
  <si>
    <t>Gallon</t>
  </si>
  <si>
    <t xml:space="preserve">Imperial gallon  </t>
  </si>
  <si>
    <t xml:space="preserve">Liter   </t>
  </si>
  <si>
    <t xml:space="preserve">U.S. oil barrel </t>
  </si>
  <si>
    <t>tsp</t>
  </si>
  <si>
    <t>tbs</t>
  </si>
  <si>
    <t>oz</t>
  </si>
  <si>
    <t>cup</t>
  </si>
  <si>
    <t>us_pt</t>
  </si>
  <si>
    <t>uk_pt</t>
  </si>
  <si>
    <t>qt</t>
  </si>
  <si>
    <t>uk_qt</t>
  </si>
  <si>
    <t>gal</t>
  </si>
  <si>
    <t>uk_gal</t>
  </si>
  <si>
    <t>l</t>
  </si>
  <si>
    <t>barrel</t>
  </si>
  <si>
    <t xml:space="preserve">Gallon gal  </t>
  </si>
  <si>
    <t xml:space="preserve">Cubic feet  </t>
  </si>
  <si>
    <t>ft3</t>
  </si>
  <si>
    <t xml:space="preserve">Cubic inch  </t>
  </si>
  <si>
    <t>in3</t>
  </si>
  <si>
    <t xml:space="preserve">Cubic meter  </t>
  </si>
  <si>
    <t>m3</t>
  </si>
  <si>
    <t xml:space="preserve">Cubic yard  </t>
  </si>
  <si>
    <t>yd3</t>
  </si>
  <si>
    <t xml:space="preserve">Cubic Pica  </t>
  </si>
  <si>
    <t>Pica3</t>
  </si>
  <si>
    <t xml:space="preserve">Miles </t>
  </si>
  <si>
    <t>Kilometers</t>
  </si>
  <si>
    <t>Cups</t>
  </si>
  <si>
    <t>Table Spoons</t>
  </si>
  <si>
    <t>Gallons</t>
  </si>
  <si>
    <t>Liters</t>
  </si>
  <si>
    <t>=CEILING(B3,0.01)</t>
  </si>
  <si>
    <t>=FLOOR(B3,0.01)</t>
  </si>
  <si>
    <t>Campbell</t>
  </si>
  <si>
    <t>John</t>
  </si>
  <si>
    <t>Hartwig</t>
  </si>
  <si>
    <t>Doris</t>
  </si>
  <si>
    <t>Ellerbrock</t>
  </si>
  <si>
    <t>Ruth</t>
  </si>
  <si>
    <t>Dobney</t>
  </si>
  <si>
    <t>JoLynn</t>
  </si>
  <si>
    <t>Bradley</t>
  </si>
  <si>
    <t>David</t>
  </si>
  <si>
    <t>Alexander</t>
  </si>
  <si>
    <t>Thierry</t>
  </si>
  <si>
    <t>Walters</t>
  </si>
  <si>
    <t>Rob</t>
  </si>
  <si>
    <t>Tamburello</t>
  </si>
  <si>
    <t>Roberto</t>
  </si>
  <si>
    <t>Brown</t>
  </si>
  <si>
    <t>Kevin</t>
  </si>
  <si>
    <t>Gilbert</t>
  </si>
  <si>
    <t>Guy</t>
  </si>
  <si>
    <t>Full Name</t>
  </si>
  <si>
    <t>LastName</t>
  </si>
  <si>
    <t>FirstName</t>
  </si>
  <si>
    <t>=UPPER(LEFT(C4,1))&amp;LOWER(RIGHT(C4,LEN(C4)-1))</t>
  </si>
  <si>
    <t>=PROPER(C8)</t>
  </si>
  <si>
    <t>=LOWER(C7)</t>
  </si>
  <si>
    <t>=UPPER(C6)</t>
  </si>
  <si>
    <t>The QUICK brown FOX JUMPS over the lazy DOG.</t>
  </si>
  <si>
    <t>ABCD</t>
  </si>
  <si>
    <t xml:space="preserve">   Alan        Jones</t>
  </si>
  <si>
    <t xml:space="preserve">  A   B   C   D</t>
  </si>
  <si>
    <t xml:space="preserve">  ABCD</t>
  </si>
  <si>
    <t>Trimmed Text</t>
  </si>
  <si>
    <t>Original Text</t>
  </si>
  <si>
    <t>=MID(A16,4,1)</t>
  </si>
  <si>
    <t>=MID(A15,4,1)</t>
  </si>
  <si>
    <t>=MID(A14,4,1)</t>
  </si>
  <si>
    <t>Job Level</t>
  </si>
  <si>
    <t>Job Code</t>
  </si>
  <si>
    <t>Extract the 4th character
 of each Job Code.</t>
  </si>
  <si>
    <t>=RIGHT(A10,8)</t>
  </si>
  <si>
    <t>(703)654-2180</t>
  </si>
  <si>
    <t>=RIGHT(A9,8)</t>
  </si>
  <si>
    <t>(214)887-7765</t>
  </si>
  <si>
    <t>Phone</t>
  </si>
  <si>
    <t>Extract the phone number 
without the area code.</t>
  </si>
  <si>
    <t>=LEFT(A5,5)</t>
  </si>
  <si>
    <t>75023-5774</t>
  </si>
  <si>
    <t>=LEFT(A4,5)</t>
  </si>
  <si>
    <t>70056-2343</t>
  </si>
  <si>
    <t>Zip</t>
  </si>
  <si>
    <t>Convert these 9 digit postal codes into 5 digit postal codes.</t>
  </si>
  <si>
    <t>CWTP-44-Large</t>
  </si>
  <si>
    <t>CWS-22-Medium</t>
  </si>
  <si>
    <t>PW-19-Large</t>
  </si>
  <si>
    <t>PW-18-Medium</t>
  </si>
  <si>
    <t>PWR-16-Small</t>
  </si>
  <si>
    <t>Extract the Numbers</t>
  </si>
  <si>
    <t>Product Code</t>
  </si>
  <si>
    <t>Extract the Size Designation</t>
  </si>
  <si>
    <t>MICHAEL'S DELI</t>
  </si>
  <si>
    <t>MCDONALD'S</t>
  </si>
  <si>
    <t>STARBUCK'S COFFEE</t>
  </si>
  <si>
    <t>Better Proper Case</t>
  </si>
  <si>
    <t>Bad Proper Case</t>
  </si>
  <si>
    <t>Company</t>
  </si>
  <si>
    <t>The Quick Brown Fox Jumps Over The Lazy Dog.</t>
  </si>
  <si>
    <t>Get Word Count</t>
  </si>
  <si>
    <t>Mia</t>
  </si>
  <si>
    <t>Ava</t>
  </si>
  <si>
    <t>Emma</t>
  </si>
  <si>
    <t>Ethan</t>
  </si>
  <si>
    <t>Mary</t>
  </si>
  <si>
    <t>Mike</t>
  </si>
  <si>
    <t xml:space="preserve">Charlotte (Store #3)_x000C__x000C__x000C__x000C__x000C_    </t>
  </si>
  <si>
    <t xml:space="preserve">      Charlotte (Store #2)_x000C__x000C__x000C__x000C__x000C_</t>
  </si>
  <si>
    <t xml:space="preserve">  Charlotte (Store #1)_x000C__x000C__x000C__x000C__x000C_</t>
  </si>
  <si>
    <t xml:space="preserve">     Detroit (Store #3)_x000C__x000C__x000C__x000C__x000C_</t>
  </si>
  <si>
    <t xml:space="preserve">         Detroit (Store #2)_x000C__x000C__x000C__x000C__x000C_</t>
  </si>
  <si>
    <t>Detroit    (Store #1)_x000C__x000C__x000C__x000C__x000C_</t>
  </si>
  <si>
    <t>Cleaned Text</t>
  </si>
  <si>
    <t>Store</t>
  </si>
  <si>
    <t>Pad to 10 characters</t>
  </si>
  <si>
    <t>Customer ID</t>
  </si>
  <si>
    <t>Rep and Revenue</t>
  </si>
  <si>
    <t>Rep</t>
  </si>
  <si>
    <t>Today is May 11, 2014</t>
  </si>
  <si>
    <t>The difference between the days of start_date and end_date. The years of the dates are ignored.</t>
  </si>
  <si>
    <t>"yd"</t>
  </si>
  <si>
    <t>The difference between the months in start_date and end_date. The days and years of the dates are ignored.</t>
  </si>
  <si>
    <t>"ym"</t>
  </si>
  <si>
    <t>The difference between the days in start_date and end_date. The months and years of the dates are ignored.</t>
  </si>
  <si>
    <t>"md"</t>
  </si>
  <si>
    <t>The number of days in the period.</t>
  </si>
  <si>
    <t>"d"</t>
  </si>
  <si>
    <t>The number of complete months in the period.</t>
  </si>
  <si>
    <t>"m"</t>
  </si>
  <si>
    <t>The number of complete years in the period.</t>
  </si>
  <si>
    <t>"y"</t>
  </si>
  <si>
    <t>Returns</t>
  </si>
  <si>
    <t>Unit Code For DATEIF</t>
  </si>
  <si>
    <t>Age</t>
  </si>
  <si>
    <t>Date of Birth</t>
  </si>
  <si>
    <t>Days Outstanding</t>
  </si>
  <si>
    <t>Invoice Date</t>
  </si>
  <si>
    <t>Net Work Days</t>
  </si>
  <si>
    <t>End Date</t>
  </si>
  <si>
    <t>Start Date</t>
  </si>
  <si>
    <t>Holidays</t>
  </si>
  <si>
    <t>=WEEKNUM(C3)</t>
  </si>
  <si>
    <t>=WEEKDAY(C3)</t>
  </si>
  <si>
    <t>=DAY(C3)</t>
  </si>
  <si>
    <t>=MONTH(C3)</t>
  </si>
  <si>
    <t>=YEAR(C3)</t>
  </si>
  <si>
    <t>Number of Years and Months</t>
  </si>
  <si>
    <t>Julian Date</t>
  </si>
  <si>
    <t>Standard Date</t>
  </si>
  <si>
    <t>Pcnt of this Year Left</t>
  </si>
  <si>
    <t>Pcnt of this Year Complete</t>
  </si>
  <si>
    <t>Last Day of February</t>
  </si>
  <si>
    <t>First Day of February</t>
  </si>
  <si>
    <t>Calendar Quarter</t>
  </si>
  <si>
    <t>Date</t>
  </si>
  <si>
    <r>
      <t xml:space="preserve">Fiscal Quarter
</t>
    </r>
    <r>
      <rPr>
        <b/>
        <sz val="10"/>
        <color rgb="FF3F3F3F"/>
        <rFont val="Calibri"/>
        <family val="2"/>
        <scheme val="minor"/>
      </rPr>
      <t>(Fiscal Year Starts in April)</t>
    </r>
  </si>
  <si>
    <r>
      <t xml:space="preserve">Fiscal Month
</t>
    </r>
    <r>
      <rPr>
        <b/>
        <sz val="10"/>
        <color rgb="FF3F3F3F"/>
        <rFont val="Calibri"/>
        <family val="2"/>
        <scheme val="minor"/>
      </rPr>
      <t>(Starts on the 21st and ends on the 20th of the Next Month)</t>
    </r>
  </si>
  <si>
    <t>Nth Sat of the Month</t>
  </si>
  <si>
    <t>Nth Fri of the Month</t>
  </si>
  <si>
    <t>Nth Thur of the Month</t>
  </si>
  <si>
    <t>Nth Wed of the Month</t>
  </si>
  <si>
    <t>Nth Tues of the Month</t>
  </si>
  <si>
    <t>Nth Mon of the Month</t>
  </si>
  <si>
    <t>Nth Sun of the Month</t>
  </si>
  <si>
    <t>MONTH</t>
  </si>
  <si>
    <t>YEAR</t>
  </si>
  <si>
    <t>Nth Occurance</t>
  </si>
  <si>
    <t>Last Sat 
of the Month</t>
  </si>
  <si>
    <t>Last Fri 
of the Month</t>
  </si>
  <si>
    <t>Last Thurs 
of the Month</t>
  </si>
  <si>
    <t>Last Wed 
of the Month</t>
  </si>
  <si>
    <t>Last Tues 
of the Month</t>
  </si>
  <si>
    <t>Last Mon 
of the Month</t>
  </si>
  <si>
    <t>Last Sun 
of the Month</t>
  </si>
  <si>
    <t>=SECOND(C3)</t>
  </si>
  <si>
    <t>=MINUTE(C3)</t>
  </si>
  <si>
    <t>=HOUR(C3)</t>
  </si>
  <si>
    <t>Elapsed Minutes:Seconds</t>
  </si>
  <si>
    <t>End Time</t>
  </si>
  <si>
    <t>Start Time</t>
  </si>
  <si>
    <t>Round Down to Nearest 30 minutes</t>
  </si>
  <si>
    <t>Round Up to Nearest 15 Minutes</t>
  </si>
  <si>
    <t>Minutes:Seconds</t>
  </si>
  <si>
    <t>Decimal Seconds</t>
  </si>
  <si>
    <t>Decimal Minutes</t>
  </si>
  <si>
    <t>Hours:Minutes</t>
  </si>
  <si>
    <t>Decimal Hours</t>
  </si>
  <si>
    <t>Washington</t>
  </si>
  <si>
    <t>Texas</t>
  </si>
  <si>
    <t>Ohio</t>
  </si>
  <si>
    <t>New York</t>
  </si>
  <si>
    <t>Minnesota</t>
  </si>
  <si>
    <t>Massachusetts</t>
  </si>
  <si>
    <t>Florida</t>
  </si>
  <si>
    <t>Colorado</t>
  </si>
  <si>
    <t>California</t>
  </si>
  <si>
    <t>State</t>
  </si>
  <si>
    <t>No Bed</t>
  </si>
  <si>
    <t>Has Bed</t>
  </si>
  <si>
    <t>Truck</t>
  </si>
  <si>
    <t>4-door</t>
  </si>
  <si>
    <t>2-door</t>
  </si>
  <si>
    <t>Car</t>
  </si>
  <si>
    <t>Auto Property:</t>
  </si>
  <si>
    <t>Which Auto:</t>
  </si>
  <si>
    <t>Auto Type:</t>
  </si>
  <si>
    <t>SUV</t>
  </si>
  <si>
    <t>Pickup</t>
  </si>
  <si>
    <t>Sedan</t>
  </si>
  <si>
    <t>Coupe</t>
  </si>
  <si>
    <t>203-SUB-8304</t>
  </si>
  <si>
    <t>203-FIN-3507</t>
  </si>
  <si>
    <t>201-SUB-1022</t>
  </si>
  <si>
    <t>203-PRT-3335</t>
  </si>
  <si>
    <t>203-SUB-3972</t>
  </si>
  <si>
    <t>202-FIN-6273</t>
  </si>
  <si>
    <t>203-SUB-4369</t>
  </si>
  <si>
    <t>201-SUB-3124</t>
  </si>
  <si>
    <t>202-PRT-7937</t>
  </si>
  <si>
    <t>202-FIN-9069</t>
  </si>
  <si>
    <t>201-SUB-8641</t>
  </si>
  <si>
    <t>202-SUB-1955</t>
  </si>
  <si>
    <t>201-PRT-2478</t>
  </si>
  <si>
    <t>203-FIN-4614</t>
  </si>
  <si>
    <t>202-PRT-9587</t>
  </si>
  <si>
    <t>203-FIN-8882</t>
  </si>
  <si>
    <t>201-FIN-8238</t>
  </si>
  <si>
    <t>202-FIN-8206</t>
  </si>
  <si>
    <t>201-FIN-1452</t>
  </si>
  <si>
    <t>202-PRT-3013</t>
  </si>
  <si>
    <t>Discount</t>
  </si>
  <si>
    <t>Quantity</t>
  </si>
  <si>
    <t>Inventory Item</t>
  </si>
  <si>
    <t>IsFinalAssembly</t>
  </si>
  <si>
    <t>IsDept202</t>
  </si>
  <si>
    <t>Positive Balances</t>
  </si>
  <si>
    <t>Negative Balances</t>
  </si>
  <si>
    <t>6300 Charitable Contributions Expense</t>
  </si>
  <si>
    <t>5900 Purchase Returns and Allowances</t>
  </si>
  <si>
    <t>5800 Cost of Goods Sold, Other</t>
  </si>
  <si>
    <t>2440 Deposits from Customers</t>
  </si>
  <si>
    <t>2420 Current Portion of Long-term Debt</t>
  </si>
  <si>
    <t>2320 Wages Payable</t>
  </si>
  <si>
    <t>1915 Other Assets</t>
  </si>
  <si>
    <t>1690 Land</t>
  </si>
  <si>
    <t>1540 Accumulated Depreciation</t>
  </si>
  <si>
    <t>1510 Equipment</t>
  </si>
  <si>
    <t>Balance</t>
  </si>
  <si>
    <t>Account</t>
  </si>
  <si>
    <t>Sum North and South</t>
  </si>
  <si>
    <t>Greater than B15</t>
  </si>
  <si>
    <t>Greater than East</t>
  </si>
  <si>
    <t>Sum on the East</t>
  </si>
  <si>
    <t>Sum today and prior</t>
  </si>
  <si>
    <t>Sum today</t>
  </si>
  <si>
    <t>Value</t>
  </si>
  <si>
    <t>United States</t>
  </si>
  <si>
    <t>United Kingdom</t>
  </si>
  <si>
    <t>Turkey</t>
  </si>
  <si>
    <t>Switzerland</t>
  </si>
  <si>
    <t>Spain</t>
  </si>
  <si>
    <t>South Korea</t>
  </si>
  <si>
    <t>Russia</t>
  </si>
  <si>
    <t>Poland</t>
  </si>
  <si>
    <t>Netherlands</t>
  </si>
  <si>
    <t>Mexico</t>
  </si>
  <si>
    <t>Japan</t>
  </si>
  <si>
    <t>Italy</t>
  </si>
  <si>
    <t>Indonesia</t>
  </si>
  <si>
    <t>India</t>
  </si>
  <si>
    <t>Germany</t>
  </si>
  <si>
    <t>France</t>
  </si>
  <si>
    <t>China</t>
  </si>
  <si>
    <t>Canada</t>
  </si>
  <si>
    <t>Brazil</t>
  </si>
  <si>
    <t>Belgium</t>
  </si>
  <si>
    <t>Australia</t>
  </si>
  <si>
    <t>Using SUMPRODUCT</t>
  </si>
  <si>
    <t>Total GDP</t>
  </si>
  <si>
    <t>End Year</t>
  </si>
  <si>
    <t>Start Year</t>
  </si>
  <si>
    <t>Country</t>
  </si>
  <si>
    <t>GDP</t>
  </si>
  <si>
    <t>Year</t>
  </si>
  <si>
    <t>Reversed</t>
  </si>
  <si>
    <t>SUMPRODUCT</t>
  </si>
  <si>
    <t>With SUMIFS</t>
  </si>
  <si>
    <t>Sum</t>
  </si>
  <si>
    <t>Amount</t>
  </si>
  <si>
    <t>Count</t>
  </si>
  <si>
    <t>And</t>
  </si>
  <si>
    <t>Between</t>
  </si>
  <si>
    <t>Criterion</t>
  </si>
  <si>
    <t>BRONZE</t>
  </si>
  <si>
    <t>AUT</t>
  </si>
  <si>
    <t>Wiltrud Drexel</t>
  </si>
  <si>
    <t>Giant Slalom Women</t>
  </si>
  <si>
    <t>SILVER</t>
  </si>
  <si>
    <t>Annemarie Moser-Pröll</t>
  </si>
  <si>
    <t>GOLD</t>
  </si>
  <si>
    <t>SUI</t>
  </si>
  <si>
    <t>Marie-Thérès Nadig</t>
  </si>
  <si>
    <t>FRA</t>
  </si>
  <si>
    <t>Florence Steurer</t>
  </si>
  <si>
    <t>Slalom Women</t>
  </si>
  <si>
    <t>Danièlle Debernard</t>
  </si>
  <si>
    <t>USA</t>
  </si>
  <si>
    <t>Barbara Cochran</t>
  </si>
  <si>
    <t>Susan Corrock</t>
  </si>
  <si>
    <t>Downhill Women</t>
  </si>
  <si>
    <t>Werner Mattle</t>
  </si>
  <si>
    <t>Giant Slalom Men</t>
  </si>
  <si>
    <t>Edmund Bruggmann</t>
  </si>
  <si>
    <t>ITA</t>
  </si>
  <si>
    <t>Gustav Thöni</t>
  </si>
  <si>
    <t>Roland Thöni</t>
  </si>
  <si>
    <t>Slalom Men</t>
  </si>
  <si>
    <t>ESP</t>
  </si>
  <si>
    <t>Francisco Fernández</t>
  </si>
  <si>
    <t>Heini Messner</t>
  </si>
  <si>
    <t>Downhill Men</t>
  </si>
  <si>
    <t>Medal Won</t>
  </si>
  <si>
    <t>Roland Collombin</t>
  </si>
  <si>
    <t>ö</t>
  </si>
  <si>
    <t>Name contains</t>
  </si>
  <si>
    <t>Bernhard Russi</t>
  </si>
  <si>
    <t>Medal</t>
  </si>
  <si>
    <t xml:space="preserve">Result </t>
  </si>
  <si>
    <t xml:space="preserve">Country </t>
  </si>
  <si>
    <t xml:space="preserve">Athlete </t>
  </si>
  <si>
    <t xml:space="preserve">Event </t>
  </si>
  <si>
    <t>SUMIF and COUNTIF</t>
  </si>
  <si>
    <t>Average Result</t>
  </si>
  <si>
    <t>Women</t>
  </si>
  <si>
    <t>Gender</t>
  </si>
  <si>
    <t>827 Harrison Street Anytown, USA 12345</t>
  </si>
  <si>
    <t>Jackson Stephens</t>
  </si>
  <si>
    <t>245 Fontenelle Boulevard Anytown, USA 12345</t>
  </si>
  <si>
    <t>Kylie Woods</t>
  </si>
  <si>
    <t>803 Fontenelle Boulevard Anytown, USA 12345</t>
  </si>
  <si>
    <t>Jesus Clark</t>
  </si>
  <si>
    <t>Retirement</t>
  </si>
  <si>
    <t>652 Regency Parkway Drive Anytown, USA 12345</t>
  </si>
  <si>
    <t>Kimberly Hall</t>
  </si>
  <si>
    <t>Insurance</t>
  </si>
  <si>
    <t>772 North 30th Street Anytown, USA 12345</t>
  </si>
  <si>
    <t>Kaylee Perez</t>
  </si>
  <si>
    <t>Taxes</t>
  </si>
  <si>
    <t>715 136th Street Anytown, USA 12345</t>
  </si>
  <si>
    <t>Isabella Harris</t>
  </si>
  <si>
    <t>Deductions</t>
  </si>
  <si>
    <t>Pay</t>
  </si>
  <si>
    <t>271 Dodge Street Anytown, USA 12345</t>
  </si>
  <si>
    <t>Cooper Smith</t>
  </si>
  <si>
    <t>530 Dodge Street Anytown, USA 12345</t>
  </si>
  <si>
    <t>Elizabeth Marshall</t>
  </si>
  <si>
    <t>Employee Address</t>
  </si>
  <si>
    <t>888 192nd Street Anytown, USA 12345</t>
  </si>
  <si>
    <t>Elijah Ward</t>
  </si>
  <si>
    <t>427 John A. Creighton Boulevard Anytown, USA 12345</t>
  </si>
  <si>
    <t>Paige Jones</t>
  </si>
  <si>
    <t>Net Pay</t>
  </si>
  <si>
    <t>Check #</t>
  </si>
  <si>
    <t>Employee Name</t>
  </si>
  <si>
    <t>Employee ID</t>
  </si>
  <si>
    <t>401k</t>
  </si>
  <si>
    <t>Tax Rate</t>
  </si>
  <si>
    <t>Salary</t>
  </si>
  <si>
    <t>Frequency</t>
  </si>
  <si>
    <t>Address</t>
  </si>
  <si>
    <t>ID</t>
  </si>
  <si>
    <t>WI</t>
  </si>
  <si>
    <t>Green Bay</t>
  </si>
  <si>
    <t>WA</t>
  </si>
  <si>
    <t>Tacoma</t>
  </si>
  <si>
    <t>TX</t>
  </si>
  <si>
    <t>Carrollton</t>
  </si>
  <si>
    <t>TN</t>
  </si>
  <si>
    <t>Clarksville</t>
  </si>
  <si>
    <t>RI</t>
  </si>
  <si>
    <t>Providence</t>
  </si>
  <si>
    <t>PA</t>
  </si>
  <si>
    <t>Erie</t>
  </si>
  <si>
    <t>OR</t>
  </si>
  <si>
    <t>Portland</t>
  </si>
  <si>
    <t>OK</t>
  </si>
  <si>
    <t>Tulsa</t>
  </si>
  <si>
    <t>OH</t>
  </si>
  <si>
    <t>Toledo</t>
  </si>
  <si>
    <t>NM</t>
  </si>
  <si>
    <t>Albuquerque</t>
  </si>
  <si>
    <t>NJ</t>
  </si>
  <si>
    <t>Elizabeth</t>
  </si>
  <si>
    <t>NH</t>
  </si>
  <si>
    <t>Manchester</t>
  </si>
  <si>
    <t>NC</t>
  </si>
  <si>
    <t>Raleigh</t>
  </si>
  <si>
    <t>MT</t>
  </si>
  <si>
    <t>Billings</t>
  </si>
  <si>
    <t>MO</t>
  </si>
  <si>
    <t>St. Louis</t>
  </si>
  <si>
    <t>MI</t>
  </si>
  <si>
    <t>Grand Rapids</t>
  </si>
  <si>
    <t>LOOKUP Store:</t>
  </si>
  <si>
    <t>LA</t>
  </si>
  <si>
    <t>Lafayette</t>
  </si>
  <si>
    <t>LOOKUP City:</t>
  </si>
  <si>
    <t>IN</t>
  </si>
  <si>
    <t>Indianapolis</t>
  </si>
  <si>
    <t>IL</t>
  </si>
  <si>
    <t>Peoria</t>
  </si>
  <si>
    <t>Store:</t>
  </si>
  <si>
    <t>FL</t>
  </si>
  <si>
    <t>Gainesville</t>
  </si>
  <si>
    <t>City:</t>
  </si>
  <si>
    <t>CO</t>
  </si>
  <si>
    <t>Fort Collins</t>
  </si>
  <si>
    <t>State:</t>
  </si>
  <si>
    <t>CA</t>
  </si>
  <si>
    <t>Glendale</t>
  </si>
  <si>
    <t>AZ</t>
  </si>
  <si>
    <t>Chandler</t>
  </si>
  <si>
    <t>Store #</t>
  </si>
  <si>
    <t>City</t>
  </si>
  <si>
    <t>INDEX:</t>
  </si>
  <si>
    <t>Your Temp:</t>
  </si>
  <si>
    <t>Casablanca</t>
  </si>
  <si>
    <t>Your City:</t>
  </si>
  <si>
    <t>Temp</t>
  </si>
  <si>
    <t>Lhasa</t>
  </si>
  <si>
    <t>Anadyr</t>
  </si>
  <si>
    <t>Edmonton</t>
  </si>
  <si>
    <t>Honiara</t>
  </si>
  <si>
    <t>Mumbai</t>
  </si>
  <si>
    <t>Lisbon</t>
  </si>
  <si>
    <t>Kathmandu</t>
  </si>
  <si>
    <t>São Paulo</t>
  </si>
  <si>
    <t>Chongqing</t>
  </si>
  <si>
    <t xml:space="preserve">Marissa A. Mayer </t>
  </si>
  <si>
    <t xml:space="preserve">Yahoo Inc </t>
  </si>
  <si>
    <t xml:space="preserve">Philippe P. Dauman </t>
  </si>
  <si>
    <t xml:space="preserve">Viacom Inc </t>
  </si>
  <si>
    <t xml:space="preserve">Elon Musk </t>
  </si>
  <si>
    <t xml:space="preserve">Tesla Motors Inc </t>
  </si>
  <si>
    <t xml:space="preserve">Ralph Lauren </t>
  </si>
  <si>
    <t xml:space="preserve">Ralph Lauren Corp </t>
  </si>
  <si>
    <t xml:space="preserve">Lawrence Kingsley </t>
  </si>
  <si>
    <t xml:space="preserve">Pall Corp </t>
  </si>
  <si>
    <t xml:space="preserve">Lawrence J. Ellison </t>
  </si>
  <si>
    <t xml:space="preserve">Oracle Corp </t>
  </si>
  <si>
    <t xml:space="preserve">Paul A. Ricci </t>
  </si>
  <si>
    <t xml:space="preserve">Nuance Communications Inc </t>
  </si>
  <si>
    <t xml:space="preserve">Mark G. Parker </t>
  </si>
  <si>
    <t xml:space="preserve">Nike Inc </t>
  </si>
  <si>
    <t xml:space="preserve">John H. Hammergren </t>
  </si>
  <si>
    <t xml:space="preserve">Mckesson Corp </t>
  </si>
  <si>
    <t xml:space="preserve">Gregory B. Maffei </t>
  </si>
  <si>
    <t xml:space="preserve">Liberty Interactive Corp </t>
  </si>
  <si>
    <t xml:space="preserve">James Q. Crowe </t>
  </si>
  <si>
    <t xml:space="preserve">Level 3 Communications Inc </t>
  </si>
  <si>
    <t xml:space="preserve">Richard B. Handler </t>
  </si>
  <si>
    <t xml:space="preserve">Jefferies Group Llc </t>
  </si>
  <si>
    <t xml:space="preserve">David M. Cote </t>
  </si>
  <si>
    <t xml:space="preserve">Honeywell International Inc </t>
  </si>
  <si>
    <t xml:space="preserve">Richard M. Bracken </t>
  </si>
  <si>
    <t xml:space="preserve">HCA Holdings Inc </t>
  </si>
  <si>
    <t xml:space="preserve">R. W. Tillerson </t>
  </si>
  <si>
    <t xml:space="preserve">Mario J. Gabelli </t>
  </si>
  <si>
    <t xml:space="preserve">Gamco Investors Inc </t>
  </si>
  <si>
    <t xml:space="preserve">Exxon Mobil Corp </t>
  </si>
  <si>
    <t xml:space="preserve">Robert A. Iger </t>
  </si>
  <si>
    <t xml:space="preserve">Disney (Walt) Co </t>
  </si>
  <si>
    <t xml:space="preserve">David M. Zaslav </t>
  </si>
  <si>
    <t xml:space="preserve">Discovery Communications Inc </t>
  </si>
  <si>
    <t xml:space="preserve">Leslie Moonves </t>
  </si>
  <si>
    <t xml:space="preserve">Brett A. Roberts </t>
  </si>
  <si>
    <t xml:space="preserve">Credit Acceptance Corp </t>
  </si>
  <si>
    <t xml:space="preserve">Charif Souki </t>
  </si>
  <si>
    <t xml:space="preserve">Cheniere Energy Inc </t>
  </si>
  <si>
    <t xml:space="preserve">CBS Corp </t>
  </si>
  <si>
    <t xml:space="preserve">Robert A. Kotick </t>
  </si>
  <si>
    <t xml:space="preserve">Activision Blizzard Inc </t>
  </si>
  <si>
    <t>2012  Salary</t>
  </si>
  <si>
    <t>Name</t>
  </si>
  <si>
    <t>CEO</t>
  </si>
  <si>
    <t>Withholding amount:</t>
  </si>
  <si>
    <t>Wage less allowance:</t>
  </si>
  <si>
    <t>Allowance:</t>
  </si>
  <si>
    <t>Withholding allowances:</t>
  </si>
  <si>
    <t>Bi-weekly wage:</t>
  </si>
  <si>
    <t>Percentage</t>
  </si>
  <si>
    <t>Base amount</t>
  </si>
  <si>
    <t>But not over</t>
  </si>
  <si>
    <t>Wages over</t>
  </si>
  <si>
    <t>INDEX and MATCH:</t>
  </si>
  <si>
    <t>Single</t>
  </si>
  <si>
    <t>Married or Single:</t>
  </si>
  <si>
    <t>Single person</t>
  </si>
  <si>
    <t>Married person</t>
  </si>
  <si>
    <t>Sales:</t>
  </si>
  <si>
    <t>Year:</t>
  </si>
  <si>
    <t>Region:</t>
  </si>
  <si>
    <t>Mid-Atlantic</t>
  </si>
  <si>
    <t>Northeast</t>
  </si>
  <si>
    <t>Regional Sales Report</t>
  </si>
  <si>
    <t>Cole Lee</t>
  </si>
  <si>
    <t>Customer Service</t>
  </si>
  <si>
    <t>Katelyn Marshall</t>
  </si>
  <si>
    <t>Research &amp; Development</t>
  </si>
  <si>
    <t>Samuel Gardner</t>
  </si>
  <si>
    <t>Operational</t>
  </si>
  <si>
    <t>Brooklyn Coleman</t>
  </si>
  <si>
    <t>Legal</t>
  </si>
  <si>
    <t>Kyle Palmer</t>
  </si>
  <si>
    <t>Marketing</t>
  </si>
  <si>
    <t>Pacific Northwest</t>
  </si>
  <si>
    <t>Aaron Myers</t>
  </si>
  <si>
    <t>Business Development</t>
  </si>
  <si>
    <t>Anna Greene</t>
  </si>
  <si>
    <t>Sales</t>
  </si>
  <si>
    <t>Chloe Sanchez</t>
  </si>
  <si>
    <t>Inventory</t>
  </si>
  <si>
    <t>Landon Garcia</t>
  </si>
  <si>
    <t>Purchasing</t>
  </si>
  <si>
    <t>Gabriella West</t>
  </si>
  <si>
    <t>Southwest</t>
  </si>
  <si>
    <t>Jasmine Cox</t>
  </si>
  <si>
    <t>Services</t>
  </si>
  <si>
    <t>Faith Green</t>
  </si>
  <si>
    <t>Finance</t>
  </si>
  <si>
    <t>Jordan Morgan</t>
  </si>
  <si>
    <t>Riley James</t>
  </si>
  <si>
    <t>IT</t>
  </si>
  <si>
    <t>Nathaniel Kennedy</t>
  </si>
  <si>
    <t>Mackenzie Griffin</t>
  </si>
  <si>
    <t>Supply Chain</t>
  </si>
  <si>
    <t>Kaylee Hart</t>
  </si>
  <si>
    <t>Adam Cox</t>
  </si>
  <si>
    <t>Savannah Stone</t>
  </si>
  <si>
    <t>Management</t>
  </si>
  <si>
    <t>Joseph Jordan</t>
  </si>
  <si>
    <t>Eli Marshall</t>
  </si>
  <si>
    <t>Licenses</t>
  </si>
  <si>
    <t>Peyton Powell</t>
  </si>
  <si>
    <t>Thomas Rivera</t>
  </si>
  <si>
    <t>Market Development</t>
  </si>
  <si>
    <t>Gianna Freeman</t>
  </si>
  <si>
    <t>Maria Cook</t>
  </si>
  <si>
    <t>Wyatt Harris</t>
  </si>
  <si>
    <t>Jack Black</t>
  </si>
  <si>
    <t>Evelyn Burns</t>
  </si>
  <si>
    <t>Quality Asurance</t>
  </si>
  <si>
    <t>Adam Howard</t>
  </si>
  <si>
    <t>Isaac Chavez</t>
  </si>
  <si>
    <t>Genesis Mills</t>
  </si>
  <si>
    <t>Alex Cox</t>
  </si>
  <si>
    <t>Layla Green</t>
  </si>
  <si>
    <t>Brooke Bailey</t>
  </si>
  <si>
    <t>Accounting</t>
  </si>
  <si>
    <t>Victoria Gomez</t>
  </si>
  <si>
    <t>Hannah Porter</t>
  </si>
  <si>
    <t>Claire Peterson</t>
  </si>
  <si>
    <t>Manager:</t>
  </si>
  <si>
    <t>Lillian Hart</t>
  </si>
  <si>
    <t>Budget:</t>
  </si>
  <si>
    <t>David Gordon</t>
  </si>
  <si>
    <t>Department:</t>
  </si>
  <si>
    <t>Katherine Nichols</t>
  </si>
  <si>
    <t>Samantha Allen</t>
  </si>
  <si>
    <t>Logistics</t>
  </si>
  <si>
    <t>Audrey Washington</t>
  </si>
  <si>
    <t>Jose Palmer</t>
  </si>
  <si>
    <t>Manager</t>
  </si>
  <si>
    <t>Department</t>
  </si>
  <si>
    <t>IN6513</t>
  </si>
  <si>
    <t>IN2408</t>
  </si>
  <si>
    <t>IN1491</t>
  </si>
  <si>
    <t>IN8685</t>
  </si>
  <si>
    <t>IN5552</t>
  </si>
  <si>
    <t>IN1477</t>
  </si>
  <si>
    <t>IN4305</t>
  </si>
  <si>
    <t>IN5061</t>
  </si>
  <si>
    <t>Last Amount</t>
  </si>
  <si>
    <t>Last Invoice</t>
  </si>
  <si>
    <t>IN4374</t>
  </si>
  <si>
    <t>IN6787</t>
  </si>
  <si>
    <t>Item Count</t>
  </si>
  <si>
    <t>Invoice #</t>
  </si>
  <si>
    <t>Carlos</t>
  </si>
  <si>
    <t>Rachel</t>
  </si>
  <si>
    <t>Payton</t>
  </si>
  <si>
    <t>Andrew</t>
  </si>
  <si>
    <t>Sales for:</t>
  </si>
  <si>
    <t>Sale Amount</t>
  </si>
  <si>
    <t>0029819Al048</t>
  </si>
  <si>
    <t>0036624eF119</t>
  </si>
  <si>
    <t>0001151aU089</t>
  </si>
  <si>
    <t>0021987Kb889</t>
  </si>
  <si>
    <t>0093443rE467</t>
  </si>
  <si>
    <t>0096605oP997</t>
  </si>
  <si>
    <t>EXACT:</t>
  </si>
  <si>
    <t>0089112nT313</t>
  </si>
  <si>
    <t>VLOOKUP:</t>
  </si>
  <si>
    <t>0018059Jr916</t>
  </si>
  <si>
    <t>ID#:</t>
  </si>
  <si>
    <t>0036624Ef119</t>
  </si>
  <si>
    <t>0010857yY880</t>
  </si>
  <si>
    <t>Last Login</t>
  </si>
  <si>
    <t>ID#</t>
  </si>
  <si>
    <t>Subtotal:</t>
  </si>
  <si>
    <t>Average</t>
  </si>
  <si>
    <t>Select an aggregate:</t>
  </si>
  <si>
    <t>Aggregates</t>
  </si>
  <si>
    <t>Ticket #</t>
  </si>
  <si>
    <t>Net Profit</t>
  </si>
  <si>
    <t>Other Income and Expense</t>
  </si>
  <si>
    <t>Interest Expense</t>
  </si>
  <si>
    <t>Operating Margin</t>
  </si>
  <si>
    <t>Selling, General, and Administrative Expenses</t>
  </si>
  <si>
    <t>Research Development</t>
  </si>
  <si>
    <t>Gross Margin</t>
  </si>
  <si>
    <t>Cost of Goods Sold</t>
  </si>
  <si>
    <t>Gross Margin Percent</t>
  </si>
  <si>
    <t>Markup</t>
  </si>
  <si>
    <t>Selling price</t>
  </si>
  <si>
    <t>Cost of product</t>
  </si>
  <si>
    <t>EBITDA</t>
  </si>
  <si>
    <t>EBIT</t>
  </si>
  <si>
    <t>Net Income (Loss)</t>
  </si>
  <si>
    <t>Income Tax Expense</t>
  </si>
  <si>
    <t>Other Expenses</t>
  </si>
  <si>
    <t>Operating Income</t>
  </si>
  <si>
    <t>Total Operating Expenses</t>
  </si>
  <si>
    <t>Amortization Expense</t>
  </si>
  <si>
    <t>Depreciation Expense</t>
  </si>
  <si>
    <t>Adminstrative Expenses</t>
  </si>
  <si>
    <t>Selling Expenses</t>
  </si>
  <si>
    <t>Ending Inventory</t>
  </si>
  <si>
    <t>Goods Available for Sale</t>
  </si>
  <si>
    <t>Purchases</t>
  </si>
  <si>
    <t>Beginning Inventory</t>
  </si>
  <si>
    <t>Total Liabiltiies and Equity</t>
  </si>
  <si>
    <t>Total Equity</t>
  </si>
  <si>
    <t>Retained Earnings</t>
  </si>
  <si>
    <t>Additional Paid-in Capital</t>
  </si>
  <si>
    <t>Common Stock</t>
  </si>
  <si>
    <t>Total Liabilities</t>
  </si>
  <si>
    <t>Return on Equity</t>
  </si>
  <si>
    <t>Notes Payable Long Term</t>
  </si>
  <si>
    <t>Return on Assets</t>
  </si>
  <si>
    <t>Total Current Liabilities</t>
  </si>
  <si>
    <t>Notes Payable Current</t>
  </si>
  <si>
    <t>Accrued Expenses</t>
  </si>
  <si>
    <t>Accounts Payable</t>
  </si>
  <si>
    <t>Total Assets</t>
  </si>
  <si>
    <t>Total Long-term Assets</t>
  </si>
  <si>
    <t>Other Assets</t>
  </si>
  <si>
    <t>S,G &amp; A Expenses</t>
  </si>
  <si>
    <t>Property and Equipment</t>
  </si>
  <si>
    <t>Total Current Assets</t>
  </si>
  <si>
    <t>Inventories</t>
  </si>
  <si>
    <t>Accounts Receivable</t>
  </si>
  <si>
    <t>Cash</t>
  </si>
  <si>
    <t>Income Statement</t>
  </si>
  <si>
    <t>Balance Sheet</t>
  </si>
  <si>
    <t>F</t>
  </si>
  <si>
    <t>General &amp; Admin Expenses</t>
  </si>
  <si>
    <t>Margin Net of Variable Expenses</t>
  </si>
  <si>
    <t>Churn rate:</t>
  </si>
  <si>
    <t>Subscribers lost:</t>
  </si>
  <si>
    <t>Subscribers at end of month:</t>
  </si>
  <si>
    <t>New subscribers:</t>
  </si>
  <si>
    <t>Subscribers at beginning of month:</t>
  </si>
  <si>
    <t>Annual churn rate:</t>
  </si>
  <si>
    <t>Subscribers at end of year:</t>
  </si>
  <si>
    <t>Subscribers at beginning of year:</t>
  </si>
  <si>
    <t>Customer Lifetime Value</t>
  </si>
  <si>
    <t>Average customer margin</t>
  </si>
  <si>
    <t>Cost of goods sold</t>
  </si>
  <si>
    <t>Monthly revenue</t>
  </si>
  <si>
    <t>Employee Turnover</t>
  </si>
  <si>
    <t>Separations</t>
  </si>
  <si>
    <t>Average monthly employment</t>
  </si>
  <si>
    <t>Dec</t>
  </si>
  <si>
    <t>Nov</t>
  </si>
  <si>
    <t>Oct</t>
  </si>
  <si>
    <t>Sep</t>
  </si>
  <si>
    <t>Aug</t>
  </si>
  <si>
    <t>Jul</t>
  </si>
  <si>
    <t>Jun</t>
  </si>
  <si>
    <t>Apr</t>
  </si>
  <si>
    <t>Mar</t>
  </si>
  <si>
    <t>Feb</t>
  </si>
  <si>
    <t>Jan</t>
  </si>
  <si>
    <t>End. Employees</t>
  </si>
  <si>
    <t>New Hires</t>
  </si>
  <si>
    <t>Beg. Employees</t>
  </si>
  <si>
    <t>Month</t>
  </si>
  <si>
    <t>Compute Effective Rate with FV</t>
  </si>
  <si>
    <t>Given Nominal Rate</t>
  </si>
  <si>
    <t>Compute Nominal Rate</t>
  </si>
  <si>
    <t>Given Effective Rate</t>
  </si>
  <si>
    <t>Compute Effective Rate</t>
  </si>
  <si>
    <t>Effective Rate</t>
  </si>
  <si>
    <t>Total interest paid</t>
  </si>
  <si>
    <t>Interest</t>
  </si>
  <si>
    <t>Principle</t>
  </si>
  <si>
    <t>Payment</t>
  </si>
  <si>
    <t>Pmt Amt</t>
  </si>
  <si>
    <t>Pmt No</t>
  </si>
  <si>
    <t>Your monthly payment:</t>
  </si>
  <si>
    <t>Years</t>
  </si>
  <si>
    <t>Interest Rate:</t>
  </si>
  <si>
    <t>Amount Borrowed:</t>
  </si>
  <si>
    <t>New Rate</t>
  </si>
  <si>
    <t>Pmt No.</t>
  </si>
  <si>
    <t>Interest Changes</t>
  </si>
  <si>
    <t>Rate</t>
  </si>
  <si>
    <t>Useful Life</t>
  </si>
  <si>
    <t>Year Acquired</t>
  </si>
  <si>
    <t>Cost</t>
  </si>
  <si>
    <t>Asset No.</t>
  </si>
  <si>
    <t>Present Value</t>
  </si>
  <si>
    <t>Discount Rate</t>
  </si>
  <si>
    <t>Future Value</t>
  </si>
  <si>
    <t>PV</t>
  </si>
  <si>
    <t>Rent</t>
  </si>
  <si>
    <t>Net Present Value:</t>
  </si>
  <si>
    <t>Expected Future Cash Flow</t>
  </si>
  <si>
    <t>Desired Return:</t>
  </si>
  <si>
    <t>Internal Rate of Return:</t>
  </si>
  <si>
    <t>Cash Flows</t>
  </si>
  <si>
    <t>Weighted Average Return</t>
  </si>
  <si>
    <t>Sparkle Growth and Income Fund</t>
  </si>
  <si>
    <t>Cogswell International Fund</t>
  </si>
  <si>
    <t>Ziff Value Investor Fund A</t>
  </si>
  <si>
    <t>Duff Small Cap Fund</t>
  </si>
  <si>
    <t>Roboto Bond Fund</t>
  </si>
  <si>
    <t>Rate of Return</t>
  </si>
  <si>
    <t>Investment</t>
  </si>
  <si>
    <t>Contribution</t>
  </si>
  <si>
    <t>Weight</t>
  </si>
  <si>
    <t>Indian Creek Golf Course</t>
  </si>
  <si>
    <t xml:space="preserve">Tregaron Golf Course </t>
  </si>
  <si>
    <t>Iron Horse Golf Club</t>
  </si>
  <si>
    <t>Tiburon Golf Club</t>
  </si>
  <si>
    <t xml:space="preserve">Eagle Hills Golf Course </t>
  </si>
  <si>
    <t>Colbert Hills</t>
  </si>
  <si>
    <t>Woodland Hills</t>
  </si>
  <si>
    <t>Bent Tree</t>
  </si>
  <si>
    <t>Moving Avg</t>
  </si>
  <si>
    <t>Score</t>
  </si>
  <si>
    <t>Course</t>
  </si>
  <si>
    <t>Alpha:</t>
  </si>
  <si>
    <t>Exponential Forecast</t>
  </si>
  <si>
    <t>Moving Average</t>
  </si>
  <si>
    <t>Demand</t>
  </si>
  <si>
    <t>Week</t>
  </si>
  <si>
    <t xml:space="preserve">DEC </t>
  </si>
  <si>
    <t xml:space="preserve">NOV </t>
  </si>
  <si>
    <t xml:space="preserve">OCT </t>
  </si>
  <si>
    <t xml:space="preserve">SEP </t>
  </si>
  <si>
    <t xml:space="preserve">AUG </t>
  </si>
  <si>
    <t xml:space="preserve">JUL </t>
  </si>
  <si>
    <t xml:space="preserve">JUN </t>
  </si>
  <si>
    <t xml:space="preserve">MAY </t>
  </si>
  <si>
    <t>Min Month</t>
  </si>
  <si>
    <t>Max Month</t>
  </si>
  <si>
    <t xml:space="preserve">APR </t>
  </si>
  <si>
    <t xml:space="preserve">MAR </t>
  </si>
  <si>
    <t>Min</t>
  </si>
  <si>
    <t>Max</t>
  </si>
  <si>
    <t xml:space="preserve">FEB </t>
  </si>
  <si>
    <t xml:space="preserve">JAN </t>
  </si>
  <si>
    <t>Avg Low Temp</t>
  </si>
  <si>
    <t>Vanessa Jackson</t>
  </si>
  <si>
    <t>Olivia Dunn</t>
  </si>
  <si>
    <t>Makayla Simmons</t>
  </si>
  <si>
    <t>Justin Mitchell</t>
  </si>
  <si>
    <t>Julian Murray</t>
  </si>
  <si>
    <t>Josiah Stone</t>
  </si>
  <si>
    <t>Jack Price</t>
  </si>
  <si>
    <t>Hannah Weaver</t>
  </si>
  <si>
    <t>Dylan Hill</t>
  </si>
  <si>
    <t>3rd Place</t>
  </si>
  <si>
    <t>Carlos White</t>
  </si>
  <si>
    <t>2nd Place</t>
  </si>
  <si>
    <t>Alexa Lee</t>
  </si>
  <si>
    <t>1st Place</t>
  </si>
  <si>
    <t>Aidan Knight</t>
  </si>
  <si>
    <t>Bowler</t>
  </si>
  <si>
    <t>Position</t>
  </si>
  <si>
    <t>Jeremiah Dunn</t>
  </si>
  <si>
    <t>Alexis Coleman</t>
  </si>
  <si>
    <t>Carlos Pierce</t>
  </si>
  <si>
    <t>Isaiah Peters</t>
  </si>
  <si>
    <t>Jose Harper</t>
  </si>
  <si>
    <t>Natalie Greene</t>
  </si>
  <si>
    <t>Alexandra Mitchell</t>
  </si>
  <si>
    <t>Addison West</t>
  </si>
  <si>
    <t>Ayden Taylor</t>
  </si>
  <si>
    <t>Chase Ellis</t>
  </si>
  <si>
    <t>Jessica Powell</t>
  </si>
  <si>
    <t>Gianna Ruiz</t>
  </si>
  <si>
    <t>Competitor</t>
  </si>
  <si>
    <t>Time</t>
  </si>
  <si>
    <t>Rank</t>
  </si>
  <si>
    <t>Sophia Nichols</t>
  </si>
  <si>
    <t>Sarah Cunningham</t>
  </si>
  <si>
    <t>Ryan Long</t>
  </si>
  <si>
    <t>Madison Ortiz</t>
  </si>
  <si>
    <t>Lily Harrison</t>
  </si>
  <si>
    <t>Kimberly Morales</t>
  </si>
  <si>
    <t>Juan Armstrong</t>
  </si>
  <si>
    <t>Joshua Thomas</t>
  </si>
  <si>
    <t>Isaac Rice</t>
  </si>
  <si>
    <t>Grace Mitchell</t>
  </si>
  <si>
    <t>Ella Bradley</t>
  </si>
  <si>
    <t>Dylan Edwards</t>
  </si>
  <si>
    <t>Connor Hill</t>
  </si>
  <si>
    <t>Christopher Rose</t>
  </si>
  <si>
    <t>Chloe Carpenter</t>
  </si>
  <si>
    <t>Charles Alexander</t>
  </si>
  <si>
    <t>Mode</t>
  </si>
  <si>
    <t>Bryan Wilson</t>
  </si>
  <si>
    <t>Median</t>
  </si>
  <si>
    <t>Andrew Stone</t>
  </si>
  <si>
    <t>Alex Palmer</t>
  </si>
  <si>
    <t>Addison Gray</t>
  </si>
  <si>
    <t>Count of Grades</t>
  </si>
  <si>
    <t>Grade</t>
  </si>
  <si>
    <t>Student</t>
  </si>
  <si>
    <t>William Cox</t>
  </si>
  <si>
    <t>Victoria Freeman</t>
  </si>
  <si>
    <t>Sean Gomez</t>
  </si>
  <si>
    <t>Samuel Chavez</t>
  </si>
  <si>
    <t>Nathaniel Griffin</t>
  </si>
  <si>
    <t>Mason Marshall</t>
  </si>
  <si>
    <t>Lillian Matthews</t>
  </si>
  <si>
    <t>Layla Gardner</t>
  </si>
  <si>
    <t>Lauren Allen</t>
  </si>
  <si>
    <t>Kyle Washington</t>
  </si>
  <si>
    <t>Katelyn Howard</t>
  </si>
  <si>
    <t>Joseph Morgan</t>
  </si>
  <si>
    <t>Jeremiah Palmer</t>
  </si>
  <si>
    <t>Jaden Hart</t>
  </si>
  <si>
    <t>Isabella Marshall</t>
  </si>
  <si>
    <t>Genesis Bailey</t>
  </si>
  <si>
    <t>Gabriella Davis</t>
  </si>
  <si>
    <t>Gabriel Webb</t>
  </si>
  <si>
    <t>Evelyn Harris</t>
  </si>
  <si>
    <t>Evan Stone</t>
  </si>
  <si>
    <t>Eric Greene</t>
  </si>
  <si>
    <t>Eli Green</t>
  </si>
  <si>
    <t>Chloe Marshall</t>
  </si>
  <si>
    <t>Audrey Cox</t>
  </si>
  <si>
    <t>Anna Garcia</t>
  </si>
  <si>
    <t>Amelia Rivera</t>
  </si>
  <si>
    <t>25th percentile</t>
  </si>
  <si>
    <t>Alyssa Cook</t>
  </si>
  <si>
    <t>50th percentile</t>
  </si>
  <si>
    <t>Alexa Gonzalez</t>
  </si>
  <si>
    <t>75th percentile</t>
  </si>
  <si>
    <t>Maximum</t>
  </si>
  <si>
    <t>Adam Jordan</t>
  </si>
  <si>
    <t>Quartile</t>
  </si>
  <si>
    <t>Defects per 1000</t>
  </si>
  <si>
    <t>Employee</t>
  </si>
  <si>
    <t>21.75: 43+((45-43)*.75)=44.5</t>
  </si>
  <si>
    <t>14.50: 31+((31-31)*.50)=31</t>
  </si>
  <si>
    <t>Demarcation</t>
  </si>
  <si>
    <t>Percentile</t>
  </si>
  <si>
    <t>7.25: 23+((23-23)*.25)=23</t>
  </si>
  <si>
    <t>Top quarter</t>
  </si>
  <si>
    <t>QUARTILE.EXC</t>
  </si>
  <si>
    <t>Lower Fence</t>
  </si>
  <si>
    <t>Upper Fence</t>
  </si>
  <si>
    <t>Fence Factor</t>
  </si>
  <si>
    <t>Interquartile Range</t>
  </si>
  <si>
    <t>Outliers</t>
  </si>
  <si>
    <t>Leveraged IQR
Upper Fence</t>
  </si>
  <si>
    <t>Non-leveraged IQR
Upper Fence</t>
  </si>
  <si>
    <t>25th Percentile</t>
  </si>
  <si>
    <t>Non-leveraged IQR
Lower Fence</t>
  </si>
  <si>
    <t>Leveraged IQR
Lower Fence</t>
  </si>
  <si>
    <t>IN9747</t>
  </si>
  <si>
    <t>IN9645</t>
  </si>
  <si>
    <t>IN8974</t>
  </si>
  <si>
    <t>IN8812</t>
  </si>
  <si>
    <t>IN8455</t>
  </si>
  <si>
    <t>IN8403</t>
  </si>
  <si>
    <t>IN8263</t>
  </si>
  <si>
    <t>IN7797</t>
  </si>
  <si>
    <t>IN7650</t>
  </si>
  <si>
    <t>IN7399</t>
  </si>
  <si>
    <t>IN7321</t>
  </si>
  <si>
    <t>IN7307</t>
  </si>
  <si>
    <t>IN6887</t>
  </si>
  <si>
    <t>IN6829</t>
  </si>
  <si>
    <t>IN6640</t>
  </si>
  <si>
    <t>IN6538</t>
  </si>
  <si>
    <t>IN6245</t>
  </si>
  <si>
    <t>IN5898</t>
  </si>
  <si>
    <t>IN5844</t>
  </si>
  <si>
    <t>IN5668</t>
  </si>
  <si>
    <t>IN5218</t>
  </si>
  <si>
    <t>IN5185</t>
  </si>
  <si>
    <t>IN5162</t>
  </si>
  <si>
    <t>IN5128</t>
  </si>
  <si>
    <t>IN4956</t>
  </si>
  <si>
    <t>IN4787</t>
  </si>
  <si>
    <t>IN4742</t>
  </si>
  <si>
    <t>IN4693</t>
  </si>
  <si>
    <t>IN4399</t>
  </si>
  <si>
    <t>IN4378</t>
  </si>
  <si>
    <t>IN4271</t>
  </si>
  <si>
    <t>IN4154</t>
  </si>
  <si>
    <t>IN4139</t>
  </si>
  <si>
    <t>IN4024</t>
  </si>
  <si>
    <t>IN3942</t>
  </si>
  <si>
    <t>IN3534</t>
  </si>
  <si>
    <t>IN3476</t>
  </si>
  <si>
    <t>IN3321</t>
  </si>
  <si>
    <t>IN3243</t>
  </si>
  <si>
    <t>IN2917</t>
  </si>
  <si>
    <t>IN2887</t>
  </si>
  <si>
    <t>IN2782</t>
  </si>
  <si>
    <t>IN2379</t>
  </si>
  <si>
    <t>IN2239</t>
  </si>
  <si>
    <t>IN1860</t>
  </si>
  <si>
    <t>IN1793</t>
  </si>
  <si>
    <t>IN1518</t>
  </si>
  <si>
    <t>IN1395</t>
  </si>
  <si>
    <t>IN1388</t>
  </si>
  <si>
    <t>IN1288</t>
  </si>
  <si>
    <t>Bins</t>
  </si>
  <si>
    <t>Total Sale</t>
  </si>
  <si>
    <t>Seasonal Factor</t>
  </si>
  <si>
    <t>De-seasonal</t>
  </si>
  <si>
    <t>Re-seasonal</t>
  </si>
  <si>
    <t>Prior Year Average</t>
  </si>
  <si>
    <t>WUSTHA Corp.</t>
  </si>
  <si>
    <t>UWUNPE Corp.</t>
  </si>
  <si>
    <t>ULDUNG Corp.</t>
  </si>
  <si>
    <t>UDGUWU Corp.</t>
  </si>
  <si>
    <t>TULUSS Corp.</t>
  </si>
  <si>
    <t>TRADUS Corp.</t>
  </si>
  <si>
    <t>SUMTUK Corp.</t>
  </si>
  <si>
    <t>SUASHU Corp.</t>
  </si>
  <si>
    <t>SOFANU Corp.</t>
  </si>
  <si>
    <t>SMATHE Corp.</t>
  </si>
  <si>
    <t>SCHOUL Corp.</t>
  </si>
  <si>
    <t>RUTANS Corp.</t>
  </si>
  <si>
    <t>RULLAN Corp.</t>
  </si>
  <si>
    <t>RRCAR Corp.</t>
  </si>
  <si>
    <t>REBUST Corp.</t>
  </si>
  <si>
    <t>PUNSKE Corp.</t>
  </si>
  <si>
    <t>OSADUL Corp.</t>
  </si>
  <si>
    <t>NCUANT Corp.</t>
  </si>
  <si>
    <t>MOSUNC Corp.</t>
  </si>
  <si>
    <t>MALEBO Corp.</t>
  </si>
  <si>
    <t>MAKUTE Corp.</t>
  </si>
  <si>
    <t>JUSDAN Corp.</t>
  </si>
  <si>
    <t>JAYKA Corp.</t>
  </si>
  <si>
    <t>JAMWUS Corp.</t>
  </si>
  <si>
    <t>JAMSEA Corp.</t>
  </si>
  <si>
    <t>GKNEAS Corp.</t>
  </si>
  <si>
    <t>Customer_Name</t>
  </si>
  <si>
    <t>Highlight Weekends</t>
  </si>
  <si>
    <t>Highlight Days within 2010 and 2012</t>
  </si>
  <si>
    <t>End</t>
  </si>
  <si>
    <t>Start</t>
  </si>
  <si>
    <t>Due Date</t>
  </si>
  <si>
    <t>4112</t>
  </si>
  <si>
    <t>3544</t>
  </si>
  <si>
    <t>54646</t>
  </si>
  <si>
    <t>4442</t>
  </si>
  <si>
    <t>4616</t>
  </si>
  <si>
    <t>5621</t>
  </si>
  <si>
    <t>160631</t>
  </si>
  <si>
    <t>54662</t>
  </si>
  <si>
    <t>160603</t>
  </si>
  <si>
    <t>2402</t>
  </si>
  <si>
    <t>243</t>
  </si>
  <si>
    <t>6655</t>
  </si>
  <si>
    <t>5530</t>
  </si>
  <si>
    <t>4346</t>
  </si>
  <si>
    <t>54253</t>
  </si>
  <si>
    <t>6032</t>
  </si>
  <si>
    <t>1054</t>
  </si>
  <si>
    <t>160014</t>
  </si>
  <si>
    <t>Rev</t>
  </si>
  <si>
    <t>Employee_Number</t>
  </si>
  <si>
    <t>=E3-(E5*1.5)</t>
  </si>
  <si>
    <t>=E4+(E5*1.5)</t>
  </si>
  <si>
    <t>=E4-E3</t>
  </si>
  <si>
    <t>IQR</t>
  </si>
  <si>
    <t>=QUARTILE(B3:B20,3)</t>
  </si>
  <si>
    <t>Quartile 3</t>
  </si>
  <si>
    <t>=QUARTILE(B3:B20,1)</t>
  </si>
  <si>
    <t>Quartile 1</t>
  </si>
  <si>
    <t xml:space="preserve"> </t>
  </si>
</sst>
</file>

<file path=xl/styles.xml><?xml version="1.0" encoding="utf-8"?>
<styleSheet xmlns="http://schemas.openxmlformats.org/spreadsheetml/2006/main">
  <numFmts count="25">
    <numFmt numFmtId="164" formatCode="&quot;$&quot;#,##0_);[Red]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"/>
    <numFmt numFmtId="169" formatCode="_(&quot;$&quot;* #,##0.000_);_(&quot;$&quot;* \(#,##0.000\);_(&quot;$&quot;* &quot;-&quot;??_);_(@_)"/>
    <numFmt numFmtId="170" formatCode="&quot;$&quot;#,##0_);\(&quot;$&quot;#,##0\)"/>
    <numFmt numFmtId="171" formatCode="dd\-mmm\-yy"/>
    <numFmt numFmtId="172" formatCode="[$-F400]h:mm:ss\ AM/PM"/>
    <numFmt numFmtId="173" formatCode="h:mm;@"/>
    <numFmt numFmtId="174" formatCode="_(* #,##0.000_);_(* \(#,##0.000\);_(* &quot;-&quot;??_);_(@_)"/>
    <numFmt numFmtId="175" formatCode="[$-409]mmm\-yy;@"/>
    <numFmt numFmtId="176" formatCode="_(* #,##0_);_(* \(#,##0\);_(* &quot;-&quot;??_);_(@_)"/>
    <numFmt numFmtId="177" formatCode="_(* #,##0_);_(* \(#,##0\);_(* &quot;-&quot;_);_(@_)"/>
    <numFmt numFmtId="178" formatCode="0.0%"/>
    <numFmt numFmtId="179" formatCode="_(* #,##0.00000000_);_(* \(#,##0.00000000\);_(* &quot;-&quot;??_);_(@_)"/>
    <numFmt numFmtId="180" formatCode="0.000%"/>
    <numFmt numFmtId="181" formatCode="&quot;$&quot;#,##0.00_);[Red]\(&quot;$&quot;#,##0.00\)"/>
    <numFmt numFmtId="182" formatCode="0.000%_)"/>
    <numFmt numFmtId="183" formatCode="0.00000%"/>
    <numFmt numFmtId="184" formatCode="0%_)"/>
    <numFmt numFmtId="185" formatCode="_(* #,##0.0_);_(* \(#,##0.0\);_(* &quot;-&quot;??_);_(@_)"/>
    <numFmt numFmtId="186" formatCode="h:mm:ss_);@"/>
    <numFmt numFmtId="187" formatCode="&quot;$&quot;#,##0.00;\(&quot;$&quot;#,##0.00\)"/>
    <numFmt numFmtId="188" formatCode="mm/dd/yy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3E3E3E"/>
      <name val="Tahoma"/>
      <family val="2"/>
    </font>
    <font>
      <b/>
      <sz val="10"/>
      <color rgb="FF3F3F3F"/>
      <name val="Calibri"/>
      <family val="2"/>
      <scheme val="minor"/>
    </font>
    <font>
      <sz val="8.5"/>
      <color theme="1"/>
      <name val="Courier New"/>
      <family val="3"/>
    </font>
    <font>
      <sz val="10"/>
      <color theme="1"/>
      <name val="Arial Unicode MS"/>
      <family val="2"/>
    </font>
    <font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sz val="11"/>
      <color theme="1" tint="0.3499862666707357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0"/>
      </patternFill>
    </fill>
  </fills>
  <borders count="4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4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4" fillId="3" borderId="0" applyNumberFormat="0" applyFont="0" applyBorder="0" applyAlignment="0" applyProtection="0"/>
    <xf numFmtId="0" fontId="4" fillId="4" borderId="0" applyNumberFormat="0" applyFont="0" applyBorder="0" applyAlignment="0" applyProtection="0"/>
    <xf numFmtId="0" fontId="7" fillId="6" borderId="1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233">
    <xf numFmtId="0" fontId="0" fillId="0" borderId="0" xfId="0"/>
    <xf numFmtId="9" fontId="0" fillId="0" borderId="0" xfId="3" applyFont="1"/>
    <xf numFmtId="0" fontId="2" fillId="2" borderId="2" xfId="4"/>
    <xf numFmtId="168" fontId="0" fillId="0" borderId="0" xfId="1" applyNumberFormat="1" applyFont="1"/>
    <xf numFmtId="168" fontId="0" fillId="0" borderId="0" xfId="0" applyNumberFormat="1"/>
    <xf numFmtId="0" fontId="0" fillId="0" borderId="0" xfId="0" applyAlignment="1">
      <alignment horizontal="right"/>
    </xf>
    <xf numFmtId="168" fontId="0" fillId="0" borderId="0" xfId="1" applyNumberFormat="1" applyFont="1" applyAlignment="1">
      <alignment horizontal="right"/>
    </xf>
    <xf numFmtId="9" fontId="0" fillId="0" borderId="0" xfId="3" applyFont="1" applyAlignment="1">
      <alignment horizontal="right"/>
    </xf>
    <xf numFmtId="168" fontId="0" fillId="0" borderId="0" xfId="0" applyNumberFormat="1" applyAlignment="1">
      <alignment horizontal="right"/>
    </xf>
    <xf numFmtId="0" fontId="2" fillId="2" borderId="2" xfId="4" applyAlignment="1">
      <alignment horizontal="right"/>
    </xf>
    <xf numFmtId="0" fontId="2" fillId="2" borderId="2" xfId="4" applyAlignment="1">
      <alignment horizontal="center"/>
    </xf>
    <xf numFmtId="16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0" fontId="2" fillId="2" borderId="2" xfId="4" applyBorder="1" applyAlignment="1">
      <alignment horizontal="center"/>
    </xf>
    <xf numFmtId="0" fontId="2" fillId="2" borderId="5" xfId="4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169" fontId="0" fillId="0" borderId="0" xfId="2" applyNumberFormat="1" applyFont="1"/>
    <xf numFmtId="165" fontId="0" fillId="0" borderId="0" xfId="2" applyNumberFormat="1" applyFont="1" applyAlignment="1">
      <alignment horizontal="center"/>
    </xf>
    <xf numFmtId="164" fontId="4" fillId="0" borderId="0" xfId="0" applyNumberFormat="1" applyFont="1"/>
    <xf numFmtId="0" fontId="5" fillId="0" borderId="0" xfId="0" applyFont="1"/>
    <xf numFmtId="0" fontId="2" fillId="2" borderId="2" xfId="4" applyAlignment="1">
      <alignment wrapText="1"/>
    </xf>
    <xf numFmtId="0" fontId="2" fillId="2" borderId="2" xfId="4" applyAlignment="1">
      <alignment horizontal="center" vertical="center"/>
    </xf>
    <xf numFmtId="0" fontId="2" fillId="2" borderId="7" xfId="4" applyBorder="1" applyAlignment="1">
      <alignment horizontal="centerContinuous"/>
    </xf>
    <xf numFmtId="0" fontId="2" fillId="2" borderId="8" xfId="4" applyBorder="1" applyAlignment="1">
      <alignment horizontal="centerContinuous"/>
    </xf>
    <xf numFmtId="0" fontId="2" fillId="2" borderId="9" xfId="4" applyBorder="1" applyAlignment="1">
      <alignment horizontal="centerContinuous"/>
    </xf>
    <xf numFmtId="0" fontId="2" fillId="2" borderId="10" xfId="4" applyBorder="1" applyAlignment="1">
      <alignment horizontal="center"/>
    </xf>
    <xf numFmtId="0" fontId="2" fillId="2" borderId="3" xfId="4" applyBorder="1" applyAlignment="1">
      <alignment horizontal="center"/>
    </xf>
    <xf numFmtId="0" fontId="2" fillId="2" borderId="11" xfId="4" applyBorder="1" applyAlignment="1">
      <alignment horizontal="center"/>
    </xf>
    <xf numFmtId="0" fontId="6" fillId="5" borderId="4" xfId="7" applyFont="1" applyFill="1" applyBorder="1" applyAlignment="1">
      <alignment horizontal="center"/>
    </xf>
    <xf numFmtId="0" fontId="2" fillId="2" borderId="7" xfId="4" applyBorder="1" applyAlignment="1">
      <alignment wrapText="1"/>
    </xf>
    <xf numFmtId="4" fontId="2" fillId="2" borderId="9" xfId="4" applyNumberFormat="1" applyBorder="1" applyAlignment="1">
      <alignment horizontal="center" wrapText="1"/>
    </xf>
    <xf numFmtId="4" fontId="2" fillId="2" borderId="12" xfId="4" applyNumberFormat="1" applyBorder="1" applyAlignment="1">
      <alignment horizontal="center" wrapText="1"/>
    </xf>
    <xf numFmtId="0" fontId="2" fillId="2" borderId="13" xfId="4" applyBorder="1"/>
    <xf numFmtId="4" fontId="2" fillId="2" borderId="14" xfId="4" applyNumberFormat="1" applyBorder="1" applyAlignment="1">
      <alignment horizontal="center"/>
    </xf>
    <xf numFmtId="4" fontId="2" fillId="2" borderId="15" xfId="4" applyNumberFormat="1" applyBorder="1" applyAlignment="1">
      <alignment horizontal="center"/>
    </xf>
    <xf numFmtId="0" fontId="2" fillId="2" borderId="16" xfId="4" applyBorder="1"/>
    <xf numFmtId="4" fontId="0" fillId="0" borderId="2" xfId="0" applyNumberFormat="1" applyBorder="1" applyAlignment="1">
      <alignment horizontal="center"/>
    </xf>
    <xf numFmtId="0" fontId="2" fillId="2" borderId="17" xfId="4" applyBorder="1"/>
    <xf numFmtId="0" fontId="3" fillId="2" borderId="19" xfId="5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8" xfId="4" applyBorder="1" applyAlignment="1">
      <alignment horizontal="right" wrapText="1"/>
    </xf>
    <xf numFmtId="0" fontId="2" fillId="2" borderId="0" xfId="4" applyBorder="1" applyAlignment="1">
      <alignment horizontal="right"/>
    </xf>
    <xf numFmtId="0" fontId="2" fillId="2" borderId="14" xfId="4" applyBorder="1" applyAlignment="1">
      <alignment horizontal="right"/>
    </xf>
    <xf numFmtId="0" fontId="2" fillId="2" borderId="18" xfId="4" applyBorder="1" applyAlignment="1">
      <alignment horizontal="right"/>
    </xf>
    <xf numFmtId="0" fontId="0" fillId="0" borderId="2" xfId="0" applyBorder="1" applyAlignment="1">
      <alignment horizontal="center"/>
    </xf>
    <xf numFmtId="38" fontId="0" fillId="0" borderId="0" xfId="0" applyNumberFormat="1" applyAlignment="1">
      <alignment horizontal="center"/>
    </xf>
    <xf numFmtId="3" fontId="2" fillId="2" borderId="2" xfId="4" applyNumberFormat="1" applyAlignment="1">
      <alignment horizontal="center"/>
    </xf>
    <xf numFmtId="0" fontId="2" fillId="2" borderId="2" xfId="4" applyAlignment="1">
      <alignment horizontal="center" wrapText="1"/>
    </xf>
    <xf numFmtId="10" fontId="0" fillId="0" borderId="0" xfId="3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0" fillId="0" borderId="0" xfId="0" applyAlignment="1"/>
    <xf numFmtId="0" fontId="10" fillId="0" borderId="20" xfId="9" applyFont="1" applyFill="1" applyBorder="1" applyAlignment="1">
      <alignment wrapText="1"/>
    </xf>
    <xf numFmtId="0" fontId="10" fillId="0" borderId="20" xfId="9" applyFont="1" applyFill="1" applyBorder="1" applyAlignment="1"/>
    <xf numFmtId="0" fontId="2" fillId="2" borderId="2" xfId="4" quotePrefix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/>
    <xf numFmtId="0" fontId="0" fillId="5" borderId="4" xfId="7" applyFont="1" applyFill="1" applyBorder="1" applyAlignment="1">
      <alignment horizontal="center"/>
    </xf>
    <xf numFmtId="0" fontId="0" fillId="0" borderId="21" xfId="0" applyFont="1" applyBorder="1" applyAlignment="1">
      <alignment horizontal="center" wrapText="1"/>
    </xf>
    <xf numFmtId="0" fontId="0" fillId="5" borderId="4" xfId="0" applyFont="1" applyFill="1" applyBorder="1" applyAlignment="1">
      <alignment horizontal="center"/>
    </xf>
    <xf numFmtId="0" fontId="10" fillId="0" borderId="20" xfId="10" applyFont="1" applyFill="1" applyBorder="1" applyAlignment="1">
      <alignment wrapText="1"/>
    </xf>
    <xf numFmtId="170" fontId="0" fillId="0" borderId="0" xfId="2" applyNumberFormat="1" applyFont="1"/>
    <xf numFmtId="1" fontId="0" fillId="0" borderId="0" xfId="0" applyNumberFormat="1"/>
    <xf numFmtId="14" fontId="0" fillId="0" borderId="0" xfId="0" applyNumberFormat="1" applyAlignment="1">
      <alignment horizontal="center"/>
    </xf>
    <xf numFmtId="171" fontId="10" fillId="0" borderId="20" xfId="11" applyNumberFormat="1" applyFont="1" applyFill="1" applyBorder="1" applyAlignment="1">
      <alignment horizontal="right" wrapText="1"/>
    </xf>
    <xf numFmtId="14" fontId="0" fillId="0" borderId="0" xfId="0" applyNumberFormat="1"/>
    <xf numFmtId="14" fontId="0" fillId="7" borderId="4" xfId="0" applyNumberFormat="1" applyFill="1" applyBorder="1" applyAlignment="1">
      <alignment horizontal="center"/>
    </xf>
    <xf numFmtId="14" fontId="2" fillId="2" borderId="2" xfId="4" applyNumberFormat="1"/>
    <xf numFmtId="0" fontId="11" fillId="0" borderId="0" xfId="0" applyFon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22" xfId="0" applyNumberFormat="1" applyBorder="1" applyAlignment="1">
      <alignment horizontal="center"/>
    </xf>
    <xf numFmtId="0" fontId="2" fillId="7" borderId="4" xfId="4" applyFill="1" applyBorder="1" applyAlignment="1">
      <alignment horizontal="center" wrapText="1"/>
    </xf>
    <xf numFmtId="0" fontId="0" fillId="7" borderId="4" xfId="0" applyFill="1" applyBorder="1" applyAlignment="1">
      <alignment horizontal="center"/>
    </xf>
    <xf numFmtId="14" fontId="13" fillId="0" borderId="0" xfId="0" applyNumberFormat="1" applyFont="1" applyAlignment="1">
      <alignment horizontal="center" vertical="center"/>
    </xf>
    <xf numFmtId="0" fontId="2" fillId="2" borderId="4" xfId="4" applyBorder="1" applyAlignment="1">
      <alignment wrapText="1"/>
    </xf>
    <xf numFmtId="14" fontId="0" fillId="0" borderId="4" xfId="0" applyNumberFormat="1" applyBorder="1" applyAlignment="1">
      <alignment horizontal="center"/>
    </xf>
    <xf numFmtId="2" fontId="0" fillId="0" borderId="23" xfId="0" applyNumberFormat="1" applyFill="1" applyBorder="1" applyAlignment="1">
      <alignment horizontal="center"/>
    </xf>
    <xf numFmtId="0" fontId="2" fillId="2" borderId="4" xfId="4" applyBorder="1" applyAlignment="1">
      <alignment horizontal="center" wrapText="1"/>
    </xf>
    <xf numFmtId="0" fontId="2" fillId="5" borderId="2" xfId="4" applyFill="1" applyAlignment="1">
      <alignment horizontal="center"/>
    </xf>
    <xf numFmtId="19" fontId="2" fillId="5" borderId="2" xfId="4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0" fontId="14" fillId="0" borderId="0" xfId="0" applyNumberFormat="1" applyFont="1" applyAlignment="1">
      <alignment horizontal="center"/>
    </xf>
    <xf numFmtId="172" fontId="14" fillId="0" borderId="0" xfId="0" applyNumberFormat="1" applyFont="1"/>
    <xf numFmtId="2" fontId="2" fillId="2" borderId="2" xfId="4" applyNumberFormat="1" applyAlignment="1">
      <alignment horizontal="center"/>
    </xf>
    <xf numFmtId="20" fontId="14" fillId="0" borderId="4" xfId="0" applyNumberFormat="1" applyFont="1" applyBorder="1" applyAlignment="1">
      <alignment horizontal="center"/>
    </xf>
    <xf numFmtId="172" fontId="14" fillId="0" borderId="4" xfId="0" applyNumberFormat="1" applyFont="1" applyBorder="1" applyAlignment="1">
      <alignment horizontal="center"/>
    </xf>
    <xf numFmtId="2" fontId="2" fillId="2" borderId="4" xfId="4" applyNumberFormat="1" applyBorder="1" applyAlignment="1">
      <alignment horizontal="center" wrapText="1"/>
    </xf>
    <xf numFmtId="173" fontId="0" fillId="0" borderId="0" xfId="0" applyNumberFormat="1"/>
    <xf numFmtId="2" fontId="0" fillId="0" borderId="0" xfId="0" applyNumberFormat="1"/>
    <xf numFmtId="174" fontId="0" fillId="0" borderId="0" xfId="1" applyNumberFormat="1" applyFont="1"/>
    <xf numFmtId="175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6" borderId="1" xfId="8"/>
    <xf numFmtId="9" fontId="0" fillId="0" borderId="0" xfId="0" applyNumberFormat="1"/>
    <xf numFmtId="176" fontId="0" fillId="0" borderId="0" xfId="1" applyNumberFormat="1" applyFont="1"/>
    <xf numFmtId="167" fontId="0" fillId="0" borderId="0" xfId="1" applyFont="1" applyBorder="1"/>
    <xf numFmtId="167" fontId="0" fillId="0" borderId="0" xfId="1" applyFont="1"/>
    <xf numFmtId="3" fontId="0" fillId="0" borderId="0" xfId="0" applyNumberFormat="1"/>
    <xf numFmtId="0" fontId="0" fillId="0" borderId="0" xfId="0" applyNumberFormat="1"/>
    <xf numFmtId="0" fontId="7" fillId="6" borderId="1" xfId="8" applyAlignment="1">
      <alignment horizontal="left"/>
    </xf>
    <xf numFmtId="3" fontId="8" fillId="0" borderId="3" xfId="0" applyNumberFormat="1" applyFont="1" applyBorder="1" applyAlignment="1">
      <alignment horizontal="center"/>
    </xf>
    <xf numFmtId="47" fontId="0" fillId="0" borderId="0" xfId="0" applyNumberFormat="1" applyAlignment="1">
      <alignment horizontal="right" indent="1"/>
    </xf>
    <xf numFmtId="0" fontId="7" fillId="6" borderId="1" xfId="8" applyAlignment="1">
      <alignment horizontal="center"/>
    </xf>
    <xf numFmtId="47" fontId="0" fillId="0" borderId="0" xfId="0" applyNumberFormat="1"/>
    <xf numFmtId="167" fontId="0" fillId="0" borderId="0" xfId="0" applyNumberFormat="1"/>
    <xf numFmtId="9" fontId="0" fillId="0" borderId="0" xfId="1" applyNumberFormat="1" applyFont="1"/>
    <xf numFmtId="166" fontId="0" fillId="5" borderId="4" xfId="2" applyFont="1" applyFill="1" applyBorder="1"/>
    <xf numFmtId="0" fontId="0" fillId="5" borderId="4" xfId="0" applyFill="1" applyBorder="1"/>
    <xf numFmtId="0" fontId="0" fillId="5" borderId="6" xfId="0" applyFill="1" applyBorder="1"/>
    <xf numFmtId="167" fontId="0" fillId="5" borderId="6" xfId="1" applyFont="1" applyFill="1" applyBorder="1"/>
    <xf numFmtId="0" fontId="0" fillId="5" borderId="24" xfId="0" applyFill="1" applyBorder="1"/>
    <xf numFmtId="167" fontId="0" fillId="5" borderId="24" xfId="1" applyFont="1" applyFill="1" applyBorder="1"/>
    <xf numFmtId="167" fontId="0" fillId="5" borderId="25" xfId="1" applyFont="1" applyFill="1" applyBorder="1"/>
    <xf numFmtId="0" fontId="0" fillId="5" borderId="25" xfId="0" applyFill="1" applyBorder="1"/>
    <xf numFmtId="0" fontId="8" fillId="5" borderId="26" xfId="0" applyFont="1" applyFill="1" applyBorder="1"/>
    <xf numFmtId="0" fontId="8" fillId="5" borderId="4" xfId="0" applyFont="1" applyFill="1" applyBorder="1"/>
    <xf numFmtId="0" fontId="0" fillId="5" borderId="27" xfId="0" applyFill="1" applyBorder="1"/>
    <xf numFmtId="0" fontId="0" fillId="5" borderId="3" xfId="0" applyFill="1" applyBorder="1"/>
    <xf numFmtId="167" fontId="0" fillId="5" borderId="28" xfId="0" applyNumberFormat="1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8" fillId="5" borderId="25" xfId="0" applyFont="1" applyFill="1" applyBorder="1"/>
    <xf numFmtId="166" fontId="0" fillId="5" borderId="6" xfId="2" applyFont="1" applyFill="1" applyBorder="1"/>
    <xf numFmtId="0" fontId="0" fillId="5" borderId="6" xfId="0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2" fillId="2" borderId="2" xfId="4" applyAlignment="1">
      <alignment horizontal="left" indent="1"/>
    </xf>
    <xf numFmtId="0" fontId="0" fillId="0" borderId="0" xfId="0" applyFill="1" applyBorder="1" applyAlignment="1">
      <alignment horizontal="right" indent="1"/>
    </xf>
    <xf numFmtId="0" fontId="0" fillId="0" borderId="0" xfId="0" applyAlignment="1">
      <alignment horizontal="right" indent="1"/>
    </xf>
    <xf numFmtId="0" fontId="7" fillId="6" borderId="1" xfId="8" applyAlignment="1">
      <alignment horizontal="lef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167" fontId="0" fillId="0" borderId="4" xfId="0" applyNumberFormat="1" applyBorder="1"/>
    <xf numFmtId="177" fontId="0" fillId="0" borderId="0" xfId="0" applyNumberFormat="1"/>
    <xf numFmtId="178" fontId="0" fillId="0" borderId="0" xfId="0" applyNumberFormat="1"/>
    <xf numFmtId="0" fontId="15" fillId="0" borderId="0" xfId="0" applyFont="1"/>
    <xf numFmtId="177" fontId="2" fillId="2" borderId="2" xfId="4" applyNumberFormat="1"/>
    <xf numFmtId="0" fontId="0" fillId="0" borderId="0" xfId="0" applyNumberFormat="1" applyAlignment="1">
      <alignment horizontal="right" indent="1"/>
    </xf>
    <xf numFmtId="177" fontId="0" fillId="0" borderId="32" xfId="0" applyNumberFormat="1" applyBorder="1"/>
    <xf numFmtId="0" fontId="16" fillId="0" borderId="0" xfId="0" applyFont="1"/>
    <xf numFmtId="179" fontId="0" fillId="0" borderId="0" xfId="0" applyNumberFormat="1"/>
    <xf numFmtId="11" fontId="0" fillId="0" borderId="0" xfId="0" applyNumberFormat="1"/>
    <xf numFmtId="0" fontId="7" fillId="6" borderId="1" xfId="8" applyAlignment="1">
      <alignment horizontal="right" indent="1"/>
    </xf>
    <xf numFmtId="0" fontId="17" fillId="0" borderId="0" xfId="0" applyFont="1"/>
    <xf numFmtId="167" fontId="2" fillId="2" borderId="2" xfId="4" applyNumberFormat="1"/>
    <xf numFmtId="0" fontId="8" fillId="0" borderId="3" xfId="0" applyFont="1" applyFill="1" applyBorder="1" applyAlignment="1">
      <alignment horizontal="center"/>
    </xf>
    <xf numFmtId="9" fontId="0" fillId="0" borderId="33" xfId="0" applyNumberFormat="1" applyBorder="1"/>
    <xf numFmtId="164" fontId="0" fillId="0" borderId="33" xfId="0" applyNumberFormat="1" applyBorder="1"/>
    <xf numFmtId="9" fontId="0" fillId="0" borderId="3" xfId="0" applyNumberFormat="1" applyBorder="1"/>
    <xf numFmtId="177" fontId="0" fillId="0" borderId="3" xfId="0" applyNumberFormat="1" applyBorder="1"/>
    <xf numFmtId="164" fontId="0" fillId="0" borderId="0" xfId="0" applyNumberFormat="1"/>
    <xf numFmtId="0" fontId="16" fillId="0" borderId="0" xfId="0" applyFont="1" applyAlignment="1">
      <alignment horizontal="centerContinuous"/>
    </xf>
    <xf numFmtId="167" fontId="0" fillId="0" borderId="3" xfId="0" applyNumberFormat="1" applyBorder="1"/>
    <xf numFmtId="167" fontId="0" fillId="0" borderId="32" xfId="0" applyNumberFormat="1" applyBorder="1"/>
    <xf numFmtId="164" fontId="0" fillId="0" borderId="32" xfId="0" applyNumberFormat="1" applyBorder="1"/>
    <xf numFmtId="10" fontId="2" fillId="2" borderId="2" xfId="4" applyNumberFormat="1"/>
    <xf numFmtId="9" fontId="0" fillId="0" borderId="0" xfId="0" applyNumberFormat="1" applyAlignment="1">
      <alignment wrapText="1"/>
    </xf>
    <xf numFmtId="10" fontId="0" fillId="0" borderId="0" xfId="0" applyNumberFormat="1"/>
    <xf numFmtId="180" fontId="0" fillId="0" borderId="0" xfId="0" applyNumberFormat="1"/>
    <xf numFmtId="181" fontId="0" fillId="0" borderId="34" xfId="0" applyNumberFormat="1" applyBorder="1"/>
    <xf numFmtId="177" fontId="7" fillId="6" borderId="1" xfId="8" applyNumberFormat="1"/>
    <xf numFmtId="180" fontId="7" fillId="6" borderId="1" xfId="8" applyNumberFormat="1"/>
    <xf numFmtId="0" fontId="0" fillId="0" borderId="0" xfId="0" applyAlignment="1">
      <alignment horizontal="centerContinuous"/>
    </xf>
    <xf numFmtId="0" fontId="8" fillId="0" borderId="0" xfId="0" applyFont="1" applyFill="1" applyBorder="1" applyAlignment="1">
      <alignment horizontal="centerContinuous"/>
    </xf>
    <xf numFmtId="14" fontId="7" fillId="6" borderId="1" xfId="8" applyNumberFormat="1"/>
    <xf numFmtId="14" fontId="8" fillId="0" borderId="3" xfId="0" applyNumberFormat="1" applyFont="1" applyBorder="1" applyAlignment="1">
      <alignment horizontal="center"/>
    </xf>
    <xf numFmtId="181" fontId="0" fillId="0" borderId="32" xfId="0" applyNumberFormat="1" applyBorder="1"/>
    <xf numFmtId="0" fontId="8" fillId="0" borderId="3" xfId="0" applyFont="1" applyBorder="1" applyAlignment="1">
      <alignment horizontal="center" wrapText="1"/>
    </xf>
    <xf numFmtId="182" fontId="0" fillId="0" borderId="32" xfId="0" applyNumberFormat="1" applyBorder="1"/>
    <xf numFmtId="167" fontId="0" fillId="0" borderId="32" xfId="1" applyFont="1" applyBorder="1"/>
    <xf numFmtId="183" fontId="0" fillId="0" borderId="0" xfId="0" applyNumberFormat="1"/>
    <xf numFmtId="182" fontId="0" fillId="0" borderId="0" xfId="0" applyNumberFormat="1"/>
    <xf numFmtId="0" fontId="0" fillId="0" borderId="32" xfId="0" applyBorder="1"/>
    <xf numFmtId="184" fontId="0" fillId="0" borderId="0" xfId="0" applyNumberFormat="1"/>
    <xf numFmtId="185" fontId="0" fillId="0" borderId="0" xfId="1" applyNumberFormat="1" applyFont="1"/>
    <xf numFmtId="176" fontId="0" fillId="0" borderId="0" xfId="0" applyNumberFormat="1"/>
    <xf numFmtId="167" fontId="7" fillId="6" borderId="1" xfId="1" applyFont="1" applyFill="1" applyBorder="1"/>
    <xf numFmtId="0" fontId="0" fillId="0" borderId="0" xfId="0" applyNumberFormat="1" applyAlignment="1">
      <alignment horizontal="center"/>
    </xf>
    <xf numFmtId="186" fontId="0" fillId="0" borderId="0" xfId="1" applyNumberFormat="1" applyFont="1"/>
    <xf numFmtId="0" fontId="0" fillId="0" borderId="0" xfId="0" applyBorder="1"/>
    <xf numFmtId="0" fontId="0" fillId="0" borderId="0" xfId="0" applyBorder="1" applyAlignment="1"/>
    <xf numFmtId="0" fontId="18" fillId="0" borderId="0" xfId="0" applyFont="1" applyBorder="1" applyAlignment="1">
      <alignment horizontal="center" vertical="center"/>
    </xf>
    <xf numFmtId="0" fontId="18" fillId="0" borderId="35" xfId="0" applyFont="1" applyBorder="1" applyAlignment="1">
      <alignment horizontal="right" vertical="center" indent="1"/>
    </xf>
    <xf numFmtId="0" fontId="18" fillId="0" borderId="36" xfId="0" applyFont="1" applyBorder="1" applyAlignment="1">
      <alignment horizontal="right" vertical="center" indent="1"/>
    </xf>
    <xf numFmtId="0" fontId="0" fillId="0" borderId="37" xfId="0" applyBorder="1"/>
    <xf numFmtId="167" fontId="0" fillId="0" borderId="27" xfId="0" applyNumberFormat="1" applyBorder="1"/>
    <xf numFmtId="0" fontId="0" fillId="0" borderId="28" xfId="0" applyBorder="1" applyAlignment="1">
      <alignment horizontal="right" indent="1"/>
    </xf>
    <xf numFmtId="167" fontId="0" fillId="0" borderId="38" xfId="0" applyNumberFormat="1" applyBorder="1"/>
    <xf numFmtId="0" fontId="0" fillId="0" borderId="23" xfId="0" applyBorder="1" applyAlignment="1">
      <alignment horizontal="right" indent="1"/>
    </xf>
    <xf numFmtId="185" fontId="0" fillId="0" borderId="29" xfId="1" applyNumberFormat="1" applyFont="1" applyBorder="1"/>
    <xf numFmtId="0" fontId="0" fillId="0" borderId="31" xfId="0" applyBorder="1" applyAlignment="1">
      <alignment horizontal="right" indent="1"/>
    </xf>
    <xf numFmtId="185" fontId="0" fillId="0" borderId="27" xfId="1" applyNumberFormat="1" applyFont="1" applyBorder="1"/>
    <xf numFmtId="185" fontId="0" fillId="0" borderId="38" xfId="1" applyNumberFormat="1" applyFont="1" applyBorder="1"/>
    <xf numFmtId="0" fontId="18" fillId="0" borderId="0" xfId="0" applyFont="1" applyBorder="1" applyAlignment="1">
      <alignment horizontal="right" vertical="center" wrapText="1" indent="1"/>
    </xf>
    <xf numFmtId="0" fontId="18" fillId="0" borderId="35" xfId="0" applyFont="1" applyBorder="1" applyAlignment="1">
      <alignment horizontal="left" vertical="center" wrapText="1" indent="1"/>
    </xf>
    <xf numFmtId="0" fontId="18" fillId="0" borderId="36" xfId="0" applyFont="1" applyBorder="1" applyAlignment="1">
      <alignment horizontal="left" vertical="center" wrapText="1" indent="1"/>
    </xf>
    <xf numFmtId="0" fontId="0" fillId="0" borderId="35" xfId="0" applyBorder="1"/>
    <xf numFmtId="176" fontId="0" fillId="0" borderId="37" xfId="1" applyNumberFormat="1" applyFont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176" fontId="0" fillId="0" borderId="41" xfId="1" applyNumberFormat="1" applyFont="1" applyBorder="1"/>
    <xf numFmtId="0" fontId="0" fillId="0" borderId="36" xfId="0" applyBorder="1"/>
    <xf numFmtId="0" fontId="0" fillId="0" borderId="42" xfId="0" applyBorder="1"/>
    <xf numFmtId="0" fontId="18" fillId="0" borderId="0" xfId="0" applyFont="1" applyBorder="1" applyAlignment="1">
      <alignment horizontal="right" vertical="center" indent="1"/>
    </xf>
    <xf numFmtId="176" fontId="0" fillId="0" borderId="40" xfId="1" applyNumberFormat="1" applyFont="1" applyBorder="1"/>
    <xf numFmtId="0" fontId="0" fillId="0" borderId="43" xfId="0" applyBorder="1"/>
    <xf numFmtId="0" fontId="8" fillId="0" borderId="3" xfId="0" applyFont="1" applyBorder="1" applyAlignment="1">
      <alignment horizontal="centerContinuous"/>
    </xf>
    <xf numFmtId="175" fontId="0" fillId="0" borderId="0" xfId="0" applyNumberFormat="1"/>
    <xf numFmtId="0" fontId="2" fillId="5" borderId="17" xfId="4" applyFill="1" applyBorder="1"/>
    <xf numFmtId="0" fontId="2" fillId="5" borderId="12" xfId="4" applyFill="1" applyBorder="1"/>
    <xf numFmtId="0" fontId="2" fillId="5" borderId="2" xfId="4" applyFill="1"/>
    <xf numFmtId="0" fontId="0" fillId="0" borderId="4" xfId="0" applyBorder="1"/>
    <xf numFmtId="0" fontId="2" fillId="2" borderId="4" xfId="4" applyBorder="1"/>
    <xf numFmtId="187" fontId="10" fillId="0" borderId="20" xfId="13" applyNumberFormat="1" applyFont="1" applyFill="1" applyBorder="1" applyAlignment="1">
      <alignment horizontal="right" wrapText="1"/>
    </xf>
    <xf numFmtId="0" fontId="10" fillId="0" borderId="20" xfId="13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10" fillId="8" borderId="44" xfId="13" applyFont="1" applyFill="1" applyBorder="1" applyAlignment="1">
      <alignment horizontal="center" wrapText="1"/>
    </xf>
    <xf numFmtId="14" fontId="0" fillId="0" borderId="4" xfId="0" applyNumberFormat="1" applyBorder="1"/>
    <xf numFmtId="0" fontId="2" fillId="2" borderId="4" xfId="4" applyBorder="1" applyAlignment="1">
      <alignment horizontal="center"/>
    </xf>
    <xf numFmtId="188" fontId="10" fillId="0" borderId="20" xfId="11" applyNumberFormat="1" applyFont="1" applyFill="1" applyBorder="1" applyAlignment="1">
      <alignment horizontal="right" wrapText="1"/>
    </xf>
    <xf numFmtId="3" fontId="0" fillId="0" borderId="0" xfId="0" applyNumberFormat="1" applyAlignment="1">
      <alignment horizontal="center" vertical="center"/>
    </xf>
    <xf numFmtId="39" fontId="19" fillId="7" borderId="45" xfId="12" applyNumberFormat="1" applyFont="1" applyFill="1" applyBorder="1" applyAlignment="1">
      <alignment horizontal="right" wrapText="1"/>
    </xf>
    <xf numFmtId="0" fontId="10" fillId="0" borderId="45" xfId="12" applyFont="1" applyFill="1" applyBorder="1" applyAlignment="1">
      <alignment wrapText="1"/>
    </xf>
    <xf numFmtId="3" fontId="0" fillId="0" borderId="6" xfId="1" applyNumberFormat="1" applyFont="1" applyBorder="1" applyAlignment="1">
      <alignment horizontal="center" vertical="center"/>
    </xf>
    <xf numFmtId="3" fontId="2" fillId="2" borderId="5" xfId="4" applyNumberFormat="1" applyBorder="1" applyAlignment="1">
      <alignment horizontal="center" vertical="center"/>
    </xf>
    <xf numFmtId="0" fontId="2" fillId="2" borderId="45" xfId="4" applyBorder="1" applyAlignment="1">
      <alignment horizontal="center"/>
    </xf>
  </cellXfs>
  <cellStyles count="14">
    <cellStyle name="Calculation" xfId="5" builtinId="22"/>
    <cellStyle name="Comma" xfId="1" builtinId="3"/>
    <cellStyle name="Currency" xfId="2" builtinId="4"/>
    <cellStyle name="GreyOrWhite" xfId="6"/>
    <cellStyle name="Input" xfId="8" builtinId="20"/>
    <cellStyle name="Normal" xfId="0" builtinId="0"/>
    <cellStyle name="Normal_100" xfId="12"/>
    <cellStyle name="Normal_13" xfId="9"/>
    <cellStyle name="Normal_22" xfId="10"/>
    <cellStyle name="Normal_26" xfId="11"/>
    <cellStyle name="Normal_95" xfId="13"/>
    <cellStyle name="Output" xfId="4" builtinId="21"/>
    <cellStyle name="Percent" xfId="3" builtinId="5"/>
    <cellStyle name="Yellow" xfId="7"/>
  </cellStyles>
  <dxfs count="13">
    <dxf>
      <fill>
        <patternFill>
          <bgColor theme="9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ont>
        <u val="none"/>
        <color theme="1" tint="0.24994659260841701"/>
      </font>
      <fill>
        <patternFill>
          <bgColor theme="5" tint="0.59996337778862885"/>
        </patternFill>
      </fill>
    </dxf>
    <dxf>
      <font>
        <u val="none"/>
        <color theme="1" tint="0.2499465926084170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1" tint="0.14996795556505021"/>
      </font>
      <fill>
        <patternFill>
          <bgColor theme="5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'20'!$C$2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'20'!$B$3:$B$8</c:f>
              <c:strCache>
                <c:ptCount val="6"/>
                <c:pt idx="0">
                  <c:v>Mike843</c:v>
                </c:pt>
                <c:pt idx="1">
                  <c:v>Mary573</c:v>
                </c:pt>
                <c:pt idx="2">
                  <c:v>Ethan858</c:v>
                </c:pt>
                <c:pt idx="3">
                  <c:v>Emma890</c:v>
                </c:pt>
                <c:pt idx="4">
                  <c:v>Ava602</c:v>
                </c:pt>
                <c:pt idx="5">
                  <c:v>Mia984</c:v>
                </c:pt>
              </c:strCache>
            </c:strRef>
          </c:cat>
          <c:val>
            <c:numRef>
              <c:f>'20'!$C$3:$C$8</c:f>
              <c:numCache>
                <c:formatCode>General</c:formatCode>
                <c:ptCount val="6"/>
                <c:pt idx="0">
                  <c:v>843</c:v>
                </c:pt>
                <c:pt idx="1">
                  <c:v>573</c:v>
                </c:pt>
                <c:pt idx="2">
                  <c:v>858</c:v>
                </c:pt>
                <c:pt idx="3">
                  <c:v>890</c:v>
                </c:pt>
                <c:pt idx="4">
                  <c:v>602</c:v>
                </c:pt>
                <c:pt idx="5">
                  <c:v>984</c:v>
                </c:pt>
              </c:numCache>
            </c:numRef>
          </c:val>
        </c:ser>
        <c:gapWidth val="219"/>
        <c:overlap val="-27"/>
        <c:axId val="166807808"/>
        <c:axId val="166748160"/>
      </c:barChart>
      <c:catAx>
        <c:axId val="16680780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48160"/>
        <c:crosses val="autoZero"/>
        <c:auto val="1"/>
        <c:lblAlgn val="ctr"/>
        <c:lblOffset val="100"/>
      </c:catAx>
      <c:valAx>
        <c:axId val="1667481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0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Golf Score History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1040581465778272E-2"/>
          <c:y val="0.13869815770765792"/>
          <c:w val="0.73060004037956838"/>
          <c:h val="0.66994907423388905"/>
        </c:manualLayout>
      </c:layout>
      <c:scatterChart>
        <c:scatterStyle val="lineMarker"/>
        <c:ser>
          <c:idx val="0"/>
          <c:order val="0"/>
          <c:tx>
            <c:strRef>
              <c:f>'83'!$D$2</c:f>
              <c:strCache>
                <c:ptCount val="1"/>
                <c:pt idx="0">
                  <c:v>Score</c:v>
                </c:pt>
              </c:strCache>
            </c:strRef>
          </c:tx>
          <c:marker>
            <c:symbol val="none"/>
          </c:marker>
          <c:xVal>
            <c:numRef>
              <c:f>'83'!$B$3:$B$62</c:f>
              <c:numCache>
                <c:formatCode>dd/mm/yyyy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'83'!$D$3:$D$62</c:f>
              <c:numCache>
                <c:formatCode>_(* #,##0_);_(* \(#,##0\);_(*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</c:ser>
        <c:axId val="159730304"/>
        <c:axId val="159732096"/>
      </c:scatterChart>
      <c:valAx>
        <c:axId val="159730304"/>
        <c:scaling>
          <c:orientation val="minMax"/>
        </c:scaling>
        <c:axPos val="b"/>
        <c:numFmt formatCode="dd/mm/yyyy" sourceLinked="1"/>
        <c:tickLblPos val="nextTo"/>
        <c:txPr>
          <a:bodyPr rot="5400000" vert="horz"/>
          <a:lstStyle/>
          <a:p>
            <a:pPr>
              <a:defRPr lang="en-US"/>
            </a:pPr>
            <a:endParaRPr lang="en-US"/>
          </a:p>
        </c:txPr>
        <c:crossAx val="159732096"/>
        <c:crosses val="autoZero"/>
        <c:crossBetween val="midCat"/>
      </c:valAx>
      <c:valAx>
        <c:axId val="159732096"/>
        <c:scaling>
          <c:orientation val="minMax"/>
          <c:max val="110"/>
          <c:min val="72"/>
        </c:scaling>
        <c:axPos val="l"/>
        <c:majorGridlines/>
        <c:numFmt formatCode="_(* #,##0_);_(* \(#,##0\);_(* &quot;-&quot;??_);_(@_)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59730304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Golf Score History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9.1040581465778272E-2"/>
          <c:y val="0.13869815770765792"/>
          <c:w val="0.69970291146761732"/>
          <c:h val="0.66994907423388905"/>
        </c:manualLayout>
      </c:layout>
      <c:scatterChart>
        <c:scatterStyle val="lineMarker"/>
        <c:ser>
          <c:idx val="0"/>
          <c:order val="0"/>
          <c:tx>
            <c:strRef>
              <c:f>'83.1'!$D$2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xVal>
            <c:numRef>
              <c:f>'83.1'!$B$3:$B$62</c:f>
              <c:numCache>
                <c:formatCode>dd/mm/yyyy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'83.1'!$D$3:$D$62</c:f>
              <c:numCache>
                <c:formatCode>_(* #,##0_);_(* \(#,##0\);_(*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</c:ser>
        <c:ser>
          <c:idx val="1"/>
          <c:order val="1"/>
          <c:tx>
            <c:strRef>
              <c:f>'83.1'!$E$2</c:f>
              <c:strCache>
                <c:ptCount val="1"/>
                <c:pt idx="0">
                  <c:v>Moving Avg</c:v>
                </c:pt>
              </c:strCache>
            </c:strRef>
          </c:tx>
          <c:marker>
            <c:symbol val="none"/>
          </c:marker>
          <c:xVal>
            <c:numRef>
              <c:f>'83.1'!$B$3:$B$62</c:f>
              <c:numCache>
                <c:formatCode>dd/mm/yyyy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'83.1'!$E$3:$E$62</c:f>
              <c:numCache>
                <c:formatCode>_(* #,##0.0_);_(* \(#,##0.0\);_(* "-"??_);_(@_)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89.1</c:v>
                </c:pt>
                <c:pt idx="10">
                  <c:v>89</c:v>
                </c:pt>
                <c:pt idx="11">
                  <c:v>88.6</c:v>
                </c:pt>
                <c:pt idx="12">
                  <c:v>88.8</c:v>
                </c:pt>
                <c:pt idx="13">
                  <c:v>88.3</c:v>
                </c:pt>
                <c:pt idx="14">
                  <c:v>88.7</c:v>
                </c:pt>
                <c:pt idx="15">
                  <c:v>89.2</c:v>
                </c:pt>
                <c:pt idx="16">
                  <c:v>89.3</c:v>
                </c:pt>
                <c:pt idx="17">
                  <c:v>89.9</c:v>
                </c:pt>
                <c:pt idx="18">
                  <c:v>90</c:v>
                </c:pt>
                <c:pt idx="19">
                  <c:v>89.3</c:v>
                </c:pt>
                <c:pt idx="20">
                  <c:v>89</c:v>
                </c:pt>
                <c:pt idx="21">
                  <c:v>89.9</c:v>
                </c:pt>
                <c:pt idx="22">
                  <c:v>90.3</c:v>
                </c:pt>
                <c:pt idx="23">
                  <c:v>91.4</c:v>
                </c:pt>
                <c:pt idx="24">
                  <c:v>92.1</c:v>
                </c:pt>
                <c:pt idx="25">
                  <c:v>92</c:v>
                </c:pt>
                <c:pt idx="26">
                  <c:v>90.9</c:v>
                </c:pt>
                <c:pt idx="27">
                  <c:v>89.7</c:v>
                </c:pt>
                <c:pt idx="28">
                  <c:v>89.7</c:v>
                </c:pt>
                <c:pt idx="29">
                  <c:v>88.9</c:v>
                </c:pt>
                <c:pt idx="30">
                  <c:v>87.8</c:v>
                </c:pt>
                <c:pt idx="31">
                  <c:v>86.8</c:v>
                </c:pt>
                <c:pt idx="32">
                  <c:v>86.5</c:v>
                </c:pt>
                <c:pt idx="33">
                  <c:v>85.5</c:v>
                </c:pt>
                <c:pt idx="34">
                  <c:v>84.7</c:v>
                </c:pt>
                <c:pt idx="35">
                  <c:v>85.1</c:v>
                </c:pt>
                <c:pt idx="36">
                  <c:v>85.9</c:v>
                </c:pt>
                <c:pt idx="37">
                  <c:v>86.5</c:v>
                </c:pt>
                <c:pt idx="38">
                  <c:v>85.5</c:v>
                </c:pt>
                <c:pt idx="39">
                  <c:v>85.6</c:v>
                </c:pt>
                <c:pt idx="40">
                  <c:v>86.5</c:v>
                </c:pt>
                <c:pt idx="41">
                  <c:v>86.7</c:v>
                </c:pt>
                <c:pt idx="42">
                  <c:v>87.1</c:v>
                </c:pt>
                <c:pt idx="43">
                  <c:v>87.6</c:v>
                </c:pt>
                <c:pt idx="44">
                  <c:v>87.9</c:v>
                </c:pt>
                <c:pt idx="45">
                  <c:v>87</c:v>
                </c:pt>
                <c:pt idx="46">
                  <c:v>86.6</c:v>
                </c:pt>
                <c:pt idx="47">
                  <c:v>86.2</c:v>
                </c:pt>
                <c:pt idx="48">
                  <c:v>87.4</c:v>
                </c:pt>
                <c:pt idx="49">
                  <c:v>87.6</c:v>
                </c:pt>
                <c:pt idx="50">
                  <c:v>86.4</c:v>
                </c:pt>
                <c:pt idx="51">
                  <c:v>85.7</c:v>
                </c:pt>
                <c:pt idx="52">
                  <c:v>84.4</c:v>
                </c:pt>
                <c:pt idx="53">
                  <c:v>83.2</c:v>
                </c:pt>
                <c:pt idx="54">
                  <c:v>82.5</c:v>
                </c:pt>
                <c:pt idx="55">
                  <c:v>82.2</c:v>
                </c:pt>
                <c:pt idx="56">
                  <c:v>82</c:v>
                </c:pt>
                <c:pt idx="57">
                  <c:v>82.7</c:v>
                </c:pt>
                <c:pt idx="58">
                  <c:v>83.4</c:v>
                </c:pt>
                <c:pt idx="59">
                  <c:v>82.9</c:v>
                </c:pt>
              </c:numCache>
            </c:numRef>
          </c:yVal>
        </c:ser>
        <c:axId val="183854208"/>
        <c:axId val="183855744"/>
      </c:scatterChart>
      <c:valAx>
        <c:axId val="183854208"/>
        <c:scaling>
          <c:orientation val="minMax"/>
        </c:scaling>
        <c:axPos val="b"/>
        <c:numFmt formatCode="dd/mm/yyyy" sourceLinked="1"/>
        <c:tickLblPos val="nextTo"/>
        <c:txPr>
          <a:bodyPr rot="5400000" vert="horz"/>
          <a:lstStyle/>
          <a:p>
            <a:pPr>
              <a:defRPr lang="en-US"/>
            </a:pPr>
            <a:endParaRPr lang="en-US"/>
          </a:p>
        </c:txPr>
        <c:crossAx val="183855744"/>
        <c:crosses val="autoZero"/>
        <c:crossBetween val="midCat"/>
      </c:valAx>
      <c:valAx>
        <c:axId val="183855744"/>
        <c:scaling>
          <c:orientation val="minMax"/>
          <c:max val="110"/>
          <c:min val="72"/>
        </c:scaling>
        <c:axPos val="l"/>
        <c:majorGridlines/>
        <c:numFmt formatCode="_(* #,##0_);_(* \(#,##0\);_(* &quot;-&quot;??_);_(@_)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3854208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scatterChart>
        <c:scatterStyle val="lineMarker"/>
        <c:ser>
          <c:idx val="0"/>
          <c:order val="0"/>
          <c:tx>
            <c:strRef>
              <c:f>'84'!$C$2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'84'!$C$3:$C$28</c:f>
              <c:numCache>
                <c:formatCode>_(* #,##0_);_(* \(#,##0\);_(* "-"??_);_(@_)</c:formatCode>
                <c:ptCount val="26"/>
                <c:pt idx="0">
                  <c:v>412</c:v>
                </c:pt>
                <c:pt idx="1">
                  <c:v>634.48</c:v>
                </c:pt>
                <c:pt idx="2">
                  <c:v>989.79</c:v>
                </c:pt>
                <c:pt idx="3">
                  <c:v>1326.32</c:v>
                </c:pt>
                <c:pt idx="4">
                  <c:v>1485.48</c:v>
                </c:pt>
                <c:pt idx="5">
                  <c:v>1589.46</c:v>
                </c:pt>
                <c:pt idx="6">
                  <c:v>1780.2</c:v>
                </c:pt>
                <c:pt idx="7">
                  <c:v>2510.08</c:v>
                </c:pt>
                <c:pt idx="8">
                  <c:v>3463.91</c:v>
                </c:pt>
                <c:pt idx="9">
                  <c:v>5057.3100000000004</c:v>
                </c:pt>
                <c:pt idx="10">
                  <c:v>4956.16</c:v>
                </c:pt>
                <c:pt idx="11">
                  <c:v>7087.31</c:v>
                </c:pt>
                <c:pt idx="12">
                  <c:v>10985.33</c:v>
                </c:pt>
                <c:pt idx="13">
                  <c:v>14830.2</c:v>
                </c:pt>
                <c:pt idx="14">
                  <c:v>14830.2</c:v>
                </c:pt>
                <c:pt idx="15">
                  <c:v>17944.54</c:v>
                </c:pt>
                <c:pt idx="16">
                  <c:v>17406.2</c:v>
                </c:pt>
                <c:pt idx="17">
                  <c:v>27675.86</c:v>
                </c:pt>
                <c:pt idx="18">
                  <c:v>21310.41</c:v>
                </c:pt>
                <c:pt idx="19">
                  <c:v>19605.580000000002</c:v>
                </c:pt>
                <c:pt idx="20">
                  <c:v>18821.36</c:v>
                </c:pt>
                <c:pt idx="21">
                  <c:v>14116.02</c:v>
                </c:pt>
                <c:pt idx="22">
                  <c:v>13833.7</c:v>
                </c:pt>
                <c:pt idx="23">
                  <c:v>11896.98</c:v>
                </c:pt>
                <c:pt idx="24">
                  <c:v>13919.47</c:v>
                </c:pt>
              </c:numCache>
            </c:numRef>
          </c:yVal>
        </c:ser>
        <c:ser>
          <c:idx val="1"/>
          <c:order val="1"/>
          <c:tx>
            <c:strRef>
              <c:f>'84'!$D$2</c:f>
              <c:strCache>
                <c:ptCount val="1"/>
                <c:pt idx="0">
                  <c:v>Moving Average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'84'!$D$3:$D$28</c:f>
              <c:numCache>
                <c:formatCode>_(* #,##0_);_(* \(#,##0\);_(* "-"??_);_(@_)</c:formatCode>
                <c:ptCount val="26"/>
                <c:pt idx="6">
                  <c:v>1072.9216666666666</c:v>
                </c:pt>
                <c:pt idx="7">
                  <c:v>1300.9549999999999</c:v>
                </c:pt>
                <c:pt idx="8">
                  <c:v>1613.5549999999996</c:v>
                </c:pt>
                <c:pt idx="9">
                  <c:v>2025.9083333333335</c:v>
                </c:pt>
                <c:pt idx="10">
                  <c:v>2647.7400000000002</c:v>
                </c:pt>
                <c:pt idx="11">
                  <c:v>3226.1866666666665</c:v>
                </c:pt>
                <c:pt idx="12">
                  <c:v>4142.4949999999999</c:v>
                </c:pt>
                <c:pt idx="13">
                  <c:v>5676.6833333333334</c:v>
                </c:pt>
                <c:pt idx="14">
                  <c:v>7730.0366666666669</c:v>
                </c:pt>
                <c:pt idx="15">
                  <c:v>9624.4183333333331</c:v>
                </c:pt>
                <c:pt idx="16">
                  <c:v>11772.289999999999</c:v>
                </c:pt>
                <c:pt idx="17">
                  <c:v>13847.296666666663</c:v>
                </c:pt>
                <c:pt idx="18">
                  <c:v>17278.721666666668</c:v>
                </c:pt>
                <c:pt idx="19">
                  <c:v>18999.568333333333</c:v>
                </c:pt>
                <c:pt idx="20">
                  <c:v>19795.465</c:v>
                </c:pt>
                <c:pt idx="21">
                  <c:v>20460.658333333336</c:v>
                </c:pt>
                <c:pt idx="22">
                  <c:v>19822.571666666667</c:v>
                </c:pt>
                <c:pt idx="23">
                  <c:v>19227.155000000002</c:v>
                </c:pt>
                <c:pt idx="24">
                  <c:v>16597.341666666667</c:v>
                </c:pt>
                <c:pt idx="25">
                  <c:v>15365.518333333333</c:v>
                </c:pt>
              </c:numCache>
            </c:numRef>
          </c:yVal>
        </c:ser>
        <c:ser>
          <c:idx val="2"/>
          <c:order val="2"/>
          <c:tx>
            <c:strRef>
              <c:f>'84'!$E$2</c:f>
              <c:strCache>
                <c:ptCount val="1"/>
                <c:pt idx="0">
                  <c:v>Exponential Forecast</c:v>
                </c:pt>
              </c:strCache>
            </c:strRef>
          </c:tx>
          <c:marker>
            <c:symbol val="none"/>
          </c:marker>
          <c:xVal>
            <c:numRef>
              <c:f>'84'!$B$3:$B$28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'84'!$E$3:$E$28</c:f>
              <c:numCache>
                <c:formatCode>_(* #,##0_);_(* \(#,##0\);_(* "-"??_);_(@_)</c:formatCode>
                <c:ptCount val="26"/>
                <c:pt idx="0">
                  <c:v>412</c:v>
                </c:pt>
                <c:pt idx="1">
                  <c:v>412</c:v>
                </c:pt>
                <c:pt idx="2">
                  <c:v>478.74399999999997</c:v>
                </c:pt>
                <c:pt idx="3">
                  <c:v>632.05779999999993</c:v>
                </c:pt>
                <c:pt idx="4">
                  <c:v>840.33645999999987</c:v>
                </c:pt>
                <c:pt idx="5">
                  <c:v>1033.8795219999997</c:v>
                </c:pt>
                <c:pt idx="6">
                  <c:v>1200.5536653999998</c:v>
                </c:pt>
                <c:pt idx="7">
                  <c:v>1374.4475657799999</c:v>
                </c:pt>
                <c:pt idx="8">
                  <c:v>1715.1372960459998</c:v>
                </c:pt>
                <c:pt idx="9">
                  <c:v>2239.7691072321995</c:v>
                </c:pt>
                <c:pt idx="10">
                  <c:v>3085.0313750625396</c:v>
                </c:pt>
                <c:pt idx="11">
                  <c:v>3646.3699625437775</c:v>
                </c:pt>
                <c:pt idx="12">
                  <c:v>4678.6519737806448</c:v>
                </c:pt>
                <c:pt idx="13">
                  <c:v>6570.6553816464511</c:v>
                </c:pt>
                <c:pt idx="14">
                  <c:v>9048.5187671525164</c:v>
                </c:pt>
                <c:pt idx="15">
                  <c:v>10783.023137006761</c:v>
                </c:pt>
                <c:pt idx="16">
                  <c:v>12931.478195904732</c:v>
                </c:pt>
                <c:pt idx="17">
                  <c:v>14273.894737133312</c:v>
                </c:pt>
                <c:pt idx="18">
                  <c:v>18294.484315993315</c:v>
                </c:pt>
                <c:pt idx="19">
                  <c:v>19199.262021195318</c:v>
                </c:pt>
                <c:pt idx="20">
                  <c:v>19321.157414836722</c:v>
                </c:pt>
                <c:pt idx="21">
                  <c:v>19171.218190385705</c:v>
                </c:pt>
                <c:pt idx="22">
                  <c:v>17654.658733269993</c:v>
                </c:pt>
                <c:pt idx="23">
                  <c:v>16508.371113288995</c:v>
                </c:pt>
                <c:pt idx="24">
                  <c:v>15124.953779302296</c:v>
                </c:pt>
                <c:pt idx="25">
                  <c:v>14763.308645511606</c:v>
                </c:pt>
              </c:numCache>
            </c:numRef>
          </c:yVal>
        </c:ser>
        <c:axId val="183872512"/>
        <c:axId val="184177408"/>
      </c:scatterChart>
      <c:valAx>
        <c:axId val="18387251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4177408"/>
        <c:crosses val="autoZero"/>
        <c:crossBetween val="midCat"/>
      </c:valAx>
      <c:valAx>
        <c:axId val="184177408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3872512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  <c:txPr>
        <a:bodyPr/>
        <a:lstStyle/>
        <a:p>
          <a:pPr>
            <a:defRPr lang="en-US"/>
          </a:pPr>
          <a:endParaRPr lang="en-US"/>
        </a:p>
      </c:txPr>
    </c:title>
    <c:plotArea>
      <c:layout/>
      <c:scatterChart>
        <c:scatterStyle val="lineMarker"/>
        <c:ser>
          <c:idx val="0"/>
          <c:order val="0"/>
          <c:tx>
            <c:strRef>
              <c:f>'91'!$C$2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trendline>
            <c:spPr>
              <a:ln w="22225">
                <a:solidFill>
                  <a:srgbClr val="FF0000"/>
                </a:solidFill>
              </a:ln>
            </c:spPr>
            <c:trendlineType val="linear"/>
          </c:trendline>
          <c:xVal>
            <c:numRef>
              <c:f>'91'!$B$3:$B$62</c:f>
              <c:numCache>
                <c:formatCode>[$-409]mmm\-yy;@</c:formatCode>
                <c:ptCount val="60"/>
                <c:pt idx="0">
                  <c:v>39478</c:v>
                </c:pt>
                <c:pt idx="1">
                  <c:v>39507</c:v>
                </c:pt>
                <c:pt idx="2">
                  <c:v>39538</c:v>
                </c:pt>
                <c:pt idx="3">
                  <c:v>39568</c:v>
                </c:pt>
                <c:pt idx="4">
                  <c:v>39599</c:v>
                </c:pt>
                <c:pt idx="5">
                  <c:v>39629</c:v>
                </c:pt>
                <c:pt idx="6">
                  <c:v>39660</c:v>
                </c:pt>
                <c:pt idx="7">
                  <c:v>39691</c:v>
                </c:pt>
                <c:pt idx="8">
                  <c:v>39721</c:v>
                </c:pt>
                <c:pt idx="9">
                  <c:v>39752</c:v>
                </c:pt>
                <c:pt idx="10">
                  <c:v>39782</c:v>
                </c:pt>
                <c:pt idx="11">
                  <c:v>39813</c:v>
                </c:pt>
                <c:pt idx="12">
                  <c:v>39844</c:v>
                </c:pt>
                <c:pt idx="13">
                  <c:v>39872</c:v>
                </c:pt>
                <c:pt idx="14">
                  <c:v>39903</c:v>
                </c:pt>
                <c:pt idx="15">
                  <c:v>39933</c:v>
                </c:pt>
                <c:pt idx="16">
                  <c:v>39964</c:v>
                </c:pt>
                <c:pt idx="17">
                  <c:v>39994</c:v>
                </c:pt>
                <c:pt idx="18">
                  <c:v>40025</c:v>
                </c:pt>
                <c:pt idx="19">
                  <c:v>40056</c:v>
                </c:pt>
                <c:pt idx="20">
                  <c:v>40086</c:v>
                </c:pt>
                <c:pt idx="21">
                  <c:v>40117</c:v>
                </c:pt>
                <c:pt idx="22">
                  <c:v>40147</c:v>
                </c:pt>
                <c:pt idx="23">
                  <c:v>40178</c:v>
                </c:pt>
                <c:pt idx="24">
                  <c:v>40209</c:v>
                </c:pt>
                <c:pt idx="25">
                  <c:v>40237</c:v>
                </c:pt>
                <c:pt idx="26">
                  <c:v>40268</c:v>
                </c:pt>
                <c:pt idx="27">
                  <c:v>40298</c:v>
                </c:pt>
                <c:pt idx="28">
                  <c:v>40329</c:v>
                </c:pt>
                <c:pt idx="29">
                  <c:v>40359</c:v>
                </c:pt>
                <c:pt idx="30">
                  <c:v>40390</c:v>
                </c:pt>
                <c:pt idx="31">
                  <c:v>40421</c:v>
                </c:pt>
                <c:pt idx="32">
                  <c:v>40451</c:v>
                </c:pt>
                <c:pt idx="33">
                  <c:v>40482</c:v>
                </c:pt>
                <c:pt idx="34">
                  <c:v>40512</c:v>
                </c:pt>
                <c:pt idx="35">
                  <c:v>40543</c:v>
                </c:pt>
                <c:pt idx="36">
                  <c:v>40574</c:v>
                </c:pt>
                <c:pt idx="37">
                  <c:v>40602</c:v>
                </c:pt>
                <c:pt idx="38">
                  <c:v>40633</c:v>
                </c:pt>
                <c:pt idx="39">
                  <c:v>40663</c:v>
                </c:pt>
                <c:pt idx="40">
                  <c:v>40694</c:v>
                </c:pt>
                <c:pt idx="41">
                  <c:v>40724</c:v>
                </c:pt>
                <c:pt idx="42">
                  <c:v>40755</c:v>
                </c:pt>
                <c:pt idx="43">
                  <c:v>40786</c:v>
                </c:pt>
                <c:pt idx="44">
                  <c:v>40816</c:v>
                </c:pt>
                <c:pt idx="45">
                  <c:v>40847</c:v>
                </c:pt>
                <c:pt idx="46">
                  <c:v>40877</c:v>
                </c:pt>
                <c:pt idx="47">
                  <c:v>40908</c:v>
                </c:pt>
                <c:pt idx="48">
                  <c:v>40939</c:v>
                </c:pt>
                <c:pt idx="49">
                  <c:v>40968</c:v>
                </c:pt>
                <c:pt idx="50">
                  <c:v>40999</c:v>
                </c:pt>
                <c:pt idx="51">
                  <c:v>41029</c:v>
                </c:pt>
                <c:pt idx="52">
                  <c:v>41060</c:v>
                </c:pt>
                <c:pt idx="53">
                  <c:v>41090</c:v>
                </c:pt>
                <c:pt idx="54">
                  <c:v>41121</c:v>
                </c:pt>
                <c:pt idx="55">
                  <c:v>41152</c:v>
                </c:pt>
                <c:pt idx="56">
                  <c:v>41182</c:v>
                </c:pt>
                <c:pt idx="57">
                  <c:v>41213</c:v>
                </c:pt>
                <c:pt idx="58">
                  <c:v>41243</c:v>
                </c:pt>
                <c:pt idx="59">
                  <c:v>41274</c:v>
                </c:pt>
              </c:numCache>
            </c:numRef>
          </c:xVal>
          <c:yVal>
            <c:numRef>
              <c:f>'91'!$C$3:$C$62</c:f>
              <c:numCache>
                <c:formatCode>_ * #,##0.00_ ;_ * \-#,##0.00_ ;_ * "-"??_ ;_ @_ </c:formatCode>
                <c:ptCount val="60"/>
                <c:pt idx="0">
                  <c:v>6938.24</c:v>
                </c:pt>
                <c:pt idx="1">
                  <c:v>6246.32</c:v>
                </c:pt>
                <c:pt idx="2">
                  <c:v>8205.83</c:v>
                </c:pt>
                <c:pt idx="3">
                  <c:v>23612.639999999999</c:v>
                </c:pt>
                <c:pt idx="4">
                  <c:v>28427.85</c:v>
                </c:pt>
                <c:pt idx="5">
                  <c:v>22472.73</c:v>
                </c:pt>
                <c:pt idx="6">
                  <c:v>7542.89</c:v>
                </c:pt>
                <c:pt idx="7">
                  <c:v>9248.89</c:v>
                </c:pt>
                <c:pt idx="8">
                  <c:v>10591.71</c:v>
                </c:pt>
                <c:pt idx="9">
                  <c:v>8096.57</c:v>
                </c:pt>
                <c:pt idx="10">
                  <c:v>8147.39</c:v>
                </c:pt>
                <c:pt idx="11">
                  <c:v>9755.07</c:v>
                </c:pt>
                <c:pt idx="12">
                  <c:v>7947.75</c:v>
                </c:pt>
                <c:pt idx="13">
                  <c:v>9984.2199999999993</c:v>
                </c:pt>
                <c:pt idx="14">
                  <c:v>7943.24</c:v>
                </c:pt>
                <c:pt idx="15">
                  <c:v>35029.589999999997</c:v>
                </c:pt>
                <c:pt idx="16">
                  <c:v>26306.25</c:v>
                </c:pt>
                <c:pt idx="17">
                  <c:v>26650.91</c:v>
                </c:pt>
                <c:pt idx="18">
                  <c:v>8928.7000000000007</c:v>
                </c:pt>
                <c:pt idx="19">
                  <c:v>8458.3700000000008</c:v>
                </c:pt>
                <c:pt idx="20">
                  <c:v>9905.2999999999993</c:v>
                </c:pt>
                <c:pt idx="21">
                  <c:v>10339.23</c:v>
                </c:pt>
                <c:pt idx="22">
                  <c:v>11062.61</c:v>
                </c:pt>
                <c:pt idx="23">
                  <c:v>6681.89</c:v>
                </c:pt>
                <c:pt idx="24">
                  <c:v>7710.3</c:v>
                </c:pt>
                <c:pt idx="25">
                  <c:v>8325.25</c:v>
                </c:pt>
                <c:pt idx="26">
                  <c:v>9858.31</c:v>
                </c:pt>
                <c:pt idx="27">
                  <c:v>26274.43</c:v>
                </c:pt>
                <c:pt idx="28">
                  <c:v>26713.65</c:v>
                </c:pt>
                <c:pt idx="29">
                  <c:v>35178.129999999997</c:v>
                </c:pt>
                <c:pt idx="30">
                  <c:v>11632.31</c:v>
                </c:pt>
                <c:pt idx="31">
                  <c:v>13022.25</c:v>
                </c:pt>
                <c:pt idx="32">
                  <c:v>11089.04</c:v>
                </c:pt>
                <c:pt idx="33">
                  <c:v>9778.5400000000009</c:v>
                </c:pt>
                <c:pt idx="34">
                  <c:v>11645.14</c:v>
                </c:pt>
                <c:pt idx="35">
                  <c:v>10420.52</c:v>
                </c:pt>
                <c:pt idx="36">
                  <c:v>9549.4500000000007</c:v>
                </c:pt>
                <c:pt idx="37">
                  <c:v>14001.55</c:v>
                </c:pt>
                <c:pt idx="38">
                  <c:v>8651.92</c:v>
                </c:pt>
                <c:pt idx="39">
                  <c:v>39520.18</c:v>
                </c:pt>
                <c:pt idx="40">
                  <c:v>40130.25</c:v>
                </c:pt>
                <c:pt idx="41">
                  <c:v>34224.639999999999</c:v>
                </c:pt>
                <c:pt idx="42">
                  <c:v>11463.86</c:v>
                </c:pt>
                <c:pt idx="43">
                  <c:v>13852.64</c:v>
                </c:pt>
                <c:pt idx="44">
                  <c:v>13164.01</c:v>
                </c:pt>
                <c:pt idx="45">
                  <c:v>14063.12</c:v>
                </c:pt>
                <c:pt idx="46">
                  <c:v>13940.6</c:v>
                </c:pt>
                <c:pt idx="47">
                  <c:v>12352.67</c:v>
                </c:pt>
                <c:pt idx="48">
                  <c:v>8049.99</c:v>
                </c:pt>
                <c:pt idx="49">
                  <c:v>13695.38</c:v>
                </c:pt>
                <c:pt idx="50">
                  <c:v>8753.31</c:v>
                </c:pt>
                <c:pt idx="51">
                  <c:v>45567.24</c:v>
                </c:pt>
                <c:pt idx="52">
                  <c:v>34309.440000000002</c:v>
                </c:pt>
                <c:pt idx="53">
                  <c:v>35072.11</c:v>
                </c:pt>
                <c:pt idx="54">
                  <c:v>10669.91</c:v>
                </c:pt>
                <c:pt idx="55">
                  <c:v>10617.79</c:v>
                </c:pt>
                <c:pt idx="56">
                  <c:v>14963.68</c:v>
                </c:pt>
                <c:pt idx="57">
                  <c:v>9801.7900000000009</c:v>
                </c:pt>
                <c:pt idx="58">
                  <c:v>11733.87</c:v>
                </c:pt>
                <c:pt idx="59">
                  <c:v>10739.17</c:v>
                </c:pt>
              </c:numCache>
            </c:numRef>
          </c:yVal>
        </c:ser>
        <c:axId val="184358400"/>
        <c:axId val="184359936"/>
      </c:scatterChart>
      <c:valAx>
        <c:axId val="184358400"/>
        <c:scaling>
          <c:orientation val="minMax"/>
          <c:max val="41275"/>
          <c:min val="39477"/>
        </c:scaling>
        <c:axPos val="b"/>
        <c:numFmt formatCode="[$-409]mmm\-yy;@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4359936"/>
        <c:crosses val="autoZero"/>
        <c:crossBetween val="midCat"/>
      </c:valAx>
      <c:valAx>
        <c:axId val="18435993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,&quot;k&quot;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4358400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US"/>
              <a:t>Sales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'92'!$C$2</c:f>
              <c:strCache>
                <c:ptCount val="1"/>
                <c:pt idx="0">
                  <c:v>Sales</c:v>
                </c:pt>
              </c:strCache>
            </c:strRef>
          </c:tx>
          <c:marker>
            <c:symbol val="none"/>
          </c:marker>
          <c:xVal>
            <c:numRef>
              <c:f>'92'!$B$3:$B$62</c:f>
              <c:numCache>
                <c:formatCode>[$-409]mmm\-yy;@</c:formatCode>
                <c:ptCount val="60"/>
                <c:pt idx="0">
                  <c:v>39478</c:v>
                </c:pt>
                <c:pt idx="1">
                  <c:v>39507</c:v>
                </c:pt>
                <c:pt idx="2">
                  <c:v>39538</c:v>
                </c:pt>
                <c:pt idx="3">
                  <c:v>39568</c:v>
                </c:pt>
                <c:pt idx="4">
                  <c:v>39599</c:v>
                </c:pt>
                <c:pt idx="5">
                  <c:v>39629</c:v>
                </c:pt>
                <c:pt idx="6">
                  <c:v>39660</c:v>
                </c:pt>
                <c:pt idx="7">
                  <c:v>39691</c:v>
                </c:pt>
                <c:pt idx="8">
                  <c:v>39721</c:v>
                </c:pt>
                <c:pt idx="9">
                  <c:v>39752</c:v>
                </c:pt>
                <c:pt idx="10">
                  <c:v>39782</c:v>
                </c:pt>
                <c:pt idx="11">
                  <c:v>39813</c:v>
                </c:pt>
                <c:pt idx="12">
                  <c:v>39844</c:v>
                </c:pt>
                <c:pt idx="13">
                  <c:v>39872</c:v>
                </c:pt>
                <c:pt idx="14">
                  <c:v>39903</c:v>
                </c:pt>
                <c:pt idx="15">
                  <c:v>39933</c:v>
                </c:pt>
                <c:pt idx="16">
                  <c:v>39964</c:v>
                </c:pt>
                <c:pt idx="17">
                  <c:v>39994</c:v>
                </c:pt>
                <c:pt idx="18">
                  <c:v>40025</c:v>
                </c:pt>
                <c:pt idx="19">
                  <c:v>40056</c:v>
                </c:pt>
                <c:pt idx="20">
                  <c:v>40086</c:v>
                </c:pt>
                <c:pt idx="21">
                  <c:v>40117</c:v>
                </c:pt>
                <c:pt idx="22">
                  <c:v>40147</c:v>
                </c:pt>
                <c:pt idx="23">
                  <c:v>40178</c:v>
                </c:pt>
                <c:pt idx="24">
                  <c:v>40209</c:v>
                </c:pt>
                <c:pt idx="25">
                  <c:v>40237</c:v>
                </c:pt>
                <c:pt idx="26">
                  <c:v>40268</c:v>
                </c:pt>
                <c:pt idx="27">
                  <c:v>40298</c:v>
                </c:pt>
                <c:pt idx="28">
                  <c:v>40329</c:v>
                </c:pt>
                <c:pt idx="29">
                  <c:v>40359</c:v>
                </c:pt>
                <c:pt idx="30">
                  <c:v>40390</c:v>
                </c:pt>
                <c:pt idx="31">
                  <c:v>40421</c:v>
                </c:pt>
                <c:pt idx="32">
                  <c:v>40451</c:v>
                </c:pt>
                <c:pt idx="33">
                  <c:v>40482</c:v>
                </c:pt>
                <c:pt idx="34">
                  <c:v>40512</c:v>
                </c:pt>
                <c:pt idx="35">
                  <c:v>40543</c:v>
                </c:pt>
                <c:pt idx="36">
                  <c:v>40574</c:v>
                </c:pt>
                <c:pt idx="37">
                  <c:v>40602</c:v>
                </c:pt>
                <c:pt idx="38">
                  <c:v>40633</c:v>
                </c:pt>
                <c:pt idx="39">
                  <c:v>40663</c:v>
                </c:pt>
                <c:pt idx="40">
                  <c:v>40694</c:v>
                </c:pt>
                <c:pt idx="41">
                  <c:v>40724</c:v>
                </c:pt>
                <c:pt idx="42">
                  <c:v>40755</c:v>
                </c:pt>
                <c:pt idx="43">
                  <c:v>40786</c:v>
                </c:pt>
                <c:pt idx="44">
                  <c:v>40816</c:v>
                </c:pt>
                <c:pt idx="45">
                  <c:v>40847</c:v>
                </c:pt>
                <c:pt idx="46">
                  <c:v>40877</c:v>
                </c:pt>
                <c:pt idx="47">
                  <c:v>40908</c:v>
                </c:pt>
                <c:pt idx="48">
                  <c:v>40939</c:v>
                </c:pt>
                <c:pt idx="49">
                  <c:v>40968</c:v>
                </c:pt>
                <c:pt idx="50">
                  <c:v>40999</c:v>
                </c:pt>
                <c:pt idx="51">
                  <c:v>41029</c:v>
                </c:pt>
                <c:pt idx="52">
                  <c:v>41060</c:v>
                </c:pt>
                <c:pt idx="53">
                  <c:v>41090</c:v>
                </c:pt>
                <c:pt idx="54">
                  <c:v>41121</c:v>
                </c:pt>
                <c:pt idx="55">
                  <c:v>41152</c:v>
                </c:pt>
                <c:pt idx="56">
                  <c:v>41182</c:v>
                </c:pt>
                <c:pt idx="57">
                  <c:v>41213</c:v>
                </c:pt>
                <c:pt idx="58">
                  <c:v>41243</c:v>
                </c:pt>
                <c:pt idx="59">
                  <c:v>41274</c:v>
                </c:pt>
              </c:numCache>
            </c:numRef>
          </c:xVal>
          <c:yVal>
            <c:numRef>
              <c:f>'92'!$C$3:$C$62</c:f>
              <c:numCache>
                <c:formatCode>_ * #,##0.00_ ;_ * \-#,##0.00_ ;_ * "-"??_ ;_ @_ </c:formatCode>
                <c:ptCount val="60"/>
                <c:pt idx="0">
                  <c:v>6938.24</c:v>
                </c:pt>
                <c:pt idx="1">
                  <c:v>6246.32</c:v>
                </c:pt>
                <c:pt idx="2">
                  <c:v>8205.83</c:v>
                </c:pt>
                <c:pt idx="3">
                  <c:v>23612.639999999999</c:v>
                </c:pt>
                <c:pt idx="4">
                  <c:v>28427.85</c:v>
                </c:pt>
                <c:pt idx="5">
                  <c:v>22472.73</c:v>
                </c:pt>
                <c:pt idx="6">
                  <c:v>7542.89</c:v>
                </c:pt>
                <c:pt idx="7">
                  <c:v>9248.89</c:v>
                </c:pt>
                <c:pt idx="8">
                  <c:v>10591.71</c:v>
                </c:pt>
                <c:pt idx="9">
                  <c:v>8096.57</c:v>
                </c:pt>
                <c:pt idx="10">
                  <c:v>8147.39</c:v>
                </c:pt>
                <c:pt idx="11">
                  <c:v>9755.07</c:v>
                </c:pt>
                <c:pt idx="12">
                  <c:v>7947.75</c:v>
                </c:pt>
                <c:pt idx="13">
                  <c:v>9984.2199999999993</c:v>
                </c:pt>
                <c:pt idx="14">
                  <c:v>7943.24</c:v>
                </c:pt>
                <c:pt idx="15">
                  <c:v>35029.589999999997</c:v>
                </c:pt>
                <c:pt idx="16">
                  <c:v>26306.25</c:v>
                </c:pt>
                <c:pt idx="17">
                  <c:v>26650.91</c:v>
                </c:pt>
                <c:pt idx="18">
                  <c:v>8928.7000000000007</c:v>
                </c:pt>
                <c:pt idx="19">
                  <c:v>8458.3700000000008</c:v>
                </c:pt>
                <c:pt idx="20">
                  <c:v>9905.2999999999993</c:v>
                </c:pt>
                <c:pt idx="21">
                  <c:v>10339.23</c:v>
                </c:pt>
                <c:pt idx="22">
                  <c:v>11062.61</c:v>
                </c:pt>
                <c:pt idx="23">
                  <c:v>6681.89</c:v>
                </c:pt>
                <c:pt idx="24">
                  <c:v>7710.3</c:v>
                </c:pt>
                <c:pt idx="25">
                  <c:v>8325.25</c:v>
                </c:pt>
                <c:pt idx="26">
                  <c:v>9858.31</c:v>
                </c:pt>
                <c:pt idx="27">
                  <c:v>26274.43</c:v>
                </c:pt>
                <c:pt idx="28">
                  <c:v>26713.65</c:v>
                </c:pt>
                <c:pt idx="29">
                  <c:v>35178.129999999997</c:v>
                </c:pt>
                <c:pt idx="30">
                  <c:v>11632.31</c:v>
                </c:pt>
                <c:pt idx="31">
                  <c:v>13022.25</c:v>
                </c:pt>
                <c:pt idx="32">
                  <c:v>11089.04</c:v>
                </c:pt>
                <c:pt idx="33">
                  <c:v>9778.5400000000009</c:v>
                </c:pt>
                <c:pt idx="34">
                  <c:v>11645.14</c:v>
                </c:pt>
                <c:pt idx="35">
                  <c:v>10420.52</c:v>
                </c:pt>
                <c:pt idx="36">
                  <c:v>9549.4500000000007</c:v>
                </c:pt>
                <c:pt idx="37">
                  <c:v>14001.55</c:v>
                </c:pt>
                <c:pt idx="38">
                  <c:v>8651.92</c:v>
                </c:pt>
                <c:pt idx="39">
                  <c:v>39520.18</c:v>
                </c:pt>
                <c:pt idx="40">
                  <c:v>40130.25</c:v>
                </c:pt>
                <c:pt idx="41">
                  <c:v>34224.639999999999</c:v>
                </c:pt>
                <c:pt idx="42">
                  <c:v>11463.86</c:v>
                </c:pt>
                <c:pt idx="43">
                  <c:v>13852.64</c:v>
                </c:pt>
                <c:pt idx="44">
                  <c:v>13164.01</c:v>
                </c:pt>
                <c:pt idx="45">
                  <c:v>14063.12</c:v>
                </c:pt>
                <c:pt idx="46">
                  <c:v>13940.6</c:v>
                </c:pt>
                <c:pt idx="47">
                  <c:v>12352.67</c:v>
                </c:pt>
                <c:pt idx="48">
                  <c:v>8049.99</c:v>
                </c:pt>
                <c:pt idx="49">
                  <c:v>13695.38</c:v>
                </c:pt>
                <c:pt idx="50">
                  <c:v>8753.31</c:v>
                </c:pt>
                <c:pt idx="51">
                  <c:v>45567.24</c:v>
                </c:pt>
                <c:pt idx="52">
                  <c:v>34309.440000000002</c:v>
                </c:pt>
                <c:pt idx="53">
                  <c:v>35072.11</c:v>
                </c:pt>
                <c:pt idx="54">
                  <c:v>10669.91</c:v>
                </c:pt>
                <c:pt idx="55">
                  <c:v>10617.79</c:v>
                </c:pt>
                <c:pt idx="56">
                  <c:v>14963.68</c:v>
                </c:pt>
                <c:pt idx="57">
                  <c:v>9801.7900000000009</c:v>
                </c:pt>
                <c:pt idx="58">
                  <c:v>11733.87</c:v>
                </c:pt>
                <c:pt idx="59">
                  <c:v>10739.17</c:v>
                </c:pt>
              </c:numCache>
            </c:numRef>
          </c:yVal>
        </c:ser>
        <c:ser>
          <c:idx val="1"/>
          <c:order val="1"/>
          <c:spPr>
            <a:ln>
              <a:prstDash val="dash"/>
            </a:ln>
          </c:spPr>
          <c:marker>
            <c:symbol val="none"/>
          </c:marker>
          <c:xVal>
            <c:numRef>
              <c:f>'92'!$B$3:$B$74</c:f>
              <c:numCache>
                <c:formatCode>[$-409]mmm\-yy;@</c:formatCode>
                <c:ptCount val="72"/>
                <c:pt idx="0">
                  <c:v>39478</c:v>
                </c:pt>
                <c:pt idx="1">
                  <c:v>39507</c:v>
                </c:pt>
                <c:pt idx="2">
                  <c:v>39538</c:v>
                </c:pt>
                <c:pt idx="3">
                  <c:v>39568</c:v>
                </c:pt>
                <c:pt idx="4">
                  <c:v>39599</c:v>
                </c:pt>
                <c:pt idx="5">
                  <c:v>39629</c:v>
                </c:pt>
                <c:pt idx="6">
                  <c:v>39660</c:v>
                </c:pt>
                <c:pt idx="7">
                  <c:v>39691</c:v>
                </c:pt>
                <c:pt idx="8">
                  <c:v>39721</c:v>
                </c:pt>
                <c:pt idx="9">
                  <c:v>39752</c:v>
                </c:pt>
                <c:pt idx="10">
                  <c:v>39782</c:v>
                </c:pt>
                <c:pt idx="11">
                  <c:v>39813</c:v>
                </c:pt>
                <c:pt idx="12">
                  <c:v>39844</c:v>
                </c:pt>
                <c:pt idx="13">
                  <c:v>39872</c:v>
                </c:pt>
                <c:pt idx="14">
                  <c:v>39903</c:v>
                </c:pt>
                <c:pt idx="15">
                  <c:v>39933</c:v>
                </c:pt>
                <c:pt idx="16">
                  <c:v>39964</c:v>
                </c:pt>
                <c:pt idx="17">
                  <c:v>39994</c:v>
                </c:pt>
                <c:pt idx="18">
                  <c:v>40025</c:v>
                </c:pt>
                <c:pt idx="19">
                  <c:v>40056</c:v>
                </c:pt>
                <c:pt idx="20">
                  <c:v>40086</c:v>
                </c:pt>
                <c:pt idx="21">
                  <c:v>40117</c:v>
                </c:pt>
                <c:pt idx="22">
                  <c:v>40147</c:v>
                </c:pt>
                <c:pt idx="23">
                  <c:v>40178</c:v>
                </c:pt>
                <c:pt idx="24">
                  <c:v>40209</c:v>
                </c:pt>
                <c:pt idx="25">
                  <c:v>40237</c:v>
                </c:pt>
                <c:pt idx="26">
                  <c:v>40268</c:v>
                </c:pt>
                <c:pt idx="27">
                  <c:v>40298</c:v>
                </c:pt>
                <c:pt idx="28">
                  <c:v>40329</c:v>
                </c:pt>
                <c:pt idx="29">
                  <c:v>40359</c:v>
                </c:pt>
                <c:pt idx="30">
                  <c:v>40390</c:v>
                </c:pt>
                <c:pt idx="31">
                  <c:v>40421</c:v>
                </c:pt>
                <c:pt idx="32">
                  <c:v>40451</c:v>
                </c:pt>
                <c:pt idx="33">
                  <c:v>40482</c:v>
                </c:pt>
                <c:pt idx="34">
                  <c:v>40512</c:v>
                </c:pt>
                <c:pt idx="35">
                  <c:v>40543</c:v>
                </c:pt>
                <c:pt idx="36">
                  <c:v>40574</c:v>
                </c:pt>
                <c:pt idx="37">
                  <c:v>40602</c:v>
                </c:pt>
                <c:pt idx="38">
                  <c:v>40633</c:v>
                </c:pt>
                <c:pt idx="39">
                  <c:v>40663</c:v>
                </c:pt>
                <c:pt idx="40">
                  <c:v>40694</c:v>
                </c:pt>
                <c:pt idx="41">
                  <c:v>40724</c:v>
                </c:pt>
                <c:pt idx="42">
                  <c:v>40755</c:v>
                </c:pt>
                <c:pt idx="43">
                  <c:v>40786</c:v>
                </c:pt>
                <c:pt idx="44">
                  <c:v>40816</c:v>
                </c:pt>
                <c:pt idx="45">
                  <c:v>40847</c:v>
                </c:pt>
                <c:pt idx="46">
                  <c:v>40877</c:v>
                </c:pt>
                <c:pt idx="47">
                  <c:v>40908</c:v>
                </c:pt>
                <c:pt idx="48">
                  <c:v>40939</c:v>
                </c:pt>
                <c:pt idx="49">
                  <c:v>40968</c:v>
                </c:pt>
                <c:pt idx="50">
                  <c:v>40999</c:v>
                </c:pt>
                <c:pt idx="51">
                  <c:v>41029</c:v>
                </c:pt>
                <c:pt idx="52">
                  <c:v>41060</c:v>
                </c:pt>
                <c:pt idx="53">
                  <c:v>41090</c:v>
                </c:pt>
                <c:pt idx="54">
                  <c:v>41121</c:v>
                </c:pt>
                <c:pt idx="55">
                  <c:v>41152</c:v>
                </c:pt>
                <c:pt idx="56">
                  <c:v>41182</c:v>
                </c:pt>
                <c:pt idx="57">
                  <c:v>41213</c:v>
                </c:pt>
                <c:pt idx="58">
                  <c:v>41243</c:v>
                </c:pt>
                <c:pt idx="59">
                  <c:v>41274</c:v>
                </c:pt>
                <c:pt idx="60">
                  <c:v>41305</c:v>
                </c:pt>
                <c:pt idx="61">
                  <c:v>41333</c:v>
                </c:pt>
                <c:pt idx="62">
                  <c:v>41364</c:v>
                </c:pt>
                <c:pt idx="63">
                  <c:v>41394</c:v>
                </c:pt>
                <c:pt idx="64">
                  <c:v>41425</c:v>
                </c:pt>
                <c:pt idx="65">
                  <c:v>41455</c:v>
                </c:pt>
                <c:pt idx="66">
                  <c:v>41486</c:v>
                </c:pt>
                <c:pt idx="67">
                  <c:v>41517</c:v>
                </c:pt>
                <c:pt idx="68">
                  <c:v>41547</c:v>
                </c:pt>
                <c:pt idx="69">
                  <c:v>41578</c:v>
                </c:pt>
                <c:pt idx="70">
                  <c:v>41608</c:v>
                </c:pt>
                <c:pt idx="71">
                  <c:v>41639</c:v>
                </c:pt>
              </c:numCache>
            </c:numRef>
          </c:xVal>
          <c:yVal>
            <c:numRef>
              <c:f>'92'!$E$3:$E$74</c:f>
              <c:numCache>
                <c:formatCode>General</c:formatCode>
                <c:ptCount val="72"/>
                <c:pt idx="60" formatCode="_ * #,##0.00_ ;_ * \-#,##0.00_ ;_ * &quot;-&quot;??_ ;_ @_ ">
                  <c:v>9800.9748683988637</c:v>
                </c:pt>
                <c:pt idx="61" formatCode="_ * #,##0.00_ ;_ * \-#,##0.00_ ;_ * &quot;-&quot;??_ ;_ @_ ">
                  <c:v>12809.807245388472</c:v>
                </c:pt>
                <c:pt idx="62" formatCode="_ * #,##0.00_ ;_ * \-#,##0.00_ ;_ * &quot;-&quot;??_ ;_ @_ ">
                  <c:v>10706.078631005134</c:v>
                </c:pt>
                <c:pt idx="63" formatCode="_ * #,##0.00_ ;_ * \-#,##0.00_ ;_ * &quot;-&quot;??_ ;_ @_ ">
                  <c:v>42165.469913568646</c:v>
                </c:pt>
                <c:pt idx="64" formatCode="_ * #,##0.00_ ;_ * \-#,##0.00_ ;_ * &quot;-&quot;??_ ;_ @_ ">
                  <c:v>38891.951434903145</c:v>
                </c:pt>
                <c:pt idx="65" formatCode="_ * #,##0.00_ ;_ * \-#,##0.00_ ;_ * &quot;-&quot;??_ ;_ @_ ">
                  <c:v>38538.088861093114</c:v>
                </c:pt>
                <c:pt idx="66" formatCode="_ * #,##0.00_ ;_ * \-#,##0.00_ ;_ * &quot;-&quot;??_ ;_ @_ ">
                  <c:v>12678.109319284744</c:v>
                </c:pt>
                <c:pt idx="67" formatCode="_ * #,##0.00_ ;_ * \-#,##0.00_ ;_ * &quot;-&quot;??_ ;_ @_ ">
                  <c:v>14011.057337497894</c:v>
                </c:pt>
                <c:pt idx="68" formatCode="_ * #,##0.00_ ;_ * \-#,##0.00_ ;_ * &quot;-&quot;??_ ;_ @_ ">
                  <c:v>15241.204594987994</c:v>
                </c:pt>
                <c:pt idx="69" formatCode="_ * #,##0.00_ ;_ * \-#,##0.00_ ;_ * &quot;-&quot;??_ ;_ @_ ">
                  <c:v>13368.690802885176</c:v>
                </c:pt>
                <c:pt idx="70" formatCode="_ * #,##0.00_ ;_ * \-#,##0.00_ ;_ * &quot;-&quot;??_ ;_ @_ ">
                  <c:v>14591.028720235488</c:v>
                </c:pt>
                <c:pt idx="71" formatCode="_ * #,##0.00_ ;_ * \-#,##0.00_ ;_ * &quot;-&quot;??_ ;_ @_ ">
                  <c:v>12965.554721897041</c:v>
                </c:pt>
              </c:numCache>
            </c:numRef>
          </c:yVal>
        </c:ser>
        <c:axId val="184620160"/>
        <c:axId val="184622080"/>
      </c:scatterChart>
      <c:valAx>
        <c:axId val="184620160"/>
        <c:scaling>
          <c:orientation val="minMax"/>
          <c:max val="41650"/>
          <c:min val="39477"/>
        </c:scaling>
        <c:axPos val="b"/>
        <c:numFmt formatCode="[$-409]mmm\-yy;@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4622080"/>
        <c:crosses val="autoZero"/>
        <c:crossBetween val="midCat"/>
      </c:valAx>
      <c:valAx>
        <c:axId val="18462208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,&quot;k&quot;" sourceLinked="0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84620160"/>
        <c:crosses val="autoZero"/>
        <c:crossBetween val="midCat"/>
      </c:valAx>
    </c:plotArea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1</xdr:row>
      <xdr:rowOff>33337</xdr:rowOff>
    </xdr:from>
    <xdr:to>
      <xdr:col>10</xdr:col>
      <xdr:colOff>190499</xdr:colOff>
      <xdr:row>15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80961</xdr:rowOff>
    </xdr:from>
    <xdr:to>
      <xdr:col>15</xdr:col>
      <xdr:colOff>57150</xdr:colOff>
      <xdr:row>25</xdr:row>
      <xdr:rowOff>123824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5</xdr:row>
      <xdr:rowOff>80961</xdr:rowOff>
    </xdr:from>
    <xdr:to>
      <xdr:col>15</xdr:col>
      <xdr:colOff>447674</xdr:colOff>
      <xdr:row>25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438149</xdr:colOff>
      <xdr:row>4</xdr:row>
      <xdr:rowOff>80961</xdr:rowOff>
    </xdr:from>
    <xdr:to>
      <xdr:col>19</xdr:col>
      <xdr:colOff>371474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22</xdr:row>
      <xdr:rowOff>80962</xdr:rowOff>
    </xdr:from>
    <xdr:to>
      <xdr:col>17</xdr:col>
      <xdr:colOff>28575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21</xdr:row>
      <xdr:rowOff>161924</xdr:rowOff>
    </xdr:from>
    <xdr:to>
      <xdr:col>17</xdr:col>
      <xdr:colOff>28575</xdr:colOff>
      <xdr:row>37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pter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8"/>
  <sheetViews>
    <sheetView tabSelected="1" workbookViewId="0">
      <selection activeCell="G11" sqref="G11"/>
    </sheetView>
  </sheetViews>
  <sheetFormatPr defaultRowHeight="15"/>
  <cols>
    <col min="3" max="4" width="8.5703125" bestFit="1" customWidth="1"/>
    <col min="5" max="5" width="14.85546875" style="12" bestFit="1" customWidth="1"/>
  </cols>
  <sheetData>
    <row r="4" spans="2:5">
      <c r="B4" s="2" t="s">
        <v>0</v>
      </c>
      <c r="C4" s="2" t="s">
        <v>17</v>
      </c>
      <c r="D4" s="2" t="s">
        <v>14</v>
      </c>
      <c r="E4" s="10" t="s">
        <v>19</v>
      </c>
    </row>
    <row r="5" spans="2:5">
      <c r="B5" t="s">
        <v>2</v>
      </c>
      <c r="C5" s="6">
        <v>509283</v>
      </c>
      <c r="D5" s="6">
        <v>553887</v>
      </c>
      <c r="E5" s="13">
        <f>D5/C5</f>
        <v>1.0875819534522064</v>
      </c>
    </row>
    <row r="6" spans="2:5">
      <c r="B6" t="s">
        <v>3</v>
      </c>
      <c r="C6" s="6">
        <v>483519</v>
      </c>
      <c r="D6" s="6">
        <v>511115</v>
      </c>
      <c r="E6" s="13">
        <f t="shared" ref="E6:E8" si="0">D6/C6</f>
        <v>1.0570732484142298</v>
      </c>
    </row>
    <row r="7" spans="2:5">
      <c r="B7" t="s">
        <v>4</v>
      </c>
      <c r="C7" s="6">
        <v>640603</v>
      </c>
      <c r="D7" s="6">
        <v>606603</v>
      </c>
      <c r="E7" s="13">
        <f t="shared" si="0"/>
        <v>0.9469250065953484</v>
      </c>
    </row>
    <row r="8" spans="2:5">
      <c r="B8" t="s">
        <v>5</v>
      </c>
      <c r="C8" s="6">
        <v>320312</v>
      </c>
      <c r="D8" s="6">
        <v>382753</v>
      </c>
      <c r="E8" s="13">
        <f t="shared" si="0"/>
        <v>1.1949380603911186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cols>
    <col min="2" max="2" width="13.7109375" bestFit="1" customWidth="1"/>
    <col min="3" max="3" width="8.5703125" bestFit="1" customWidth="1"/>
    <col min="4" max="4" width="14.7109375" bestFit="1" customWidth="1"/>
    <col min="5" max="5" width="13.7109375" style="12" bestFit="1" customWidth="1"/>
  </cols>
  <sheetData>
    <row r="2" spans="2:5">
      <c r="B2" s="15" t="s">
        <v>18</v>
      </c>
    </row>
    <row r="3" spans="2:5">
      <c r="B3" s="16">
        <v>700000</v>
      </c>
    </row>
    <row r="5" spans="2:5">
      <c r="B5" s="2" t="s">
        <v>0</v>
      </c>
      <c r="C5" s="2" t="s">
        <v>14</v>
      </c>
      <c r="D5" s="2" t="s">
        <v>19</v>
      </c>
      <c r="E5" s="11"/>
    </row>
    <row r="6" spans="2:5">
      <c r="B6" t="s">
        <v>2</v>
      </c>
      <c r="C6" s="6">
        <v>553887</v>
      </c>
      <c r="D6" s="13">
        <f>C6/$B$3</f>
        <v>0.79126714285714284</v>
      </c>
    </row>
    <row r="7" spans="2:5">
      <c r="B7" t="s">
        <v>3</v>
      </c>
      <c r="C7" s="6">
        <v>511115</v>
      </c>
      <c r="D7" s="13">
        <f>C7/$B$3</f>
        <v>0.73016428571428571</v>
      </c>
    </row>
    <row r="8" spans="2:5">
      <c r="B8" t="s">
        <v>4</v>
      </c>
      <c r="C8" s="6">
        <v>606603</v>
      </c>
      <c r="D8" s="13">
        <f>C8/$B$3</f>
        <v>0.86657571428571434</v>
      </c>
    </row>
    <row r="9" spans="2:5">
      <c r="B9" t="s">
        <v>5</v>
      </c>
      <c r="C9" s="6">
        <v>382753</v>
      </c>
      <c r="D9" s="13">
        <f>C9/$B$3</f>
        <v>0.54679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0"/>
  <sheetViews>
    <sheetView workbookViewId="0"/>
  </sheetViews>
  <sheetFormatPr defaultRowHeight="15"/>
  <cols>
    <col min="2" max="2" width="7.140625" bestFit="1" customWidth="1"/>
    <col min="3" max="3" width="13.7109375" style="5" customWidth="1"/>
    <col min="4" max="4" width="14.42578125" style="5" customWidth="1"/>
    <col min="5" max="5" width="16.140625" style="5" bestFit="1" customWidth="1"/>
  </cols>
  <sheetData>
    <row r="3" spans="2:5">
      <c r="B3" s="2" t="s">
        <v>0</v>
      </c>
      <c r="C3" s="9" t="s">
        <v>10</v>
      </c>
      <c r="D3" s="9" t="s">
        <v>11</v>
      </c>
      <c r="E3" s="9" t="s">
        <v>12</v>
      </c>
    </row>
    <row r="4" spans="2:5">
      <c r="B4" t="s">
        <v>2</v>
      </c>
      <c r="C4" s="6">
        <v>509283</v>
      </c>
      <c r="D4" s="6">
        <v>553887</v>
      </c>
      <c r="E4" s="7">
        <f>(D4-C4)/C4</f>
        <v>8.7581953452206332E-2</v>
      </c>
    </row>
    <row r="5" spans="2:5">
      <c r="B5" t="s">
        <v>3</v>
      </c>
      <c r="C5" s="6">
        <v>483519</v>
      </c>
      <c r="D5" s="6">
        <v>511115</v>
      </c>
      <c r="E5" s="7">
        <f t="shared" ref="E5:E7" si="0">(D5-C5)/C5</f>
        <v>5.7073248414229845E-2</v>
      </c>
    </row>
    <row r="6" spans="2:5">
      <c r="B6" t="s">
        <v>4</v>
      </c>
      <c r="C6" s="6">
        <v>640603</v>
      </c>
      <c r="D6" s="6">
        <v>606603</v>
      </c>
      <c r="E6" s="7">
        <f t="shared" si="0"/>
        <v>-5.3074993404651556E-2</v>
      </c>
    </row>
    <row r="7" spans="2:5">
      <c r="B7" t="s">
        <v>5</v>
      </c>
      <c r="C7" s="6">
        <v>320312</v>
      </c>
      <c r="D7" s="6">
        <v>382753</v>
      </c>
      <c r="E7" s="7">
        <f t="shared" si="0"/>
        <v>0.19493806039111866</v>
      </c>
    </row>
    <row r="8" spans="2:5">
      <c r="C8" s="8"/>
      <c r="D8" s="8"/>
    </row>
    <row r="9" spans="2:5">
      <c r="C9" s="8"/>
      <c r="D9" s="8"/>
    </row>
    <row r="10" spans="2:5">
      <c r="C10" s="6"/>
      <c r="D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workbookViewId="0"/>
  </sheetViews>
  <sheetFormatPr defaultRowHeight="15"/>
  <cols>
    <col min="2" max="2" width="7.140625" bestFit="1" customWidth="1"/>
    <col min="3" max="3" width="13.7109375" style="5" customWidth="1"/>
    <col min="4" max="4" width="14.42578125" style="5" customWidth="1"/>
    <col min="5" max="5" width="16.140625" style="5" bestFit="1" customWidth="1"/>
  </cols>
  <sheetData>
    <row r="3" spans="2:5">
      <c r="B3" s="2" t="s">
        <v>0</v>
      </c>
      <c r="C3" s="9" t="s">
        <v>10</v>
      </c>
      <c r="D3" s="9" t="s">
        <v>11</v>
      </c>
      <c r="E3" s="9" t="s">
        <v>12</v>
      </c>
    </row>
    <row r="4" spans="2:5">
      <c r="B4" t="s">
        <v>2</v>
      </c>
      <c r="C4" s="6">
        <v>509283</v>
      </c>
      <c r="D4" s="6">
        <v>553887</v>
      </c>
      <c r="E4" s="7">
        <f>D4/C4-1</f>
        <v>8.7581953452206429E-2</v>
      </c>
    </row>
    <row r="5" spans="2:5">
      <c r="B5" t="s">
        <v>3</v>
      </c>
      <c r="C5" s="6">
        <v>483519</v>
      </c>
      <c r="D5" s="6">
        <v>511115</v>
      </c>
      <c r="E5" s="7">
        <f t="shared" ref="E5:E7" si="0">D5/C5-1</f>
        <v>5.7073248414229782E-2</v>
      </c>
    </row>
    <row r="6" spans="2:5">
      <c r="B6" t="s">
        <v>4</v>
      </c>
      <c r="C6" s="6">
        <v>640603</v>
      </c>
      <c r="D6" s="6">
        <v>606603</v>
      </c>
      <c r="E6" s="7">
        <f t="shared" si="0"/>
        <v>-5.3074993404651605E-2</v>
      </c>
    </row>
    <row r="7" spans="2:5">
      <c r="B7" t="s">
        <v>5</v>
      </c>
      <c r="C7" s="6">
        <v>320312</v>
      </c>
      <c r="D7" s="6">
        <v>382753</v>
      </c>
      <c r="E7" s="7">
        <f t="shared" si="0"/>
        <v>0.19493806039111861</v>
      </c>
    </row>
    <row r="8" spans="2:5">
      <c r="C8" s="8"/>
      <c r="D8" s="8"/>
    </row>
    <row r="9" spans="2:5">
      <c r="C9" s="8"/>
      <c r="D9" s="8"/>
    </row>
    <row r="10" spans="2:5">
      <c r="C10" s="6"/>
      <c r="D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E9"/>
  <sheetViews>
    <sheetView workbookViewId="0"/>
  </sheetViews>
  <sheetFormatPr defaultRowHeight="15"/>
  <cols>
    <col min="1" max="1" width="6" customWidth="1"/>
    <col min="2" max="3" width="11.28515625" style="12" customWidth="1"/>
    <col min="4" max="4" width="18.85546875" style="12" customWidth="1"/>
    <col min="5" max="5" width="17.7109375" style="12" customWidth="1"/>
  </cols>
  <sheetData>
    <row r="3" spans="2:5" ht="27.75" customHeight="1">
      <c r="B3" s="10" t="s">
        <v>13</v>
      </c>
      <c r="C3" s="10" t="s">
        <v>14</v>
      </c>
      <c r="D3" s="50" t="s">
        <v>15</v>
      </c>
      <c r="E3" s="50" t="s">
        <v>16</v>
      </c>
    </row>
    <row r="4" spans="2:5">
      <c r="B4" s="18">
        <v>-10000</v>
      </c>
      <c r="C4" s="18">
        <v>12000</v>
      </c>
      <c r="D4" s="13">
        <f t="shared" ref="D4" si="0">(C4-B4)/B4</f>
        <v>-2.2000000000000002</v>
      </c>
      <c r="E4" s="13">
        <f>(C4 - B4) / ABS(B4)</f>
        <v>2.2000000000000002</v>
      </c>
    </row>
    <row r="9" spans="2:5">
      <c r="E9" s="5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5"/>
  <cols>
    <col min="3" max="3" width="10.5703125" customWidth="1"/>
    <col min="4" max="4" width="15.140625" bestFit="1" customWidth="1"/>
  </cols>
  <sheetData>
    <row r="2" spans="2:4">
      <c r="B2" s="2" t="s">
        <v>0</v>
      </c>
      <c r="C2" s="2" t="s">
        <v>1</v>
      </c>
      <c r="D2" s="2" t="s">
        <v>7</v>
      </c>
    </row>
    <row r="3" spans="2:4">
      <c r="B3" t="s">
        <v>2</v>
      </c>
      <c r="C3" s="3">
        <v>7626</v>
      </c>
      <c r="D3" s="1">
        <f>C3/$C$9</f>
        <v>0.39791286198799897</v>
      </c>
    </row>
    <row r="4" spans="2:4">
      <c r="B4" t="s">
        <v>3</v>
      </c>
      <c r="C4" s="3">
        <v>3387</v>
      </c>
      <c r="D4" s="1">
        <f t="shared" ref="D4:D6" si="0">C4/$C$9</f>
        <v>0.17672841116618837</v>
      </c>
    </row>
    <row r="5" spans="2:4">
      <c r="B5" t="s">
        <v>4</v>
      </c>
      <c r="C5" s="3">
        <v>1695</v>
      </c>
      <c r="D5" s="1">
        <f>C5/$C$9</f>
        <v>8.8442473258544221E-2</v>
      </c>
    </row>
    <row r="6" spans="2:4">
      <c r="B6" t="s">
        <v>5</v>
      </c>
      <c r="C6" s="3">
        <v>6457</v>
      </c>
      <c r="D6" s="1">
        <f t="shared" si="0"/>
        <v>0.33691625358726845</v>
      </c>
    </row>
    <row r="7" spans="2:4">
      <c r="C7" s="4"/>
    </row>
    <row r="8" spans="2:4">
      <c r="C8" s="4"/>
    </row>
    <row r="9" spans="2:4">
      <c r="B9" t="s">
        <v>6</v>
      </c>
      <c r="C9" s="3">
        <v>19165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5"/>
  <cols>
    <col min="3" max="3" width="10.5703125" customWidth="1"/>
    <col min="4" max="4" width="23.140625" customWidth="1"/>
  </cols>
  <sheetData>
    <row r="2" spans="2:4">
      <c r="B2" s="2" t="s">
        <v>0</v>
      </c>
      <c r="C2" s="2" t="s">
        <v>1</v>
      </c>
      <c r="D2" s="2" t="s">
        <v>7</v>
      </c>
    </row>
    <row r="3" spans="2:4">
      <c r="B3" t="s">
        <v>2</v>
      </c>
      <c r="C3" s="3">
        <v>7626</v>
      </c>
      <c r="D3" s="1">
        <f>C3/SUM($C$3:$C$6)</f>
        <v>0.39791286198799897</v>
      </c>
    </row>
    <row r="4" spans="2:4">
      <c r="B4" t="s">
        <v>3</v>
      </c>
      <c r="C4" s="3">
        <v>3387</v>
      </c>
      <c r="D4" s="1">
        <f t="shared" ref="D4:D6" si="0">C4/SUM($C$3:$C$6)</f>
        <v>0.17672841116618837</v>
      </c>
    </row>
    <row r="5" spans="2:4">
      <c r="B5" t="s">
        <v>4</v>
      </c>
      <c r="C5" s="3">
        <v>1695</v>
      </c>
      <c r="D5" s="1">
        <f t="shared" si="0"/>
        <v>8.8442473258544221E-2</v>
      </c>
    </row>
    <row r="6" spans="2:4">
      <c r="B6" t="s">
        <v>5</v>
      </c>
      <c r="C6" s="3">
        <v>6457</v>
      </c>
      <c r="D6" s="1">
        <f t="shared" si="0"/>
        <v>0.33691625358726845</v>
      </c>
    </row>
    <row r="7" spans="2:4">
      <c r="C7" s="4"/>
    </row>
    <row r="8" spans="2:4">
      <c r="C8" s="4"/>
    </row>
    <row r="9" spans="2:4">
      <c r="C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D14"/>
  <sheetViews>
    <sheetView workbookViewId="0"/>
  </sheetViews>
  <sheetFormatPr defaultRowHeight="15"/>
  <cols>
    <col min="2" max="2" width="10.85546875" bestFit="1" customWidth="1"/>
    <col min="3" max="3" width="9.85546875" bestFit="1" customWidth="1"/>
    <col min="4" max="4" width="16.5703125" customWidth="1"/>
  </cols>
  <sheetData>
    <row r="2" spans="2:4">
      <c r="C2" t="s">
        <v>8</v>
      </c>
      <c r="D2" t="s">
        <v>32</v>
      </c>
    </row>
    <row r="3" spans="2:4">
      <c r="B3" t="s">
        <v>20</v>
      </c>
      <c r="C3">
        <v>78</v>
      </c>
      <c r="D3">
        <f>SUM($C$3:C3)</f>
        <v>78</v>
      </c>
    </row>
    <row r="4" spans="2:4">
      <c r="B4" t="s">
        <v>21</v>
      </c>
      <c r="C4">
        <v>63</v>
      </c>
      <c r="D4">
        <f>SUM($C$3:C4)</f>
        <v>141</v>
      </c>
    </row>
    <row r="5" spans="2:4">
      <c r="B5" t="s">
        <v>22</v>
      </c>
      <c r="C5">
        <v>38</v>
      </c>
      <c r="D5">
        <f>SUM($C$3:C5)</f>
        <v>179</v>
      </c>
    </row>
    <row r="6" spans="2:4">
      <c r="B6" t="s">
        <v>23</v>
      </c>
      <c r="C6">
        <v>17</v>
      </c>
      <c r="D6">
        <f>SUM($C$3:C6)</f>
        <v>196</v>
      </c>
    </row>
    <row r="7" spans="2:4">
      <c r="B7" t="s">
        <v>24</v>
      </c>
      <c r="C7">
        <v>84</v>
      </c>
      <c r="D7">
        <f>SUM($C$3:C7)</f>
        <v>280</v>
      </c>
    </row>
    <row r="8" spans="2:4">
      <c r="B8" t="s">
        <v>25</v>
      </c>
      <c r="C8">
        <v>63</v>
      </c>
      <c r="D8">
        <f>SUM($C$3:C8)</f>
        <v>343</v>
      </c>
    </row>
    <row r="9" spans="2:4">
      <c r="B9" t="s">
        <v>26</v>
      </c>
      <c r="C9">
        <v>32</v>
      </c>
      <c r="D9">
        <f>SUM($C$3:C9)</f>
        <v>375</v>
      </c>
    </row>
    <row r="10" spans="2:4">
      <c r="B10" t="s">
        <v>27</v>
      </c>
      <c r="C10">
        <v>20</v>
      </c>
      <c r="D10">
        <f>SUM($C$3:C10)</f>
        <v>395</v>
      </c>
    </row>
    <row r="11" spans="2:4">
      <c r="B11" t="s">
        <v>28</v>
      </c>
      <c r="C11">
        <v>98</v>
      </c>
      <c r="D11">
        <f>SUM($C$3:C11)</f>
        <v>493</v>
      </c>
    </row>
    <row r="12" spans="2:4">
      <c r="B12" t="s">
        <v>29</v>
      </c>
      <c r="C12">
        <v>63</v>
      </c>
      <c r="D12">
        <f>SUM($C$3:C12)</f>
        <v>556</v>
      </c>
    </row>
    <row r="13" spans="2:4">
      <c r="B13" t="s">
        <v>30</v>
      </c>
      <c r="C13">
        <v>75</v>
      </c>
      <c r="D13">
        <f>SUM($C$3:C13)</f>
        <v>631</v>
      </c>
    </row>
    <row r="14" spans="2:4">
      <c r="B14" t="s">
        <v>31</v>
      </c>
      <c r="C14">
        <v>75</v>
      </c>
      <c r="D14">
        <f>SUM($C$3:C14)</f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4:E9"/>
  <sheetViews>
    <sheetView workbookViewId="0"/>
  </sheetViews>
  <sheetFormatPr defaultRowHeight="15"/>
  <cols>
    <col min="2" max="2" width="11.28515625" bestFit="1" customWidth="1"/>
    <col min="3" max="3" width="15.28515625" style="12" bestFit="1" customWidth="1"/>
    <col min="4" max="4" width="16.140625" style="12" bestFit="1" customWidth="1"/>
    <col min="5" max="5" width="15.42578125" style="17" bestFit="1" customWidth="1"/>
  </cols>
  <sheetData>
    <row r="4" spans="2:5">
      <c r="C4" s="10" t="s">
        <v>33</v>
      </c>
      <c r="D4" s="10" t="s">
        <v>34</v>
      </c>
      <c r="E4" s="49" t="s">
        <v>38</v>
      </c>
    </row>
    <row r="5" spans="2:5">
      <c r="B5" t="s">
        <v>9</v>
      </c>
      <c r="C5" s="12">
        <v>100</v>
      </c>
      <c r="D5" s="13">
        <v>0.1</v>
      </c>
      <c r="E5" s="18">
        <f>C5*(1+D5)</f>
        <v>110.00000000000001</v>
      </c>
    </row>
    <row r="8" spans="2:5">
      <c r="C8" s="10" t="s">
        <v>36</v>
      </c>
      <c r="D8" s="10" t="s">
        <v>37</v>
      </c>
      <c r="E8" s="49" t="s">
        <v>39</v>
      </c>
    </row>
    <row r="9" spans="2:5">
      <c r="B9" t="s">
        <v>35</v>
      </c>
      <c r="C9" s="12">
        <v>1000</v>
      </c>
      <c r="D9" s="13">
        <v>0.2</v>
      </c>
      <c r="E9" s="18">
        <f>C9*(1-D9)</f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5"/>
  <sheetViews>
    <sheetView workbookViewId="0"/>
  </sheetViews>
  <sheetFormatPr defaultRowHeight="15"/>
  <cols>
    <col min="5" max="5" width="17" style="12" bestFit="1" customWidth="1"/>
  </cols>
  <sheetData>
    <row r="2" spans="2:5">
      <c r="C2" s="2" t="s">
        <v>13</v>
      </c>
      <c r="D2" s="2" t="s">
        <v>14</v>
      </c>
      <c r="E2" s="10" t="s">
        <v>43</v>
      </c>
    </row>
    <row r="3" spans="2:5">
      <c r="B3" t="s">
        <v>40</v>
      </c>
      <c r="C3">
        <v>200</v>
      </c>
      <c r="D3">
        <v>200</v>
      </c>
      <c r="E3" s="13">
        <f>IF(C3=0, 0, D3/C3)</f>
        <v>1</v>
      </c>
    </row>
    <row r="4" spans="2:5">
      <c r="B4" t="s">
        <v>41</v>
      </c>
      <c r="C4">
        <v>0</v>
      </c>
      <c r="D4">
        <v>100</v>
      </c>
      <c r="E4" s="13">
        <f t="shared" ref="E4:E5" si="0">IF(C4=0, 0, D4/C4)</f>
        <v>0</v>
      </c>
    </row>
    <row r="5" spans="2:5">
      <c r="B5" t="s">
        <v>42</v>
      </c>
      <c r="C5">
        <v>300</v>
      </c>
      <c r="D5">
        <v>350</v>
      </c>
      <c r="E5" s="13">
        <f t="shared" si="0"/>
        <v>1.1666666666666667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C8"/>
  <sheetViews>
    <sheetView workbookViewId="0"/>
  </sheetViews>
  <sheetFormatPr defaultRowHeight="15"/>
  <cols>
    <col min="2" max="2" width="22.5703125" bestFit="1" customWidth="1"/>
    <col min="3" max="3" width="9.7109375" customWidth="1"/>
  </cols>
  <sheetData>
    <row r="2" spans="2:3">
      <c r="B2" s="2" t="s">
        <v>50</v>
      </c>
      <c r="C2" s="2" t="s">
        <v>51</v>
      </c>
    </row>
    <row r="3" spans="2:3">
      <c r="B3" t="s">
        <v>45</v>
      </c>
      <c r="C3">
        <f>ROUND(94.45,0)</f>
        <v>94</v>
      </c>
    </row>
    <row r="4" spans="2:3">
      <c r="B4" t="s">
        <v>44</v>
      </c>
      <c r="C4">
        <f>ROUND(94.45,1)</f>
        <v>94.5</v>
      </c>
    </row>
    <row r="5" spans="2:3">
      <c r="B5" t="s">
        <v>46</v>
      </c>
      <c r="C5">
        <f>ROUND(94.45,-1)</f>
        <v>90</v>
      </c>
    </row>
    <row r="6" spans="2:3">
      <c r="B6" t="s">
        <v>47</v>
      </c>
      <c r="C6">
        <f>ROUND(94.45,-2)</f>
        <v>100</v>
      </c>
    </row>
    <row r="7" spans="2:3">
      <c r="B7" t="s">
        <v>48</v>
      </c>
      <c r="C7">
        <f>ROUNDDOWN(94.45,0)</f>
        <v>94</v>
      </c>
    </row>
    <row r="8" spans="2:3">
      <c r="B8" t="s">
        <v>49</v>
      </c>
      <c r="C8">
        <f>ROUNDUP(94.45,0)</f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D9"/>
  <sheetViews>
    <sheetView workbookViewId="0"/>
  </sheetViews>
  <sheetFormatPr defaultRowHeight="15"/>
  <cols>
    <col min="2" max="2" width="14" bestFit="1" customWidth="1"/>
    <col min="3" max="4" width="17.140625" style="12" customWidth="1"/>
  </cols>
  <sheetData>
    <row r="2" spans="2:4" s="53" customFormat="1" ht="31.5" customHeight="1">
      <c r="B2" s="23" t="s">
        <v>52</v>
      </c>
      <c r="C2" s="50" t="s">
        <v>53</v>
      </c>
      <c r="D2" s="50" t="s">
        <v>54</v>
      </c>
    </row>
    <row r="3" spans="2:4">
      <c r="B3" s="19">
        <v>34.243000000000002</v>
      </c>
      <c r="C3" s="20">
        <f>CEILING(B3,0.01)</f>
        <v>34.25</v>
      </c>
      <c r="D3" s="20">
        <f>FLOOR(B3,0.01)</f>
        <v>34.24</v>
      </c>
    </row>
    <row r="5" spans="2:4">
      <c r="C5" s="52" t="s">
        <v>112</v>
      </c>
      <c r="D5" s="52" t="s">
        <v>113</v>
      </c>
    </row>
    <row r="9" spans="2:4">
      <c r="C9" s="54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G11"/>
  <sheetViews>
    <sheetView workbookViewId="0"/>
  </sheetViews>
  <sheetFormatPr defaultRowHeight="15"/>
  <cols>
    <col min="2" max="2" width="12.42578125" bestFit="1" customWidth="1"/>
    <col min="3" max="3" width="39.42578125" customWidth="1"/>
    <col min="4" max="4" width="4.28515625" customWidth="1"/>
    <col min="5" max="5" width="15.85546875" style="12" bestFit="1" customWidth="1"/>
    <col min="6" max="7" width="18" style="12" customWidth="1"/>
  </cols>
  <sheetData>
    <row r="2" spans="2:5">
      <c r="E2" s="14" t="s">
        <v>56</v>
      </c>
    </row>
    <row r="3" spans="2:5">
      <c r="E3" s="47">
        <v>2</v>
      </c>
    </row>
    <row r="4" spans="2:5">
      <c r="B4" s="10" t="s">
        <v>55</v>
      </c>
      <c r="C4" s="10" t="s">
        <v>56</v>
      </c>
    </row>
    <row r="5" spans="2:5">
      <c r="B5" s="48">
        <v>605390.33808510343</v>
      </c>
      <c r="C5" s="17">
        <f>ROUND(B5,LEN(INT(ABS(B5)))*-1+$E$3)</f>
        <v>610000</v>
      </c>
    </row>
    <row r="6" spans="2:5">
      <c r="B6" s="48">
        <v>900942.16174700169</v>
      </c>
      <c r="C6" s="17">
        <f>ROUND(B6,LEN(INT(ABS(B6)))*-1+$E$3)</f>
        <v>900000</v>
      </c>
    </row>
    <row r="7" spans="2:5">
      <c r="B7" s="48">
        <v>591006.88287765195</v>
      </c>
      <c r="C7" s="17">
        <f t="shared" ref="C7:C10" si="0">ROUND(B7,LEN(INT(ABS(B7)))*-1+$E$3)</f>
        <v>590000</v>
      </c>
    </row>
    <row r="8" spans="2:5">
      <c r="B8" s="48">
        <v>491234.53619222488</v>
      </c>
      <c r="C8" s="17">
        <f t="shared" si="0"/>
        <v>490000</v>
      </c>
    </row>
    <row r="9" spans="2:5">
      <c r="B9" s="48">
        <v>883788.01028480497</v>
      </c>
      <c r="C9" s="17">
        <f t="shared" si="0"/>
        <v>880000</v>
      </c>
    </row>
    <row r="10" spans="2:5">
      <c r="B10" s="48">
        <v>952686.50052570924</v>
      </c>
      <c r="C10" s="17">
        <f t="shared" si="0"/>
        <v>950000</v>
      </c>
    </row>
    <row r="11" spans="2:5">
      <c r="B11" s="48">
        <v>-332601.94348686899</v>
      </c>
      <c r="C11" s="17">
        <f>ROUND(B11,LEN(INT(ABS(B11)))*-1+$E$3)</f>
        <v>-330000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I14"/>
  <sheetViews>
    <sheetView showGridLines="0" workbookViewId="0"/>
  </sheetViews>
  <sheetFormatPr defaultRowHeight="15"/>
  <cols>
    <col min="1" max="1" width="3.5703125" customWidth="1"/>
    <col min="2" max="2" width="11.5703125" customWidth="1"/>
    <col min="3" max="6" width="9.140625" customWidth="1"/>
    <col min="7" max="7" width="1.85546875" customWidth="1"/>
    <col min="8" max="9" width="15.140625" customWidth="1"/>
  </cols>
  <sheetData>
    <row r="3" spans="2:9" ht="42.75" customHeight="1">
      <c r="C3" s="24" t="s">
        <v>63</v>
      </c>
      <c r="D3" s="24" t="s">
        <v>57</v>
      </c>
      <c r="E3" s="24" t="s">
        <v>69</v>
      </c>
      <c r="F3" s="24" t="s">
        <v>59</v>
      </c>
      <c r="H3" s="23" t="s">
        <v>60</v>
      </c>
      <c r="I3" s="23" t="s">
        <v>70</v>
      </c>
    </row>
    <row r="4" spans="2:9">
      <c r="B4" s="2" t="s">
        <v>64</v>
      </c>
      <c r="C4" s="10" t="s">
        <v>61</v>
      </c>
      <c r="D4" s="10"/>
      <c r="E4" s="10">
        <v>1</v>
      </c>
      <c r="F4" s="10"/>
      <c r="H4" s="31">
        <f>COUNTA(C4:F4)</f>
        <v>2</v>
      </c>
      <c r="I4" s="31">
        <f>COUNTBLANK(C4:F4)</f>
        <v>2</v>
      </c>
    </row>
    <row r="5" spans="2:9">
      <c r="B5" s="2" t="s">
        <v>65</v>
      </c>
      <c r="C5" s="10">
        <v>1</v>
      </c>
      <c r="D5" s="10">
        <v>1</v>
      </c>
      <c r="E5" s="10">
        <v>1</v>
      </c>
      <c r="F5" s="10"/>
      <c r="H5" s="31">
        <f t="shared" ref="H5:H8" si="0">COUNTA(C5:F5)</f>
        <v>3</v>
      </c>
      <c r="I5" s="31">
        <f t="shared" ref="I5:I8" si="1">COUNTBLANK(C5:F5)</f>
        <v>1</v>
      </c>
    </row>
    <row r="6" spans="2:9">
      <c r="B6" s="2" t="s">
        <v>66</v>
      </c>
      <c r="C6" s="10"/>
      <c r="D6" s="10">
        <v>1</v>
      </c>
      <c r="E6" s="10">
        <v>1</v>
      </c>
      <c r="F6" s="10">
        <v>1</v>
      </c>
      <c r="H6" s="31">
        <f t="shared" si="0"/>
        <v>3</v>
      </c>
      <c r="I6" s="31">
        <f t="shared" si="1"/>
        <v>1</v>
      </c>
    </row>
    <row r="7" spans="2:9">
      <c r="B7" s="2" t="s">
        <v>67</v>
      </c>
      <c r="C7" s="10" t="s">
        <v>61</v>
      </c>
      <c r="D7" s="10"/>
      <c r="E7" s="10" t="s">
        <v>61</v>
      </c>
      <c r="F7" s="10"/>
      <c r="H7" s="31">
        <f t="shared" si="0"/>
        <v>2</v>
      </c>
      <c r="I7" s="31">
        <f t="shared" si="1"/>
        <v>2</v>
      </c>
    </row>
    <row r="8" spans="2:9">
      <c r="B8" s="2" t="s">
        <v>68</v>
      </c>
      <c r="C8" s="10">
        <v>1</v>
      </c>
      <c r="D8" s="10">
        <v>1</v>
      </c>
      <c r="E8" s="10">
        <v>1</v>
      </c>
      <c r="F8" s="10" t="s">
        <v>61</v>
      </c>
      <c r="H8" s="31">
        <f t="shared" si="0"/>
        <v>4</v>
      </c>
      <c r="I8" s="31">
        <f t="shared" si="1"/>
        <v>0</v>
      </c>
    </row>
    <row r="9" spans="2:9">
      <c r="H9" s="22"/>
    </row>
    <row r="10" spans="2:9">
      <c r="C10" s="25" t="s">
        <v>62</v>
      </c>
      <c r="D10" s="26"/>
      <c r="E10" s="26"/>
      <c r="F10" s="27"/>
    </row>
    <row r="11" spans="2:9">
      <c r="C11" s="28" t="s">
        <v>63</v>
      </c>
      <c r="D11" s="29" t="s">
        <v>57</v>
      </c>
      <c r="E11" s="29" t="s">
        <v>58</v>
      </c>
      <c r="F11" s="30" t="s">
        <v>59</v>
      </c>
    </row>
    <row r="12" spans="2:9" ht="21" customHeight="1">
      <c r="C12" s="31">
        <f>COUNT(C4:C8)</f>
        <v>2</v>
      </c>
      <c r="D12" s="31">
        <f t="shared" ref="D12:F12" si="2">COUNT(D4:D8)</f>
        <v>3</v>
      </c>
      <c r="E12" s="31">
        <f t="shared" si="2"/>
        <v>4</v>
      </c>
      <c r="F12" s="31">
        <f t="shared" si="2"/>
        <v>1</v>
      </c>
    </row>
    <row r="13" spans="2:9">
      <c r="C13" s="21"/>
    </row>
    <row r="14" spans="2:9">
      <c r="C14" s="2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7.7109375" bestFit="1" customWidth="1"/>
    <col min="2" max="2" width="12.7109375" bestFit="1" customWidth="1"/>
    <col min="3" max="3" width="8.7109375" customWidth="1"/>
    <col min="4" max="4" width="14.42578125" customWidth="1"/>
    <col min="5" max="5" width="9.140625" style="5"/>
    <col min="6" max="6" width="22.140625" customWidth="1"/>
    <col min="7" max="17" width="11.28515625" customWidth="1"/>
  </cols>
  <sheetData>
    <row r="2" spans="1:17" ht="30">
      <c r="A2" s="12"/>
      <c r="B2" s="12"/>
      <c r="D2" s="32"/>
      <c r="E2" s="43"/>
      <c r="F2" s="33" t="s">
        <v>71</v>
      </c>
      <c r="G2" s="34" t="s">
        <v>72</v>
      </c>
      <c r="H2" s="34" t="s">
        <v>73</v>
      </c>
      <c r="I2" s="34" t="s">
        <v>74</v>
      </c>
      <c r="J2" s="34" t="s">
        <v>75</v>
      </c>
      <c r="K2" s="34" t="s">
        <v>76</v>
      </c>
      <c r="L2" s="34" t="s">
        <v>77</v>
      </c>
      <c r="M2" s="34" t="s">
        <v>78</v>
      </c>
      <c r="N2" s="34" t="s">
        <v>79</v>
      </c>
      <c r="O2" s="34" t="s">
        <v>80</v>
      </c>
      <c r="P2" s="34" t="s">
        <v>81</v>
      </c>
      <c r="Q2" s="34" t="s">
        <v>82</v>
      </c>
    </row>
    <row r="3" spans="1:17">
      <c r="A3" s="41" t="s">
        <v>106</v>
      </c>
      <c r="B3" s="41" t="s">
        <v>107</v>
      </c>
      <c r="D3" s="35"/>
      <c r="E3" s="44"/>
      <c r="F3" s="36" t="s">
        <v>83</v>
      </c>
      <c r="G3" s="37" t="s">
        <v>84</v>
      </c>
      <c r="H3" s="37" t="s">
        <v>85</v>
      </c>
      <c r="I3" s="37" t="s">
        <v>86</v>
      </c>
      <c r="J3" s="37" t="s">
        <v>87</v>
      </c>
      <c r="K3" s="37" t="s">
        <v>88</v>
      </c>
      <c r="L3" s="37" t="s">
        <v>89</v>
      </c>
      <c r="M3" s="37" t="s">
        <v>90</v>
      </c>
      <c r="N3" s="37" t="s">
        <v>91</v>
      </c>
      <c r="O3" s="37" t="s">
        <v>92</v>
      </c>
      <c r="P3" s="37" t="s">
        <v>93</v>
      </c>
      <c r="Q3" s="37" t="s">
        <v>94</v>
      </c>
    </row>
    <row r="4" spans="1:17">
      <c r="A4" s="42">
        <v>1</v>
      </c>
      <c r="B4" s="42">
        <f>CONVERT(100,"mi", "km")</f>
        <v>160.93440000000001</v>
      </c>
      <c r="D4" s="38" t="s">
        <v>71</v>
      </c>
      <c r="E4" s="45" t="s">
        <v>83</v>
      </c>
      <c r="F4" s="39">
        <f>CONVERT(1,$E4,F$3)</f>
        <v>1</v>
      </c>
      <c r="G4" s="39">
        <f t="shared" ref="G4:Q4" si="0">CONVERT(1,$E4,G$3)</f>
        <v>0.33333333333333331</v>
      </c>
      <c r="H4" s="39">
        <f t="shared" si="0"/>
        <v>0.16666666666666666</v>
      </c>
      <c r="I4" s="39">
        <f t="shared" si="0"/>
        <v>2.0833333333333332E-2</v>
      </c>
      <c r="J4" s="39">
        <f t="shared" si="0"/>
        <v>1.0416666666666666E-2</v>
      </c>
      <c r="K4" s="39">
        <f t="shared" si="0"/>
        <v>8.6736894232186338E-3</v>
      </c>
      <c r="L4" s="39">
        <f t="shared" si="0"/>
        <v>5.208333333333333E-3</v>
      </c>
      <c r="M4" s="39">
        <f t="shared" si="0"/>
        <v>4.3368447116093169E-3</v>
      </c>
      <c r="N4" s="39">
        <f t="shared" si="0"/>
        <v>1.3020833333333333E-3</v>
      </c>
      <c r="O4" s="39">
        <f t="shared" si="0"/>
        <v>1.0842111779023292E-3</v>
      </c>
      <c r="P4" s="39">
        <f t="shared" si="0"/>
        <v>4.9289215937499999E-3</v>
      </c>
      <c r="Q4" s="39">
        <f t="shared" si="0"/>
        <v>3.1001984126984125E-5</v>
      </c>
    </row>
    <row r="5" spans="1:17">
      <c r="A5" s="12"/>
      <c r="B5" s="12"/>
      <c r="D5" s="40" t="s">
        <v>72</v>
      </c>
      <c r="E5" s="46" t="s">
        <v>84</v>
      </c>
      <c r="F5" s="39">
        <f t="shared" ref="F5:Q20" si="1">CONVERT(1,$E5,F$3)</f>
        <v>3</v>
      </c>
      <c r="G5" s="39">
        <f t="shared" si="1"/>
        <v>1</v>
      </c>
      <c r="H5" s="39">
        <f t="shared" si="1"/>
        <v>0.5</v>
      </c>
      <c r="I5" s="39">
        <f t="shared" si="1"/>
        <v>6.25E-2</v>
      </c>
      <c r="J5" s="39">
        <f t="shared" si="1"/>
        <v>3.125E-2</v>
      </c>
      <c r="K5" s="39">
        <f t="shared" si="1"/>
        <v>2.60210682696559E-2</v>
      </c>
      <c r="L5" s="39">
        <f t="shared" si="1"/>
        <v>1.5625E-2</v>
      </c>
      <c r="M5" s="39">
        <f t="shared" si="1"/>
        <v>1.301053413482795E-2</v>
      </c>
      <c r="N5" s="39">
        <f t="shared" si="1"/>
        <v>3.90625E-3</v>
      </c>
      <c r="O5" s="39">
        <f t="shared" si="1"/>
        <v>3.2526335337069875E-3</v>
      </c>
      <c r="P5" s="39">
        <f t="shared" si="1"/>
        <v>1.478676478125E-2</v>
      </c>
      <c r="Q5" s="39">
        <f t="shared" si="1"/>
        <v>9.3005952380952376E-5</v>
      </c>
    </row>
    <row r="6" spans="1:17">
      <c r="A6" s="12"/>
      <c r="B6" s="12"/>
      <c r="D6" s="40" t="s">
        <v>73</v>
      </c>
      <c r="E6" s="46" t="s">
        <v>85</v>
      </c>
      <c r="F6" s="39">
        <f>CONVERT(1,$E6,F$3)</f>
        <v>6</v>
      </c>
      <c r="G6" s="39">
        <f t="shared" si="1"/>
        <v>2</v>
      </c>
      <c r="H6" s="39">
        <f t="shared" si="1"/>
        <v>1</v>
      </c>
      <c r="I6" s="39">
        <f t="shared" si="1"/>
        <v>0.125</v>
      </c>
      <c r="J6" s="39">
        <f t="shared" si="1"/>
        <v>6.25E-2</v>
      </c>
      <c r="K6" s="39">
        <f t="shared" si="1"/>
        <v>5.2042136539311799E-2</v>
      </c>
      <c r="L6" s="39">
        <f t="shared" si="1"/>
        <v>3.125E-2</v>
      </c>
      <c r="M6" s="39">
        <f t="shared" si="1"/>
        <v>2.60210682696559E-2</v>
      </c>
      <c r="N6" s="39">
        <f t="shared" si="1"/>
        <v>7.8125E-3</v>
      </c>
      <c r="O6" s="39">
        <f t="shared" si="1"/>
        <v>6.5052670674139749E-3</v>
      </c>
      <c r="P6" s="39">
        <f t="shared" si="1"/>
        <v>2.9573529562499999E-2</v>
      </c>
      <c r="Q6" s="39">
        <f t="shared" si="1"/>
        <v>1.8601190476190475E-4</v>
      </c>
    </row>
    <row r="7" spans="1:17">
      <c r="A7" s="41" t="s">
        <v>108</v>
      </c>
      <c r="B7" s="41" t="s">
        <v>109</v>
      </c>
      <c r="D7" s="40" t="s">
        <v>74</v>
      </c>
      <c r="E7" s="46" t="s">
        <v>86</v>
      </c>
      <c r="F7" s="39">
        <f t="shared" si="1"/>
        <v>48</v>
      </c>
      <c r="G7" s="39">
        <f t="shared" si="1"/>
        <v>16</v>
      </c>
      <c r="H7" s="39">
        <f t="shared" si="1"/>
        <v>8</v>
      </c>
      <c r="I7" s="39">
        <f t="shared" si="1"/>
        <v>1</v>
      </c>
      <c r="J7" s="39">
        <f t="shared" si="1"/>
        <v>0.5</v>
      </c>
      <c r="K7" s="39">
        <f t="shared" si="1"/>
        <v>0.41633709231449439</v>
      </c>
      <c r="L7" s="39">
        <f t="shared" si="1"/>
        <v>0.25</v>
      </c>
      <c r="M7" s="39">
        <f t="shared" si="1"/>
        <v>0.2081685461572472</v>
      </c>
      <c r="N7" s="39">
        <f t="shared" si="1"/>
        <v>6.25E-2</v>
      </c>
      <c r="O7" s="39">
        <f t="shared" si="1"/>
        <v>5.2042136539311799E-2</v>
      </c>
      <c r="P7" s="39">
        <f t="shared" si="1"/>
        <v>0.23658823649999999</v>
      </c>
      <c r="Q7" s="39">
        <f t="shared" si="1"/>
        <v>1.488095238095238E-3</v>
      </c>
    </row>
    <row r="8" spans="1:17">
      <c r="A8" s="42">
        <v>1</v>
      </c>
      <c r="B8" s="42">
        <f>CONVERT(A8,"cup", "tbs")</f>
        <v>16</v>
      </c>
      <c r="D8" s="40" t="s">
        <v>75</v>
      </c>
      <c r="E8" s="46" t="s">
        <v>87</v>
      </c>
      <c r="F8" s="39">
        <f t="shared" si="1"/>
        <v>96</v>
      </c>
      <c r="G8" s="39">
        <f t="shared" si="1"/>
        <v>32</v>
      </c>
      <c r="H8" s="39">
        <f t="shared" si="1"/>
        <v>16</v>
      </c>
      <c r="I8" s="39">
        <f t="shared" si="1"/>
        <v>2</v>
      </c>
      <c r="J8" s="39">
        <f t="shared" si="1"/>
        <v>1</v>
      </c>
      <c r="K8" s="39">
        <f t="shared" si="1"/>
        <v>0.83267418462898879</v>
      </c>
      <c r="L8" s="39">
        <f t="shared" si="1"/>
        <v>0.5</v>
      </c>
      <c r="M8" s="39">
        <f t="shared" si="1"/>
        <v>0.41633709231449439</v>
      </c>
      <c r="N8" s="39">
        <f t="shared" si="1"/>
        <v>0.125</v>
      </c>
      <c r="O8" s="39">
        <f t="shared" si="1"/>
        <v>0.1040842730786236</v>
      </c>
      <c r="P8" s="39">
        <f t="shared" si="1"/>
        <v>0.47317647299999999</v>
      </c>
      <c r="Q8" s="39">
        <f t="shared" si="1"/>
        <v>2.976190476190476E-3</v>
      </c>
    </row>
    <row r="9" spans="1:17">
      <c r="A9" s="12"/>
      <c r="B9" s="12"/>
      <c r="D9" s="40" t="s">
        <v>76</v>
      </c>
      <c r="E9" s="46" t="s">
        <v>88</v>
      </c>
      <c r="F9" s="39">
        <f>CONVERT(1,$E9,F$3)</f>
        <v>115.29119284846608</v>
      </c>
      <c r="G9" s="39">
        <f t="shared" si="1"/>
        <v>38.430397616155361</v>
      </c>
      <c r="H9" s="39">
        <f t="shared" si="1"/>
        <v>19.21519880807768</v>
      </c>
      <c r="I9" s="39">
        <f t="shared" si="1"/>
        <v>2.40189985100971</v>
      </c>
      <c r="J9" s="39">
        <f>CONVERT(1,$E9,J$3)</f>
        <v>1.200949925504855</v>
      </c>
      <c r="K9" s="39">
        <f t="shared" si="1"/>
        <v>1</v>
      </c>
      <c r="L9" s="39">
        <f t="shared" si="1"/>
        <v>0.60047496275242751</v>
      </c>
      <c r="M9" s="39">
        <f t="shared" si="1"/>
        <v>0.5</v>
      </c>
      <c r="N9" s="39">
        <f t="shared" si="1"/>
        <v>0.15011874068810688</v>
      </c>
      <c r="O9" s="39">
        <f t="shared" si="1"/>
        <v>0.125</v>
      </c>
      <c r="P9" s="39">
        <f t="shared" si="1"/>
        <v>0.56826125000000005</v>
      </c>
      <c r="Q9" s="39">
        <f t="shared" si="1"/>
        <v>3.574255730669211E-3</v>
      </c>
    </row>
    <row r="10" spans="1:17">
      <c r="A10" s="12"/>
      <c r="B10" s="12"/>
      <c r="D10" s="40" t="s">
        <v>77</v>
      </c>
      <c r="E10" s="46" t="s">
        <v>89</v>
      </c>
      <c r="F10" s="39">
        <f t="shared" si="1"/>
        <v>192</v>
      </c>
      <c r="G10" s="39">
        <f t="shared" si="1"/>
        <v>64</v>
      </c>
      <c r="H10" s="39">
        <f t="shared" si="1"/>
        <v>32</v>
      </c>
      <c r="I10" s="39">
        <f t="shared" si="1"/>
        <v>4</v>
      </c>
      <c r="J10" s="39">
        <f t="shared" si="1"/>
        <v>2</v>
      </c>
      <c r="K10" s="39">
        <f t="shared" si="1"/>
        <v>1.6653483692579776</v>
      </c>
      <c r="L10" s="39">
        <f t="shared" si="1"/>
        <v>1</v>
      </c>
      <c r="M10" s="39">
        <f t="shared" si="1"/>
        <v>0.83267418462898879</v>
      </c>
      <c r="N10" s="39">
        <f t="shared" si="1"/>
        <v>0.25</v>
      </c>
      <c r="O10" s="39">
        <f t="shared" si="1"/>
        <v>0.2081685461572472</v>
      </c>
      <c r="P10" s="39">
        <f t="shared" si="1"/>
        <v>0.94635294599999997</v>
      </c>
      <c r="Q10" s="39">
        <f t="shared" si="1"/>
        <v>5.9523809523809521E-3</v>
      </c>
    </row>
    <row r="11" spans="1:17">
      <c r="A11" s="41" t="s">
        <v>110</v>
      </c>
      <c r="B11" s="41" t="s">
        <v>111</v>
      </c>
      <c r="D11" s="40" t="s">
        <v>78</v>
      </c>
      <c r="E11" s="46" t="s">
        <v>90</v>
      </c>
      <c r="F11" s="39">
        <f>CONVERT(1,$E11,F$3)</f>
        <v>230.58238569693216</v>
      </c>
      <c r="G11" s="39">
        <f t="shared" si="1"/>
        <v>76.860795232310721</v>
      </c>
      <c r="H11" s="39">
        <f t="shared" si="1"/>
        <v>38.430397616155361</v>
      </c>
      <c r="I11" s="39">
        <f t="shared" si="1"/>
        <v>4.8037997020194201</v>
      </c>
      <c r="J11" s="39">
        <f t="shared" si="1"/>
        <v>2.40189985100971</v>
      </c>
      <c r="K11" s="39">
        <f t="shared" si="1"/>
        <v>2</v>
      </c>
      <c r="L11" s="39">
        <f t="shared" si="1"/>
        <v>1.200949925504855</v>
      </c>
      <c r="M11" s="39">
        <f t="shared" si="1"/>
        <v>1</v>
      </c>
      <c r="N11" s="39">
        <f t="shared" si="1"/>
        <v>0.30023748137621376</v>
      </c>
      <c r="O11" s="39">
        <f t="shared" si="1"/>
        <v>0.25</v>
      </c>
      <c r="P11" s="39">
        <f t="shared" si="1"/>
        <v>1.1365225000000001</v>
      </c>
      <c r="Q11" s="39">
        <f t="shared" si="1"/>
        <v>7.1485114613384221E-3</v>
      </c>
    </row>
    <row r="12" spans="1:17">
      <c r="A12" s="42">
        <v>1</v>
      </c>
      <c r="B12" s="42" t="e">
        <f>CONVERT(100,"Gal", "l")</f>
        <v>#N/A</v>
      </c>
      <c r="D12" s="40" t="s">
        <v>95</v>
      </c>
      <c r="E12" s="46" t="s">
        <v>91</v>
      </c>
      <c r="F12" s="39">
        <f t="shared" si="1"/>
        <v>768</v>
      </c>
      <c r="G12" s="39">
        <f t="shared" si="1"/>
        <v>256</v>
      </c>
      <c r="H12" s="39">
        <f t="shared" si="1"/>
        <v>128</v>
      </c>
      <c r="I12" s="39">
        <f t="shared" si="1"/>
        <v>16</v>
      </c>
      <c r="J12" s="39">
        <f t="shared" si="1"/>
        <v>8</v>
      </c>
      <c r="K12" s="39">
        <f t="shared" si="1"/>
        <v>6.6613934770319103</v>
      </c>
      <c r="L12" s="39">
        <f t="shared" si="1"/>
        <v>4</v>
      </c>
      <c r="M12" s="39">
        <f t="shared" si="1"/>
        <v>3.3306967385159552</v>
      </c>
      <c r="N12" s="39">
        <f t="shared" si="1"/>
        <v>1</v>
      </c>
      <c r="O12" s="39">
        <f t="shared" si="1"/>
        <v>0.83267418462898879</v>
      </c>
      <c r="P12" s="39">
        <f t="shared" si="1"/>
        <v>3.7854117839999999</v>
      </c>
      <c r="Q12" s="39">
        <f t="shared" si="1"/>
        <v>2.3809523809523808E-2</v>
      </c>
    </row>
    <row r="13" spans="1:17">
      <c r="A13" s="12"/>
      <c r="B13" s="12"/>
      <c r="D13" s="40" t="s">
        <v>80</v>
      </c>
      <c r="E13" s="46" t="s">
        <v>92</v>
      </c>
      <c r="F13" s="39">
        <f t="shared" si="1"/>
        <v>922.32954278772866</v>
      </c>
      <c r="G13" s="39">
        <f t="shared" si="1"/>
        <v>307.44318092924289</v>
      </c>
      <c r="H13" s="39">
        <f t="shared" si="1"/>
        <v>153.72159046462144</v>
      </c>
      <c r="I13" s="39">
        <f t="shared" si="1"/>
        <v>19.21519880807768</v>
      </c>
      <c r="J13" s="39">
        <f t="shared" si="1"/>
        <v>9.6075994040388402</v>
      </c>
      <c r="K13" s="39">
        <f t="shared" si="1"/>
        <v>8</v>
      </c>
      <c r="L13" s="39">
        <f t="shared" si="1"/>
        <v>4.8037997020194201</v>
      </c>
      <c r="M13" s="39">
        <f t="shared" si="1"/>
        <v>4</v>
      </c>
      <c r="N13" s="39">
        <f t="shared" si="1"/>
        <v>1.200949925504855</v>
      </c>
      <c r="O13" s="39">
        <f t="shared" si="1"/>
        <v>1</v>
      </c>
      <c r="P13" s="39">
        <f t="shared" si="1"/>
        <v>4.5460900000000004</v>
      </c>
      <c r="Q13" s="39">
        <f t="shared" si="1"/>
        <v>2.8594045845353688E-2</v>
      </c>
    </row>
    <row r="14" spans="1:17">
      <c r="D14" s="40" t="s">
        <v>81</v>
      </c>
      <c r="E14" s="46" t="s">
        <v>93</v>
      </c>
      <c r="F14" s="39">
        <f t="shared" si="1"/>
        <v>202.88413621105798</v>
      </c>
      <c r="G14" s="39">
        <f t="shared" si="1"/>
        <v>67.628045403686002</v>
      </c>
      <c r="H14" s="39">
        <f t="shared" si="1"/>
        <v>33.814022701843001</v>
      </c>
      <c r="I14" s="39">
        <f t="shared" si="1"/>
        <v>4.2267528377303751</v>
      </c>
      <c r="J14" s="39">
        <f t="shared" si="1"/>
        <v>2.1133764188651876</v>
      </c>
      <c r="K14" s="39">
        <f t="shared" si="1"/>
        <v>1.7597539863927021</v>
      </c>
      <c r="L14" s="39">
        <f t="shared" si="1"/>
        <v>1.0566882094325938</v>
      </c>
      <c r="M14" s="39">
        <f t="shared" si="1"/>
        <v>0.87987699319635104</v>
      </c>
      <c r="N14" s="39">
        <f t="shared" si="1"/>
        <v>0.26417205235814845</v>
      </c>
      <c r="O14" s="39">
        <f t="shared" si="1"/>
        <v>0.21996924829908776</v>
      </c>
      <c r="P14" s="39">
        <f t="shared" si="1"/>
        <v>1</v>
      </c>
      <c r="Q14" s="39">
        <f t="shared" si="1"/>
        <v>6.2898107704321051E-3</v>
      </c>
    </row>
    <row r="15" spans="1:17">
      <c r="D15" s="40" t="s">
        <v>82</v>
      </c>
      <c r="E15" s="46" t="s">
        <v>94</v>
      </c>
      <c r="F15" s="39">
        <f t="shared" si="1"/>
        <v>32256.000000000004</v>
      </c>
      <c r="G15" s="39">
        <f t="shared" si="1"/>
        <v>10752.000000000002</v>
      </c>
      <c r="H15" s="39">
        <f t="shared" si="1"/>
        <v>5376.0000000000009</v>
      </c>
      <c r="I15" s="39">
        <f t="shared" si="1"/>
        <v>672.00000000000011</v>
      </c>
      <c r="J15" s="39">
        <f t="shared" si="1"/>
        <v>336.00000000000006</v>
      </c>
      <c r="K15" s="39">
        <f t="shared" si="1"/>
        <v>279.77852603534024</v>
      </c>
      <c r="L15" s="39">
        <f t="shared" si="1"/>
        <v>168.00000000000003</v>
      </c>
      <c r="M15" s="39">
        <f t="shared" si="1"/>
        <v>139.88926301767012</v>
      </c>
      <c r="N15" s="39">
        <f t="shared" si="1"/>
        <v>42.000000000000007</v>
      </c>
      <c r="O15" s="39">
        <f t="shared" si="1"/>
        <v>34.972315754417529</v>
      </c>
      <c r="P15" s="39">
        <f t="shared" si="1"/>
        <v>158.98729492800001</v>
      </c>
      <c r="Q15" s="39">
        <f t="shared" si="1"/>
        <v>1</v>
      </c>
    </row>
    <row r="16" spans="1:17">
      <c r="D16" s="40" t="s">
        <v>96</v>
      </c>
      <c r="E16" s="46" t="s">
        <v>97</v>
      </c>
      <c r="F16" s="39">
        <f t="shared" si="1"/>
        <v>5745.0389610389611</v>
      </c>
      <c r="G16" s="39">
        <f t="shared" si="1"/>
        <v>1915.0129870129872</v>
      </c>
      <c r="H16" s="39">
        <f t="shared" si="1"/>
        <v>957.5064935064936</v>
      </c>
      <c r="I16" s="39">
        <f t="shared" si="1"/>
        <v>119.6883116883117</v>
      </c>
      <c r="J16" s="39">
        <f t="shared" si="1"/>
        <v>59.84415584415585</v>
      </c>
      <c r="K16" s="39">
        <f t="shared" si="1"/>
        <v>49.830683672342602</v>
      </c>
      <c r="L16" s="39">
        <f t="shared" si="1"/>
        <v>29.922077922077925</v>
      </c>
      <c r="M16" s="39">
        <f t="shared" si="1"/>
        <v>24.915341836171301</v>
      </c>
      <c r="N16" s="39">
        <f t="shared" si="1"/>
        <v>7.4805194805194812</v>
      </c>
      <c r="O16" s="39">
        <f t="shared" si="1"/>
        <v>6.2288354590428252</v>
      </c>
      <c r="P16" s="39">
        <f t="shared" si="1"/>
        <v>28.316846592000001</v>
      </c>
      <c r="Q16" s="39">
        <f t="shared" si="1"/>
        <v>0.17810760667903525</v>
      </c>
    </row>
    <row r="17" spans="4:17">
      <c r="D17" s="40" t="s">
        <v>98</v>
      </c>
      <c r="E17" s="46" t="s">
        <v>99</v>
      </c>
      <c r="F17" s="39">
        <f t="shared" si="1"/>
        <v>3.3246753246753249</v>
      </c>
      <c r="G17" s="39">
        <f t="shared" si="1"/>
        <v>1.1082251082251082</v>
      </c>
      <c r="H17" s="39">
        <f t="shared" si="1"/>
        <v>0.55411255411255411</v>
      </c>
      <c r="I17" s="39">
        <f t="shared" si="1"/>
        <v>6.9264069264069264E-2</v>
      </c>
      <c r="J17" s="39">
        <f t="shared" si="1"/>
        <v>3.4632034632034632E-2</v>
      </c>
      <c r="K17" s="39">
        <f t="shared" si="1"/>
        <v>2.8837201199272338E-2</v>
      </c>
      <c r="L17" s="39">
        <f t="shared" si="1"/>
        <v>1.7316017316017316E-2</v>
      </c>
      <c r="M17" s="39">
        <f t="shared" si="1"/>
        <v>1.4418600599636169E-2</v>
      </c>
      <c r="N17" s="39">
        <f t="shared" si="1"/>
        <v>4.329004329004329E-3</v>
      </c>
      <c r="O17" s="39">
        <f t="shared" si="1"/>
        <v>3.6046501499090423E-3</v>
      </c>
      <c r="P17" s="39">
        <f t="shared" si="1"/>
        <v>1.6387064E-2</v>
      </c>
      <c r="Q17" s="39">
        <f t="shared" si="1"/>
        <v>1.0307153164296021E-4</v>
      </c>
    </row>
    <row r="18" spans="4:17">
      <c r="D18" s="40" t="s">
        <v>100</v>
      </c>
      <c r="E18" s="46" t="s">
        <v>101</v>
      </c>
      <c r="F18" s="39">
        <f t="shared" si="1"/>
        <v>202884.13621105798</v>
      </c>
      <c r="G18" s="39">
        <f t="shared" si="1"/>
        <v>67628.045403686003</v>
      </c>
      <c r="H18" s="39">
        <f t="shared" si="1"/>
        <v>33814.022701843001</v>
      </c>
      <c r="I18" s="39">
        <f t="shared" si="1"/>
        <v>4226.7528377303752</v>
      </c>
      <c r="J18" s="39">
        <f t="shared" si="1"/>
        <v>2113.3764188651876</v>
      </c>
      <c r="K18" s="39">
        <f t="shared" si="1"/>
        <v>1759.7539863927022</v>
      </c>
      <c r="L18" s="39">
        <f t="shared" si="1"/>
        <v>1056.6882094325938</v>
      </c>
      <c r="M18" s="39">
        <f t="shared" si="1"/>
        <v>879.87699319635112</v>
      </c>
      <c r="N18" s="39">
        <f t="shared" si="1"/>
        <v>264.17205235814845</v>
      </c>
      <c r="O18" s="39">
        <f t="shared" si="1"/>
        <v>219.96924829908778</v>
      </c>
      <c r="P18" s="39">
        <f t="shared" si="1"/>
        <v>1000</v>
      </c>
      <c r="Q18" s="39">
        <f t="shared" si="1"/>
        <v>6.2898107704321049</v>
      </c>
    </row>
    <row r="19" spans="4:17">
      <c r="D19" s="40" t="s">
        <v>102</v>
      </c>
      <c r="E19" s="46" t="s">
        <v>103</v>
      </c>
      <c r="F19" s="39">
        <f t="shared" si="1"/>
        <v>155116.05194805196</v>
      </c>
      <c r="G19" s="39">
        <f t="shared" si="1"/>
        <v>51705.35064935065</v>
      </c>
      <c r="H19" s="39">
        <f t="shared" si="1"/>
        <v>25852.675324675325</v>
      </c>
      <c r="I19" s="39">
        <f t="shared" si="1"/>
        <v>3231.5844155844156</v>
      </c>
      <c r="J19" s="39">
        <f t="shared" si="1"/>
        <v>1615.7922077922078</v>
      </c>
      <c r="K19" s="39">
        <f t="shared" si="1"/>
        <v>1345.4284591532503</v>
      </c>
      <c r="L19" s="39">
        <f t="shared" si="1"/>
        <v>807.89610389610391</v>
      </c>
      <c r="M19" s="39">
        <f t="shared" si="1"/>
        <v>672.71422957662514</v>
      </c>
      <c r="N19" s="39">
        <f t="shared" si="1"/>
        <v>201.97402597402598</v>
      </c>
      <c r="O19" s="39">
        <f t="shared" si="1"/>
        <v>168.17855739415629</v>
      </c>
      <c r="P19" s="39">
        <f t="shared" si="1"/>
        <v>764.55485798400002</v>
      </c>
      <c r="Q19" s="39">
        <f t="shared" si="1"/>
        <v>4.8089053803339512</v>
      </c>
    </row>
    <row r="20" spans="4:17">
      <c r="D20" s="40" t="s">
        <v>104</v>
      </c>
      <c r="E20" s="46" t="s">
        <v>105</v>
      </c>
      <c r="F20" s="39">
        <f t="shared" si="1"/>
        <v>8.9074163148237244E-6</v>
      </c>
      <c r="G20" s="39">
        <f t="shared" si="1"/>
        <v>2.9691387716079077E-6</v>
      </c>
      <c r="H20" s="39">
        <f t="shared" si="1"/>
        <v>1.4845693858039539E-6</v>
      </c>
      <c r="I20" s="39">
        <f t="shared" si="1"/>
        <v>1.8557117322549423E-7</v>
      </c>
      <c r="J20" s="39">
        <f t="shared" si="1"/>
        <v>9.2785586612747116E-8</v>
      </c>
      <c r="K20" s="39">
        <f t="shared" si="1"/>
        <v>7.7260162678091627E-8</v>
      </c>
      <c r="L20" s="39">
        <f t="shared" si="1"/>
        <v>4.6392793306373558E-8</v>
      </c>
      <c r="M20" s="39">
        <f t="shared" si="1"/>
        <v>3.8630081339045814E-8</v>
      </c>
      <c r="N20" s="39">
        <f t="shared" si="1"/>
        <v>1.159819832659339E-8</v>
      </c>
      <c r="O20" s="39">
        <f t="shared" si="1"/>
        <v>9.6575203347614534E-9</v>
      </c>
      <c r="P20" s="39">
        <f t="shared" si="1"/>
        <v>4.3903956618655699E-8</v>
      </c>
      <c r="Q20" s="39">
        <f t="shared" si="1"/>
        <v>2.7614757920460452E-10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D12"/>
  <sheetViews>
    <sheetView workbookViewId="0"/>
  </sheetViews>
  <sheetFormatPr defaultRowHeight="15"/>
  <cols>
    <col min="2" max="3" width="14.7109375" style="55" customWidth="1"/>
    <col min="4" max="4" width="19" bestFit="1" customWidth="1"/>
  </cols>
  <sheetData>
    <row r="2" spans="2:4">
      <c r="B2" s="10" t="s">
        <v>136</v>
      </c>
      <c r="C2" s="10" t="s">
        <v>135</v>
      </c>
      <c r="D2" s="2" t="s">
        <v>134</v>
      </c>
    </row>
    <row r="3" spans="2:4">
      <c r="B3" s="57" t="s">
        <v>133</v>
      </c>
      <c r="C3" s="57" t="s">
        <v>132</v>
      </c>
      <c r="D3" t="str">
        <f>B3&amp;" "&amp;C3</f>
        <v>Guy Gilbert</v>
      </c>
    </row>
    <row r="4" spans="2:4">
      <c r="B4" s="57" t="s">
        <v>131</v>
      </c>
      <c r="C4" s="57" t="s">
        <v>130</v>
      </c>
      <c r="D4" t="str">
        <f>B4&amp;" "&amp;C4</f>
        <v>Kevin Brown</v>
      </c>
    </row>
    <row r="5" spans="2:4">
      <c r="B5" s="57" t="s">
        <v>129</v>
      </c>
      <c r="C5" s="57" t="s">
        <v>128</v>
      </c>
      <c r="D5" t="str">
        <f>B5&amp;" "&amp;C5</f>
        <v>Roberto Tamburello</v>
      </c>
    </row>
    <row r="6" spans="2:4">
      <c r="B6" s="57" t="s">
        <v>127</v>
      </c>
      <c r="C6" s="57" t="s">
        <v>126</v>
      </c>
      <c r="D6" t="str">
        <f>B6&amp;" "&amp;C6</f>
        <v>Rob Walters</v>
      </c>
    </row>
    <row r="7" spans="2:4">
      <c r="B7" s="57" t="s">
        <v>125</v>
      </c>
      <c r="C7" s="57" t="s">
        <v>124</v>
      </c>
      <c r="D7" t="str">
        <f>B7&amp;" "&amp;C7</f>
        <v>Thierry Alexander</v>
      </c>
    </row>
    <row r="8" spans="2:4">
      <c r="B8" s="57" t="s">
        <v>123</v>
      </c>
      <c r="C8" s="57" t="s">
        <v>122</v>
      </c>
      <c r="D8" t="str">
        <f>B8&amp;" "&amp;C8</f>
        <v>David Bradley</v>
      </c>
    </row>
    <row r="9" spans="2:4">
      <c r="B9" s="57" t="s">
        <v>121</v>
      </c>
      <c r="C9" s="57" t="s">
        <v>120</v>
      </c>
      <c r="D9" t="str">
        <f>B9&amp;" "&amp;C9</f>
        <v>JoLynn Dobney</v>
      </c>
    </row>
    <row r="10" spans="2:4">
      <c r="B10" s="57" t="s">
        <v>119</v>
      </c>
      <c r="C10" s="57" t="s">
        <v>118</v>
      </c>
      <c r="D10" t="str">
        <f>B10&amp;" "&amp;C10</f>
        <v>Ruth Ellerbrock</v>
      </c>
    </row>
    <row r="11" spans="2:4">
      <c r="B11" s="56" t="s">
        <v>117</v>
      </c>
      <c r="C11" s="56" t="s">
        <v>116</v>
      </c>
      <c r="D11" t="str">
        <f>B11&amp;" "&amp;C11</f>
        <v>Doris Hartwig</v>
      </c>
    </row>
    <row r="12" spans="2:4">
      <c r="B12" s="56" t="s">
        <v>115</v>
      </c>
      <c r="C12" s="56" t="s">
        <v>114</v>
      </c>
      <c r="D12" t="str">
        <f>B12&amp;" "&amp;C12</f>
        <v>John Campbell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4:C10"/>
  <sheetViews>
    <sheetView workbookViewId="0"/>
  </sheetViews>
  <sheetFormatPr defaultRowHeight="15"/>
  <cols>
    <col min="1" max="1" width="5" customWidth="1"/>
    <col min="2" max="2" width="47.140625" bestFit="1" customWidth="1"/>
    <col min="3" max="3" width="47.85546875" bestFit="1" customWidth="1"/>
  </cols>
  <sheetData>
    <row r="4" spans="2:3">
      <c r="C4" t="s">
        <v>141</v>
      </c>
    </row>
    <row r="6" spans="2:3">
      <c r="B6" s="58" t="s">
        <v>140</v>
      </c>
      <c r="C6" t="str">
        <f>UPPER(C4)</f>
        <v>THE QUICK BROWN FOX JUMPS OVER THE LAZY DOG.</v>
      </c>
    </row>
    <row r="7" spans="2:3">
      <c r="B7" s="58" t="s">
        <v>139</v>
      </c>
      <c r="C7" t="str">
        <f>LOWER(C4)</f>
        <v>the quick brown fox jumps over the lazy dog.</v>
      </c>
    </row>
    <row r="8" spans="2:3">
      <c r="B8" s="58" t="s">
        <v>138</v>
      </c>
      <c r="C8" t="str">
        <f>PROPER(C4)</f>
        <v>The Quick Brown Fox Jumps Over The Lazy Dog.</v>
      </c>
    </row>
    <row r="10" spans="2:3">
      <c r="B10" s="58" t="s">
        <v>137</v>
      </c>
      <c r="C10" t="str">
        <f>UPPER(LEFT(C4,1))&amp;LOWER(RIGHT(C4,LEN(C4)-1))</f>
        <v>The quick brown fox jumps over the lazy dog.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3:C7"/>
  <sheetViews>
    <sheetView workbookViewId="0"/>
  </sheetViews>
  <sheetFormatPr defaultRowHeight="15"/>
  <cols>
    <col min="2" max="2" width="14.85546875" bestFit="1" customWidth="1"/>
    <col min="3" max="3" width="13.42578125" bestFit="1" customWidth="1"/>
  </cols>
  <sheetData>
    <row r="3" spans="2:3">
      <c r="B3" s="2" t="s">
        <v>147</v>
      </c>
      <c r="C3" s="2" t="s">
        <v>146</v>
      </c>
    </row>
    <row r="4" spans="2:3">
      <c r="B4" t="s">
        <v>145</v>
      </c>
      <c r="C4" t="str">
        <f>TRIM(B4)</f>
        <v>ABCD</v>
      </c>
    </row>
    <row r="5" spans="2:3">
      <c r="B5" t="s">
        <v>144</v>
      </c>
      <c r="C5" t="str">
        <f>TRIM(B5)</f>
        <v>A B C D</v>
      </c>
    </row>
    <row r="6" spans="2:3">
      <c r="B6" t="s">
        <v>143</v>
      </c>
      <c r="C6" t="str">
        <f>TRIM(B6)</f>
        <v>Alan Jones</v>
      </c>
    </row>
    <row r="7" spans="2:3">
      <c r="B7" t="s">
        <v>142</v>
      </c>
      <c r="C7" t="str">
        <f>TRIM(B7)</f>
        <v>ABCD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C16"/>
  <sheetViews>
    <sheetView showGridLines="0" workbookViewId="0"/>
  </sheetViews>
  <sheetFormatPr defaultColWidth="22.140625" defaultRowHeight="15"/>
  <cols>
    <col min="1" max="1" width="16" style="60" customWidth="1"/>
    <col min="2" max="2" width="22.140625" style="59"/>
  </cols>
  <sheetData>
    <row r="2" spans="1:3" ht="30" customHeight="1">
      <c r="A2" s="63" t="s">
        <v>165</v>
      </c>
      <c r="B2" s="63"/>
    </row>
    <row r="3" spans="1:3">
      <c r="A3" s="10" t="s">
        <v>164</v>
      </c>
      <c r="B3" s="10" t="s">
        <v>164</v>
      </c>
    </row>
    <row r="4" spans="1:3">
      <c r="A4" s="64" t="s">
        <v>163</v>
      </c>
      <c r="B4" s="64" t="str">
        <f>LEFT(A4,5)</f>
        <v>70056</v>
      </c>
      <c r="C4" s="61" t="s">
        <v>162</v>
      </c>
    </row>
    <row r="5" spans="1:3">
      <c r="A5" s="64" t="s">
        <v>161</v>
      </c>
      <c r="B5" s="64" t="str">
        <f>LEFT(A5,5)</f>
        <v>75023</v>
      </c>
      <c r="C5" s="61" t="s">
        <v>160</v>
      </c>
    </row>
    <row r="7" spans="1:3" ht="27.75" customHeight="1">
      <c r="A7" s="63" t="s">
        <v>159</v>
      </c>
      <c r="B7" s="63"/>
    </row>
    <row r="8" spans="1:3">
      <c r="A8" s="10" t="s">
        <v>158</v>
      </c>
      <c r="B8" s="10" t="s">
        <v>158</v>
      </c>
    </row>
    <row r="9" spans="1:3">
      <c r="A9" s="62" t="s">
        <v>157</v>
      </c>
      <c r="B9" s="62" t="str">
        <f>RIGHT(A9,8)</f>
        <v>887-7765</v>
      </c>
      <c r="C9" s="61" t="s">
        <v>156</v>
      </c>
    </row>
    <row r="10" spans="1:3">
      <c r="A10" s="62" t="s">
        <v>155</v>
      </c>
      <c r="B10" s="62" t="str">
        <f>RIGHT(A10,8)</f>
        <v>654-2180</v>
      </c>
      <c r="C10" s="61" t="s">
        <v>154</v>
      </c>
    </row>
    <row r="12" spans="1:3" ht="25.5" customHeight="1">
      <c r="A12" s="63" t="s">
        <v>153</v>
      </c>
      <c r="B12" s="63"/>
    </row>
    <row r="13" spans="1:3">
      <c r="A13" s="10" t="s">
        <v>152</v>
      </c>
      <c r="B13" s="10" t="s">
        <v>151</v>
      </c>
    </row>
    <row r="14" spans="1:3">
      <c r="A14" s="62">
        <v>2214001</v>
      </c>
      <c r="B14" s="62" t="str">
        <f>MID(A14,4,1)</f>
        <v>4</v>
      </c>
      <c r="C14" s="61" t="s">
        <v>150</v>
      </c>
    </row>
    <row r="15" spans="1:3">
      <c r="A15" s="62">
        <v>5542075</v>
      </c>
      <c r="B15" s="62" t="str">
        <f>MID(A15,4,1)</f>
        <v>2</v>
      </c>
      <c r="C15" s="61" t="s">
        <v>149</v>
      </c>
    </row>
    <row r="16" spans="1:3">
      <c r="A16" s="62">
        <v>1113543</v>
      </c>
      <c r="B16" s="62" t="str">
        <f>MID(A16,4,1)</f>
        <v>3</v>
      </c>
      <c r="C16" s="61" t="s">
        <v>148</v>
      </c>
    </row>
  </sheetData>
  <mergeCells count="3">
    <mergeCell ref="A2:B2"/>
    <mergeCell ref="A7:B7"/>
    <mergeCell ref="A12:B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C7"/>
  <sheetViews>
    <sheetView workbookViewId="0"/>
  </sheetViews>
  <sheetFormatPr defaultRowHeight="15"/>
  <cols>
    <col min="2" max="2" width="16" bestFit="1" customWidth="1"/>
    <col min="3" max="3" width="36.85546875" customWidth="1"/>
  </cols>
  <sheetData>
    <row r="2" spans="2:3">
      <c r="B2" s="2" t="s">
        <v>172</v>
      </c>
      <c r="C2" s="2" t="s">
        <v>171</v>
      </c>
    </row>
    <row r="3" spans="2:3">
      <c r="B3" t="s">
        <v>170</v>
      </c>
      <c r="C3" s="12" t="str">
        <f>MID(B3,FIND("-",B3)+1,2)</f>
        <v>16</v>
      </c>
    </row>
    <row r="4" spans="2:3">
      <c r="B4" t="s">
        <v>169</v>
      </c>
      <c r="C4" s="12" t="str">
        <f>MID(B4,FIND("-",B4)+1,2)</f>
        <v>18</v>
      </c>
    </row>
    <row r="5" spans="2:3">
      <c r="B5" t="s">
        <v>168</v>
      </c>
      <c r="C5" s="12" t="str">
        <f>MID(B5,FIND("-",B5)+1,2)</f>
        <v>19</v>
      </c>
    </row>
    <row r="6" spans="2:3">
      <c r="B6" t="s">
        <v>167</v>
      </c>
      <c r="C6" s="12" t="str">
        <f>MID(B6,FIND("-",B6)+1,2)</f>
        <v>22</v>
      </c>
    </row>
    <row r="7" spans="2:3">
      <c r="B7" t="s">
        <v>166</v>
      </c>
      <c r="C7" s="12" t="str">
        <f>MID(B7,FIND("-",B7)+1,2)</f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C7"/>
  <sheetViews>
    <sheetView workbookViewId="0"/>
  </sheetViews>
  <sheetFormatPr defaultRowHeight="15"/>
  <cols>
    <col min="2" max="2" width="16" bestFit="1" customWidth="1"/>
    <col min="3" max="3" width="26" bestFit="1" customWidth="1"/>
  </cols>
  <sheetData>
    <row r="2" spans="2:3">
      <c r="B2" s="2" t="s">
        <v>172</v>
      </c>
      <c r="C2" s="2" t="s">
        <v>173</v>
      </c>
    </row>
    <row r="3" spans="2:3">
      <c r="B3" t="s">
        <v>170</v>
      </c>
      <c r="C3" s="12" t="str">
        <f>MID(B3,FIND("-",B3,FIND("-",B3)+1)+1,10000)</f>
        <v>Small</v>
      </c>
    </row>
    <row r="4" spans="2:3">
      <c r="B4" t="s">
        <v>169</v>
      </c>
      <c r="C4" s="12" t="str">
        <f>MID(B4,FIND("-",B4,FIND("-",B4)+1)+1,10000)</f>
        <v>Medium</v>
      </c>
    </row>
    <row r="5" spans="2:3">
      <c r="B5" t="s">
        <v>168</v>
      </c>
      <c r="C5" s="12" t="str">
        <f>MID(B5,FIND("-",B5,FIND("-",B5)+1)+1,10000)</f>
        <v>Large</v>
      </c>
    </row>
    <row r="6" spans="2:3">
      <c r="B6" t="s">
        <v>167</v>
      </c>
      <c r="C6" s="12" t="str">
        <f>MID(B6,FIND("-",B6,FIND("-",B6)+1)+1,10000)</f>
        <v>Medium</v>
      </c>
    </row>
    <row r="7" spans="2:3">
      <c r="B7" t="s">
        <v>166</v>
      </c>
      <c r="C7" s="12" t="str">
        <f>MID(B7,FIND("-",B7,FIND("-",B7)+1)+1,10000)</f>
        <v>Large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3:E6"/>
  <sheetViews>
    <sheetView workbookViewId="0"/>
  </sheetViews>
  <sheetFormatPr defaultRowHeight="15"/>
  <cols>
    <col min="1" max="1" width="2.7109375" customWidth="1"/>
    <col min="2" max="2" width="18.85546875" bestFit="1" customWidth="1"/>
    <col min="3" max="3" width="16.5703125" bestFit="1" customWidth="1"/>
    <col min="4" max="4" width="1.7109375" customWidth="1"/>
    <col min="5" max="5" width="17.85546875" bestFit="1" customWidth="1"/>
  </cols>
  <sheetData>
    <row r="3" spans="2:5">
      <c r="B3" s="2" t="s">
        <v>179</v>
      </c>
      <c r="C3" s="2" t="s">
        <v>178</v>
      </c>
      <c r="E3" s="2" t="s">
        <v>177</v>
      </c>
    </row>
    <row r="4" spans="2:5">
      <c r="B4" t="s">
        <v>176</v>
      </c>
      <c r="C4" t="str">
        <f>PROPER(B4)</f>
        <v>Starbuck'S Coffee</v>
      </c>
      <c r="E4" t="str">
        <f>SUBSTITUTE(PROPER(SUBSTITUTE(B4,"'","qzx")),"qzx","'")</f>
        <v>Starbuck's Coffee</v>
      </c>
    </row>
    <row r="5" spans="2:5">
      <c r="B5" t="s">
        <v>175</v>
      </c>
      <c r="C5" t="str">
        <f>PROPER(B5)</f>
        <v>Mcdonald'S</v>
      </c>
      <c r="E5" t="str">
        <f>SUBSTITUTE(PROPER(SUBSTITUTE(B5,"'","qzx")),"qzx","'")</f>
        <v>Mcdonald's</v>
      </c>
    </row>
    <row r="6" spans="2:5">
      <c r="B6" t="s">
        <v>174</v>
      </c>
      <c r="C6" t="str">
        <f>PROPER(B6)</f>
        <v>Michael'S Deli</v>
      </c>
      <c r="E6" t="str">
        <f>SUBSTITUTE(PROPER(SUBSTITUTE(B6,"'","qzx")),"qzx","'")</f>
        <v>Michael's Deli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3:C4"/>
  <sheetViews>
    <sheetView workbookViewId="0"/>
  </sheetViews>
  <sheetFormatPr defaultRowHeight="15"/>
  <cols>
    <col min="2" max="2" width="24" customWidth="1"/>
    <col min="3" max="3" width="37.28515625" customWidth="1"/>
  </cols>
  <sheetData>
    <row r="3" spans="2:3">
      <c r="C3" t="s">
        <v>181</v>
      </c>
    </row>
    <row r="4" spans="2:3" ht="30">
      <c r="B4" s="53" t="s">
        <v>180</v>
      </c>
      <c r="C4" s="12">
        <f>LEN(B4)-LEN(SUBSTITUTE(B4," ",""))+1</f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C8"/>
  <sheetViews>
    <sheetView workbookViewId="0"/>
  </sheetViews>
  <sheetFormatPr defaultRowHeight="15"/>
  <cols>
    <col min="2" max="2" width="21" customWidth="1"/>
    <col min="3" max="3" width="9.85546875" bestFit="1" customWidth="1"/>
    <col min="4" max="4" width="19.7109375" customWidth="1"/>
  </cols>
  <sheetData>
    <row r="2" spans="1:3">
      <c r="C2" t="s">
        <v>8</v>
      </c>
    </row>
    <row r="3" spans="1:3">
      <c r="A3" t="s">
        <v>187</v>
      </c>
      <c r="B3" t="str">
        <f>A3&amp;CHAR(10)&amp; C3</f>
        <v>Mike
843</v>
      </c>
      <c r="C3">
        <v>843</v>
      </c>
    </row>
    <row r="4" spans="1:3">
      <c r="A4" t="s">
        <v>186</v>
      </c>
      <c r="B4" t="str">
        <f>A4&amp;CHAR(10)&amp; C4</f>
        <v>Mary
573</v>
      </c>
      <c r="C4">
        <v>573</v>
      </c>
    </row>
    <row r="5" spans="1:3">
      <c r="A5" t="s">
        <v>185</v>
      </c>
      <c r="B5" t="str">
        <f>A5&amp;CHAR(10)&amp; C5</f>
        <v>Ethan
858</v>
      </c>
      <c r="C5">
        <v>858</v>
      </c>
    </row>
    <row r="6" spans="1:3">
      <c r="A6" t="s">
        <v>184</v>
      </c>
      <c r="B6" t="str">
        <f>A6&amp;CHAR(10)&amp; C6</f>
        <v>Emma
890</v>
      </c>
      <c r="C6">
        <v>890</v>
      </c>
    </row>
    <row r="7" spans="1:3">
      <c r="A7" t="s">
        <v>183</v>
      </c>
      <c r="B7" t="str">
        <f>A7&amp;CHAR(10)&amp; C7</f>
        <v>Ava
602</v>
      </c>
      <c r="C7">
        <v>602</v>
      </c>
    </row>
    <row r="8" spans="1:3">
      <c r="A8" t="s">
        <v>182</v>
      </c>
      <c r="B8" t="str">
        <f>A8&amp;CHAR(10)&amp; C8</f>
        <v>Mia
984</v>
      </c>
      <c r="C8">
        <v>984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B2:C8"/>
  <sheetViews>
    <sheetView workbookViewId="0"/>
  </sheetViews>
  <sheetFormatPr defaultRowHeight="15"/>
  <cols>
    <col min="2" max="2" width="27.140625" bestFit="1" customWidth="1"/>
    <col min="3" max="3" width="27.85546875" customWidth="1"/>
  </cols>
  <sheetData>
    <row r="2" spans="2:3">
      <c r="B2" s="2" t="s">
        <v>195</v>
      </c>
      <c r="C2" s="2" t="s">
        <v>194</v>
      </c>
    </row>
    <row r="3" spans="2:3">
      <c r="B3" t="s">
        <v>193</v>
      </c>
      <c r="C3" t="str">
        <f>TRIM(CLEAN(B3))</f>
        <v>Detroit (Store #1)</v>
      </c>
    </row>
    <row r="4" spans="2:3">
      <c r="B4" t="s">
        <v>192</v>
      </c>
      <c r="C4" t="str">
        <f>TRIM(CLEAN(B4))</f>
        <v>Detroit (Store #2)</v>
      </c>
    </row>
    <row r="5" spans="2:3">
      <c r="B5" t="s">
        <v>191</v>
      </c>
      <c r="C5" t="str">
        <f>TRIM(CLEAN(B5))</f>
        <v>Detroit (Store #3)</v>
      </c>
    </row>
    <row r="6" spans="2:3">
      <c r="B6" t="s">
        <v>190</v>
      </c>
      <c r="C6" t="str">
        <f>TRIM(CLEAN(B6))</f>
        <v>Charlotte (Store #1)</v>
      </c>
    </row>
    <row r="7" spans="2:3">
      <c r="B7" t="s">
        <v>189</v>
      </c>
      <c r="C7" t="str">
        <f>TRIM(CLEAN(B7))</f>
        <v>Charlotte (Store #2)</v>
      </c>
    </row>
    <row r="8" spans="2:3">
      <c r="B8" t="s">
        <v>188</v>
      </c>
      <c r="C8" t="str">
        <f>TRIM(CLEAN(B8))</f>
        <v>Charlotte (Store #3)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3:C13"/>
  <sheetViews>
    <sheetView workbookViewId="0"/>
  </sheetViews>
  <sheetFormatPr defaultRowHeight="15"/>
  <cols>
    <col min="2" max="2" width="12.85546875" bestFit="1" customWidth="1"/>
    <col min="3" max="3" width="30.28515625" customWidth="1"/>
  </cols>
  <sheetData>
    <row r="3" spans="2:3">
      <c r="B3" s="10" t="s">
        <v>197</v>
      </c>
      <c r="C3" s="2" t="s">
        <v>196</v>
      </c>
    </row>
    <row r="4" spans="2:3">
      <c r="B4" s="65">
        <v>5381656</v>
      </c>
      <c r="C4" t="str">
        <f>LEFT(B4&amp;"0000000000", 10)</f>
        <v>5381656000</v>
      </c>
    </row>
    <row r="5" spans="2:3">
      <c r="B5" s="65">
        <v>832</v>
      </c>
      <c r="C5" t="str">
        <f>LEFT(B5&amp;"0000000000", 10)</f>
        <v>8320000000</v>
      </c>
    </row>
    <row r="6" spans="2:3">
      <c r="B6" s="65">
        <v>23</v>
      </c>
      <c r="C6" t="str">
        <f>LEFT(B6&amp;"0000000000", 10)</f>
        <v>2300000000</v>
      </c>
    </row>
    <row r="7" spans="2:3">
      <c r="B7" s="65">
        <v>290</v>
      </c>
      <c r="C7" t="str">
        <f>LEFT(B7&amp;"0000000000", 10)</f>
        <v>2900000000</v>
      </c>
    </row>
    <row r="8" spans="2:3">
      <c r="B8" s="65">
        <v>2036</v>
      </c>
      <c r="C8" t="str">
        <f>LEFT(B8&amp;"0000000000", 10)</f>
        <v>2036000000</v>
      </c>
    </row>
    <row r="9" spans="2:3">
      <c r="B9" s="65">
        <v>5965</v>
      </c>
      <c r="C9" t="str">
        <f>LEFT(B9&amp;"0000000000", 10)</f>
        <v>5965000000</v>
      </c>
    </row>
    <row r="10" spans="2:3">
      <c r="B10" s="65">
        <v>6</v>
      </c>
      <c r="C10" t="str">
        <f>LEFT(B10&amp;"0000000000", 10)</f>
        <v>6000000000</v>
      </c>
    </row>
    <row r="11" spans="2:3">
      <c r="B11" s="65">
        <v>7457</v>
      </c>
      <c r="C11" t="str">
        <f>LEFT(B11&amp;"0000000000", 10)</f>
        <v>7457000000</v>
      </c>
    </row>
    <row r="12" spans="2:3">
      <c r="B12" s="65">
        <v>2903</v>
      </c>
      <c r="C12" t="str">
        <f>LEFT(B12&amp;"0000000000", 10)</f>
        <v>2903000000</v>
      </c>
    </row>
    <row r="13" spans="2:3">
      <c r="B13" s="65">
        <v>6137</v>
      </c>
      <c r="C13" t="str">
        <f>LEFT(B13&amp;"0000000000", 10)</f>
        <v>6137000000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E12"/>
  <sheetViews>
    <sheetView workbookViewId="0"/>
  </sheetViews>
  <sheetFormatPr defaultRowHeight="15"/>
  <cols>
    <col min="2" max="2" width="11.140625" bestFit="1" customWidth="1"/>
    <col min="3" max="3" width="10.5703125" bestFit="1" customWidth="1"/>
    <col min="4" max="4" width="3.85546875" customWidth="1"/>
    <col min="5" max="5" width="26.85546875" customWidth="1"/>
  </cols>
  <sheetData>
    <row r="2" spans="2:5">
      <c r="B2" s="2" t="s">
        <v>199</v>
      </c>
      <c r="C2" s="2" t="s">
        <v>1</v>
      </c>
      <c r="E2" s="2" t="s">
        <v>198</v>
      </c>
    </row>
    <row r="3" spans="2:5">
      <c r="B3" s="57" t="s">
        <v>132</v>
      </c>
      <c r="C3" s="66">
        <v>6820</v>
      </c>
      <c r="E3" s="5" t="str">
        <f>B3&amp;": "&amp;TEXT(C3, "$0,000")</f>
        <v>Gilbert: $6,820</v>
      </c>
    </row>
    <row r="4" spans="2:5">
      <c r="B4" s="57" t="s">
        <v>130</v>
      </c>
      <c r="C4" s="66">
        <v>5205</v>
      </c>
      <c r="E4" s="5" t="str">
        <f>B4&amp;": "&amp;TEXT(C4, "$0,000")</f>
        <v>Brown: $5,205</v>
      </c>
    </row>
    <row r="5" spans="2:5">
      <c r="B5" s="57" t="s">
        <v>128</v>
      </c>
      <c r="C5" s="66">
        <v>246</v>
      </c>
      <c r="E5" s="5" t="str">
        <f>B5&amp;": "&amp;TEXT(C5, "$0,000")</f>
        <v>Tamburello: $0,246</v>
      </c>
    </row>
    <row r="6" spans="2:5">
      <c r="B6" s="57" t="s">
        <v>126</v>
      </c>
      <c r="C6" s="66">
        <v>7136</v>
      </c>
      <c r="E6" s="5" t="str">
        <f>B6&amp;": "&amp;TEXT(C6, "$0,000")</f>
        <v>Walters: $7,136</v>
      </c>
    </row>
    <row r="7" spans="2:5">
      <c r="B7" s="57" t="s">
        <v>124</v>
      </c>
      <c r="C7" s="66">
        <v>2921</v>
      </c>
      <c r="E7" s="5" t="str">
        <f>B7&amp;": "&amp;TEXT(C7, "$0,000")</f>
        <v>Alexander: $2,921</v>
      </c>
    </row>
    <row r="8" spans="2:5">
      <c r="B8" s="57" t="s">
        <v>122</v>
      </c>
      <c r="C8" s="66">
        <v>8225</v>
      </c>
      <c r="E8" s="5" t="str">
        <f>B8&amp;": "&amp;TEXT(C8, "$0,000")</f>
        <v>Bradley: $8,225</v>
      </c>
    </row>
    <row r="9" spans="2:5">
      <c r="B9" s="57" t="s">
        <v>120</v>
      </c>
      <c r="C9" s="66">
        <v>5630</v>
      </c>
      <c r="E9" s="5" t="str">
        <f>B9&amp;": "&amp;TEXT(C9, "$0,000")</f>
        <v>Dobney: $5,630</v>
      </c>
    </row>
    <row r="10" spans="2:5">
      <c r="B10" s="57" t="s">
        <v>118</v>
      </c>
      <c r="C10" s="66">
        <v>7994</v>
      </c>
      <c r="E10" s="5" t="str">
        <f>B10&amp;": "&amp;TEXT(C10, "$0,000")</f>
        <v>Ellerbrock: $7,994</v>
      </c>
    </row>
    <row r="11" spans="2:5">
      <c r="B11" s="56" t="s">
        <v>116</v>
      </c>
      <c r="C11" s="66">
        <v>6676</v>
      </c>
      <c r="E11" s="5" t="str">
        <f>B11&amp;": "&amp;TEXT(C11, "$0,000")</f>
        <v>Hartwig: $6,676</v>
      </c>
    </row>
    <row r="12" spans="2:5">
      <c r="B12" s="56" t="s">
        <v>114</v>
      </c>
      <c r="C12" s="66">
        <v>5716</v>
      </c>
      <c r="E12" s="5" t="str">
        <f>B12&amp;": "&amp;TEXT(C12, "$0,000")</f>
        <v>Campbell: $5,716</v>
      </c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E12"/>
  <sheetViews>
    <sheetView workbookViewId="0"/>
  </sheetViews>
  <sheetFormatPr defaultRowHeight="15"/>
  <cols>
    <col min="2" max="2" width="11.140625" bestFit="1" customWidth="1"/>
    <col min="3" max="3" width="10.5703125" bestFit="1" customWidth="1"/>
    <col min="4" max="4" width="3.85546875" customWidth="1"/>
    <col min="5" max="5" width="26.85546875" customWidth="1"/>
  </cols>
  <sheetData>
    <row r="2" spans="2:5">
      <c r="B2" s="2" t="s">
        <v>199</v>
      </c>
      <c r="C2" s="2" t="s">
        <v>1</v>
      </c>
      <c r="E2" s="2" t="s">
        <v>198</v>
      </c>
    </row>
    <row r="3" spans="2:5">
      <c r="B3" s="57" t="s">
        <v>132</v>
      </c>
      <c r="C3" s="66">
        <v>6820</v>
      </c>
      <c r="E3" s="5" t="str">
        <f>B3&amp;": "&amp;DOLLAR(C3,0)</f>
        <v>Gilbert: ₹ 6,820</v>
      </c>
    </row>
    <row r="4" spans="2:5">
      <c r="B4" s="57" t="s">
        <v>130</v>
      </c>
      <c r="C4" s="66">
        <v>5205</v>
      </c>
      <c r="E4" s="5" t="str">
        <f>B4&amp;": "&amp;DOLLAR(C4,0)</f>
        <v>Brown: ₹ 5,205</v>
      </c>
    </row>
    <row r="5" spans="2:5">
      <c r="B5" s="57" t="s">
        <v>128</v>
      </c>
      <c r="C5" s="66">
        <v>246</v>
      </c>
      <c r="E5" s="5" t="str">
        <f>B5&amp;": "&amp;DOLLAR(C5,0)</f>
        <v>Tamburello: ₹ 246</v>
      </c>
    </row>
    <row r="6" spans="2:5">
      <c r="B6" s="57" t="s">
        <v>126</v>
      </c>
      <c r="C6" s="66">
        <v>7136</v>
      </c>
      <c r="E6" s="5" t="str">
        <f>B6&amp;": "&amp;DOLLAR(C6,0)</f>
        <v>Walters: ₹ 7,136</v>
      </c>
    </row>
    <row r="7" spans="2:5">
      <c r="B7" s="57" t="s">
        <v>124</v>
      </c>
      <c r="C7" s="66">
        <v>2921</v>
      </c>
      <c r="E7" s="5" t="str">
        <f>B7&amp;": "&amp;DOLLAR(C7,0)</f>
        <v>Alexander: ₹ 2,921</v>
      </c>
    </row>
    <row r="8" spans="2:5">
      <c r="B8" s="57" t="s">
        <v>122</v>
      </c>
      <c r="C8" s="66">
        <v>8225</v>
      </c>
      <c r="E8" s="5" t="str">
        <f>B8&amp;": "&amp;DOLLAR(C8,0)</f>
        <v>Bradley: ₹ 8,225</v>
      </c>
    </row>
    <row r="9" spans="2:5">
      <c r="B9" s="57" t="s">
        <v>120</v>
      </c>
      <c r="C9" s="66">
        <v>5630</v>
      </c>
      <c r="E9" s="5" t="str">
        <f>B9&amp;": "&amp;DOLLAR(C9,0)</f>
        <v>Dobney: ₹ 5,630</v>
      </c>
    </row>
    <row r="10" spans="2:5">
      <c r="B10" s="57" t="s">
        <v>118</v>
      </c>
      <c r="C10" s="66">
        <v>7994</v>
      </c>
      <c r="E10" s="5" t="str">
        <f>B10&amp;": "&amp;DOLLAR(C10,0)</f>
        <v>Ellerbrock: ₹ 7,994</v>
      </c>
    </row>
    <row r="11" spans="2:5">
      <c r="B11" s="56" t="s">
        <v>116</v>
      </c>
      <c r="C11" s="66">
        <v>6676</v>
      </c>
      <c r="E11" s="5" t="str">
        <f>B11&amp;": "&amp;DOLLAR(C11,0)</f>
        <v>Hartwig: ₹ 6,676</v>
      </c>
    </row>
    <row r="12" spans="2:5">
      <c r="B12" s="56" t="s">
        <v>114</v>
      </c>
      <c r="C12" s="66">
        <v>5716</v>
      </c>
      <c r="E12" s="5" t="str">
        <f>B12&amp;": "&amp;DOLLAR(C12,0)</f>
        <v>Campbell: ₹ 5,716</v>
      </c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C3:C8"/>
  <sheetViews>
    <sheetView workbookViewId="0"/>
  </sheetViews>
  <sheetFormatPr defaultRowHeight="15"/>
  <cols>
    <col min="3" max="3" width="27.5703125" bestFit="1" customWidth="1"/>
  </cols>
  <sheetData>
    <row r="3" spans="3:3">
      <c r="C3" t="str">
        <f ca="1">"Today is "&amp;TEXT(TODAY(),"dddd mmmm d,  yyyy")</f>
        <v>Today is Saturday September 10,  2022</v>
      </c>
    </row>
    <row r="5" spans="3:3">
      <c r="C5" t="str">
        <f ca="1">"Today is "&amp;TEXT(TODAY(),"mmmm d, yyyy")</f>
        <v>Today is September 10, 2022</v>
      </c>
    </row>
    <row r="8" spans="3:3">
      <c r="C8" t="s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3:F13"/>
  <sheetViews>
    <sheetView workbookViewId="0"/>
  </sheetViews>
  <sheetFormatPr defaultRowHeight="15"/>
  <cols>
    <col min="2" max="2" width="12.140625" bestFit="1" customWidth="1"/>
    <col min="3" max="3" width="11.140625" customWidth="1"/>
    <col min="4" max="4" width="9.7109375" bestFit="1" customWidth="1"/>
    <col min="5" max="5" width="20" bestFit="1" customWidth="1"/>
    <col min="6" max="6" width="99.85546875" bestFit="1" customWidth="1"/>
  </cols>
  <sheetData>
    <row r="3" spans="2:6">
      <c r="B3" s="10" t="s">
        <v>216</v>
      </c>
      <c r="C3" s="10" t="s">
        <v>215</v>
      </c>
      <c r="E3" s="2" t="s">
        <v>214</v>
      </c>
      <c r="F3" s="2" t="s">
        <v>213</v>
      </c>
    </row>
    <row r="4" spans="2:6">
      <c r="B4" s="68">
        <v>26435</v>
      </c>
      <c r="C4" s="12">
        <f ca="1">DATEDIF(B4,TODAY(),"y")</f>
        <v>50</v>
      </c>
      <c r="E4" t="s">
        <v>212</v>
      </c>
      <c r="F4" t="s">
        <v>211</v>
      </c>
    </row>
    <row r="5" spans="2:6">
      <c r="E5" t="s">
        <v>210</v>
      </c>
      <c r="F5" t="s">
        <v>209</v>
      </c>
    </row>
    <row r="6" spans="2:6">
      <c r="E6" t="s">
        <v>208</v>
      </c>
      <c r="F6" t="s">
        <v>207</v>
      </c>
    </row>
    <row r="7" spans="2:6">
      <c r="E7" t="s">
        <v>206</v>
      </c>
      <c r="F7" t="s">
        <v>205</v>
      </c>
    </row>
    <row r="8" spans="2:6">
      <c r="E8" t="s">
        <v>204</v>
      </c>
      <c r="F8" t="s">
        <v>203</v>
      </c>
    </row>
    <row r="9" spans="2:6">
      <c r="E9" t="s">
        <v>202</v>
      </c>
      <c r="F9" t="s">
        <v>201</v>
      </c>
    </row>
    <row r="13" spans="2:6">
      <c r="E13" s="67" t="e">
        <f ca="1">DATEDIF("5/16/1972",TODAY(),"y")</f>
        <v>#VALUE!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C3:D9"/>
  <sheetViews>
    <sheetView workbookViewId="0"/>
  </sheetViews>
  <sheetFormatPr defaultRowHeight="15"/>
  <cols>
    <col min="3" max="3" width="12.140625" bestFit="1" customWidth="1"/>
    <col min="4" max="4" width="28.85546875" customWidth="1"/>
  </cols>
  <sheetData>
    <row r="3" spans="3:4">
      <c r="C3" s="10" t="s">
        <v>218</v>
      </c>
      <c r="D3" s="10" t="s">
        <v>217</v>
      </c>
    </row>
    <row r="4" spans="3:4">
      <c r="C4" s="69">
        <v>41754</v>
      </c>
      <c r="D4" s="12">
        <f ca="1">DATEDIF(C4,TODAY(),"d")</f>
        <v>3060</v>
      </c>
    </row>
    <row r="5" spans="3:4">
      <c r="C5" s="69">
        <v>41763</v>
      </c>
      <c r="D5" s="12">
        <f ca="1">DATEDIF(C5,TODAY(),"d")</f>
        <v>3051</v>
      </c>
    </row>
    <row r="6" spans="3:4">
      <c r="C6" s="69">
        <v>41763</v>
      </c>
      <c r="D6" s="12">
        <f ca="1">DATEDIF(C6,TODAY(),"d")</f>
        <v>3051</v>
      </c>
    </row>
    <row r="7" spans="3:4">
      <c r="C7" s="69">
        <v>41726</v>
      </c>
      <c r="D7" s="12">
        <f ca="1">DATEDIF(C7,TODAY(),"d")</f>
        <v>3088</v>
      </c>
    </row>
    <row r="8" spans="3:4">
      <c r="C8" s="69">
        <v>41751</v>
      </c>
      <c r="D8" s="12">
        <f ca="1">DATEDIF(C8,TODAY(),"d")</f>
        <v>3063</v>
      </c>
    </row>
    <row r="9" spans="3:4">
      <c r="C9" s="69">
        <v>41729</v>
      </c>
      <c r="D9" s="12">
        <f ca="1">DATEDIF(C9,TODAY(),"d")</f>
        <v>3085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3:E4"/>
  <sheetViews>
    <sheetView workbookViewId="0"/>
  </sheetViews>
  <sheetFormatPr defaultRowHeight="15"/>
  <cols>
    <col min="2" max="3" width="12.85546875" customWidth="1"/>
    <col min="4" max="4" width="4.5703125" customWidth="1"/>
    <col min="5" max="5" width="26.7109375" customWidth="1"/>
  </cols>
  <sheetData>
    <row r="3" spans="2:5">
      <c r="B3" s="2" t="s">
        <v>221</v>
      </c>
      <c r="C3" s="2" t="s">
        <v>220</v>
      </c>
      <c r="E3" s="2" t="s">
        <v>219</v>
      </c>
    </row>
    <row r="4" spans="2:5">
      <c r="B4" s="68">
        <v>41640</v>
      </c>
      <c r="C4" s="68">
        <v>42004</v>
      </c>
      <c r="E4" s="12">
        <f>NETWORKDAYS(B4,C4)</f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C3:F4"/>
  <sheetViews>
    <sheetView workbookViewId="0"/>
  </sheetViews>
  <sheetFormatPr defaultRowHeight="15"/>
  <cols>
    <col min="3" max="4" width="12.85546875" customWidth="1"/>
    <col min="6" max="6" width="14.140625" bestFit="1" customWidth="1"/>
  </cols>
  <sheetData>
    <row r="3" spans="3:6">
      <c r="C3" s="2" t="s">
        <v>221</v>
      </c>
      <c r="D3" s="2" t="s">
        <v>220</v>
      </c>
      <c r="F3" s="2" t="s">
        <v>219</v>
      </c>
    </row>
    <row r="4" spans="3:6">
      <c r="C4" s="68">
        <v>41640</v>
      </c>
      <c r="D4" s="68">
        <v>42004</v>
      </c>
      <c r="F4" s="12" t="e">
        <f ca="1">NETWORKDAYS.INTL(C4,D4,11)</f>
        <v>#NAME?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3:D265"/>
  <sheetViews>
    <sheetView workbookViewId="0"/>
  </sheetViews>
  <sheetFormatPr defaultRowHeight="15"/>
  <cols>
    <col min="1" max="1" width="5" customWidth="1"/>
    <col min="2" max="2" width="35.85546875" customWidth="1"/>
    <col min="3" max="3" width="8" customWidth="1"/>
    <col min="4" max="4" width="10.7109375" bestFit="1" customWidth="1"/>
    <col min="5" max="5" width="14.28515625" bestFit="1" customWidth="1"/>
  </cols>
  <sheetData>
    <row r="3" spans="2:4">
      <c r="B3" s="71">
        <v>41274</v>
      </c>
      <c r="D3" s="2" t="s">
        <v>222</v>
      </c>
    </row>
    <row r="4" spans="2:4">
      <c r="B4" s="68" t="e">
        <f ca="1">WORKDAY.INTL(B3,1,1,$D$4:$D$15)</f>
        <v>#NAME?</v>
      </c>
      <c r="D4" s="70">
        <v>41275</v>
      </c>
    </row>
    <row r="5" spans="2:4">
      <c r="B5" s="68" t="e">
        <f ca="1">WORKDAY.INTL(B4,1,1,$D$4:$D$15)</f>
        <v>#NAME?</v>
      </c>
      <c r="D5" s="70">
        <v>41295</v>
      </c>
    </row>
    <row r="6" spans="2:4">
      <c r="B6" s="68" t="e">
        <f ca="1">WORKDAY.INTL(B5,1,1,$D$4:$D$15)</f>
        <v>#NAME?</v>
      </c>
      <c r="D6" s="70">
        <v>41362</v>
      </c>
    </row>
    <row r="7" spans="2:4">
      <c r="B7" s="68" t="e">
        <f ca="1">WORKDAY.INTL(B6,1,1,$D$4:$D$15)</f>
        <v>#NAME?</v>
      </c>
      <c r="D7" s="70">
        <v>41364</v>
      </c>
    </row>
    <row r="8" spans="2:4">
      <c r="B8" s="68" t="e">
        <f ca="1">WORKDAY.INTL(B7,1,1,$D$4:$D$15)</f>
        <v>#NAME?</v>
      </c>
      <c r="D8" s="70">
        <v>41425</v>
      </c>
    </row>
    <row r="9" spans="2:4">
      <c r="B9" s="68" t="e">
        <f ca="1">WORKDAY.INTL(B8,1,1,$D$4:$D$15)</f>
        <v>#NAME?</v>
      </c>
      <c r="D9" s="70">
        <v>41459</v>
      </c>
    </row>
    <row r="10" spans="2:4">
      <c r="B10" s="68" t="e">
        <f ca="1">WORKDAY.INTL(B9,1,1,$D$4:$D$15)</f>
        <v>#NAME?</v>
      </c>
      <c r="D10" s="70">
        <v>41518</v>
      </c>
    </row>
    <row r="11" spans="2:4">
      <c r="B11" s="68" t="e">
        <f ca="1">WORKDAY.INTL(B10,1,1,$D$4:$D$15)</f>
        <v>#NAME?</v>
      </c>
      <c r="D11" s="70">
        <v>41561</v>
      </c>
    </row>
    <row r="12" spans="2:4">
      <c r="B12" s="68" t="e">
        <f ca="1">WORKDAY.INTL(B11,1,1,$D$4:$D$15)</f>
        <v>#NAME?</v>
      </c>
      <c r="D12" s="70">
        <v>41606</v>
      </c>
    </row>
    <row r="13" spans="2:4">
      <c r="B13" s="68" t="e">
        <f ca="1">WORKDAY.INTL(B12,1,1,$D$4:$D$15)</f>
        <v>#NAME?</v>
      </c>
      <c r="D13" s="70">
        <v>41632</v>
      </c>
    </row>
    <row r="14" spans="2:4">
      <c r="B14" s="68" t="e">
        <f ca="1">WORKDAY.INTL(B13,1,1,$D$4:$D$15)</f>
        <v>#NAME?</v>
      </c>
      <c r="D14" s="70">
        <v>41633</v>
      </c>
    </row>
    <row r="15" spans="2:4">
      <c r="B15" s="68" t="e">
        <f ca="1">WORKDAY.INTL(B14,1,1,$D$4:$D$15)</f>
        <v>#NAME?</v>
      </c>
      <c r="D15" s="70">
        <v>41639</v>
      </c>
    </row>
    <row r="16" spans="2:4">
      <c r="B16" s="68" t="e">
        <f ca="1">WORKDAY.INTL(B15,1,1,$D$4:$D$15)</f>
        <v>#NAME?</v>
      </c>
    </row>
    <row r="17" spans="2:2">
      <c r="B17" s="68" t="e">
        <f ca="1">WORKDAY.INTL(B16,1,1,$D$4:$D$15)</f>
        <v>#NAME?</v>
      </c>
    </row>
    <row r="18" spans="2:2">
      <c r="B18" s="68" t="e">
        <f ca="1">WORKDAY.INTL(B17,1,1,$D$4:$D$15)</f>
        <v>#NAME?</v>
      </c>
    </row>
    <row r="19" spans="2:2">
      <c r="B19" s="68" t="e">
        <f ca="1">WORKDAY.INTL(B18,1,1,$D$4:$D$15)</f>
        <v>#NAME?</v>
      </c>
    </row>
    <row r="20" spans="2:2">
      <c r="B20" s="68" t="e">
        <f ca="1">WORKDAY.INTL(B19,1,1,$D$4:$D$15)</f>
        <v>#NAME?</v>
      </c>
    </row>
    <row r="21" spans="2:2">
      <c r="B21" s="68" t="e">
        <f ca="1">WORKDAY.INTL(B20,1,1,$D$4:$D$15)</f>
        <v>#NAME?</v>
      </c>
    </row>
    <row r="22" spans="2:2">
      <c r="B22" s="68" t="e">
        <f ca="1">WORKDAY.INTL(B21,1,1,$D$4:$D$15)</f>
        <v>#NAME?</v>
      </c>
    </row>
    <row r="23" spans="2:2">
      <c r="B23" s="68" t="e">
        <f ca="1">WORKDAY.INTL(B22,1,1,$D$4:$D$15)</f>
        <v>#NAME?</v>
      </c>
    </row>
    <row r="24" spans="2:2">
      <c r="B24" s="68" t="e">
        <f ca="1">WORKDAY.INTL(B23,1,1,$D$4:$D$15)</f>
        <v>#NAME?</v>
      </c>
    </row>
    <row r="25" spans="2:2">
      <c r="B25" s="68" t="e">
        <f ca="1">WORKDAY.INTL(B24,1,1,$D$4:$D$15)</f>
        <v>#NAME?</v>
      </c>
    </row>
    <row r="26" spans="2:2">
      <c r="B26" s="68" t="e">
        <f ca="1">WORKDAY.INTL(B25,1,1,$D$4:$D$15)</f>
        <v>#NAME?</v>
      </c>
    </row>
    <row r="27" spans="2:2">
      <c r="B27" s="68" t="e">
        <f ca="1">WORKDAY.INTL(B26,1,1,$D$4:$D$15)</f>
        <v>#NAME?</v>
      </c>
    </row>
    <row r="28" spans="2:2">
      <c r="B28" s="68" t="e">
        <f ca="1">WORKDAY.INTL(B27,1,1,$D$4:$D$15)</f>
        <v>#NAME?</v>
      </c>
    </row>
    <row r="29" spans="2:2">
      <c r="B29" s="68" t="e">
        <f ca="1">WORKDAY.INTL(B28,1,1,$D$4:$D$15)</f>
        <v>#NAME?</v>
      </c>
    </row>
    <row r="30" spans="2:2">
      <c r="B30" s="68" t="e">
        <f ca="1">WORKDAY.INTL(B29,1,1,$D$4:$D$15)</f>
        <v>#NAME?</v>
      </c>
    </row>
    <row r="31" spans="2:2">
      <c r="B31" s="68" t="e">
        <f ca="1">WORKDAY.INTL(B30,1,1,$D$4:$D$15)</f>
        <v>#NAME?</v>
      </c>
    </row>
    <row r="32" spans="2:2">
      <c r="B32" s="68" t="e">
        <f ca="1">WORKDAY.INTL(B31,1,1,$D$4:$D$15)</f>
        <v>#NAME?</v>
      </c>
    </row>
    <row r="33" spans="2:2">
      <c r="B33" s="68" t="e">
        <f ca="1">WORKDAY.INTL(B32,1,1,$D$4:$D$15)</f>
        <v>#NAME?</v>
      </c>
    </row>
    <row r="34" spans="2:2">
      <c r="B34" s="68" t="e">
        <f ca="1">WORKDAY.INTL(B33,1,1,$D$4:$D$15)</f>
        <v>#NAME?</v>
      </c>
    </row>
    <row r="35" spans="2:2">
      <c r="B35" s="68" t="e">
        <f ca="1">WORKDAY.INTL(B34,1,1,$D$4:$D$15)</f>
        <v>#NAME?</v>
      </c>
    </row>
    <row r="36" spans="2:2">
      <c r="B36" s="68" t="e">
        <f ca="1">WORKDAY.INTL(B35,1,1,$D$4:$D$15)</f>
        <v>#NAME?</v>
      </c>
    </row>
    <row r="37" spans="2:2">
      <c r="B37" s="68" t="e">
        <f ca="1">WORKDAY.INTL(B36,1,1,$D$4:$D$15)</f>
        <v>#NAME?</v>
      </c>
    </row>
    <row r="38" spans="2:2">
      <c r="B38" s="68" t="e">
        <f ca="1">WORKDAY.INTL(B37,1,1,$D$4:$D$15)</f>
        <v>#NAME?</v>
      </c>
    </row>
    <row r="39" spans="2:2">
      <c r="B39" s="68" t="e">
        <f ca="1">WORKDAY.INTL(B38,1,1,$D$4:$D$15)</f>
        <v>#NAME?</v>
      </c>
    </row>
    <row r="40" spans="2:2">
      <c r="B40" s="68" t="e">
        <f ca="1">WORKDAY.INTL(B39,1,1,$D$4:$D$15)</f>
        <v>#NAME?</v>
      </c>
    </row>
    <row r="41" spans="2:2">
      <c r="B41" s="68" t="e">
        <f ca="1">WORKDAY.INTL(B40,1,1,$D$4:$D$15)</f>
        <v>#NAME?</v>
      </c>
    </row>
    <row r="42" spans="2:2">
      <c r="B42" s="68" t="e">
        <f ca="1">WORKDAY.INTL(B41,1,1,$D$4:$D$15)</f>
        <v>#NAME?</v>
      </c>
    </row>
    <row r="43" spans="2:2">
      <c r="B43" s="68" t="e">
        <f ca="1">WORKDAY.INTL(B42,1,1,$D$4:$D$15)</f>
        <v>#NAME?</v>
      </c>
    </row>
    <row r="44" spans="2:2">
      <c r="B44" s="68" t="e">
        <f ca="1">WORKDAY.INTL(B43,1,1,$D$4:$D$15)</f>
        <v>#NAME?</v>
      </c>
    </row>
    <row r="45" spans="2:2">
      <c r="B45" s="68" t="e">
        <f ca="1">WORKDAY.INTL(B44,1,1,$D$4:$D$15)</f>
        <v>#NAME?</v>
      </c>
    </row>
    <row r="46" spans="2:2">
      <c r="B46" s="68" t="e">
        <f ca="1">WORKDAY.INTL(B45,1,1,$D$4:$D$15)</f>
        <v>#NAME?</v>
      </c>
    </row>
    <row r="47" spans="2:2">
      <c r="B47" s="68" t="e">
        <f ca="1">WORKDAY.INTL(B46,1,1,$D$4:$D$15)</f>
        <v>#NAME?</v>
      </c>
    </row>
    <row r="48" spans="2:2">
      <c r="B48" s="68" t="e">
        <f ca="1">WORKDAY.INTL(B47,1,1,$D$4:$D$15)</f>
        <v>#NAME?</v>
      </c>
    </row>
    <row r="49" spans="2:2">
      <c r="B49" s="68" t="e">
        <f ca="1">WORKDAY.INTL(B48,1,1,$D$4:$D$15)</f>
        <v>#NAME?</v>
      </c>
    </row>
    <row r="50" spans="2:2">
      <c r="B50" s="68" t="e">
        <f ca="1">WORKDAY.INTL(B49,1,1,$D$4:$D$15)</f>
        <v>#NAME?</v>
      </c>
    </row>
    <row r="51" spans="2:2">
      <c r="B51" s="68" t="e">
        <f ca="1">WORKDAY.INTL(B50,1,1,$D$4:$D$15)</f>
        <v>#NAME?</v>
      </c>
    </row>
    <row r="52" spans="2:2">
      <c r="B52" s="68" t="e">
        <f ca="1">WORKDAY.INTL(B51,1,1,$D$4:$D$15)</f>
        <v>#NAME?</v>
      </c>
    </row>
    <row r="53" spans="2:2">
      <c r="B53" s="68" t="e">
        <f ca="1">WORKDAY.INTL(B52,1,1,$D$4:$D$15)</f>
        <v>#NAME?</v>
      </c>
    </row>
    <row r="54" spans="2:2">
      <c r="B54" s="68" t="e">
        <f ca="1">WORKDAY.INTL(B53,1,1,$D$4:$D$15)</f>
        <v>#NAME?</v>
      </c>
    </row>
    <row r="55" spans="2:2">
      <c r="B55" s="68" t="e">
        <f ca="1">WORKDAY.INTL(B54,1,1,$D$4:$D$15)</f>
        <v>#NAME?</v>
      </c>
    </row>
    <row r="56" spans="2:2">
      <c r="B56" s="68" t="e">
        <f ca="1">WORKDAY.INTL(B55,1,1,$D$4:$D$15)</f>
        <v>#NAME?</v>
      </c>
    </row>
    <row r="57" spans="2:2">
      <c r="B57" s="68" t="e">
        <f ca="1">WORKDAY.INTL(B56,1,1,$D$4:$D$15)</f>
        <v>#NAME?</v>
      </c>
    </row>
    <row r="58" spans="2:2">
      <c r="B58" s="68" t="e">
        <f ca="1">WORKDAY.INTL(B57,1,1,$D$4:$D$15)</f>
        <v>#NAME?</v>
      </c>
    </row>
    <row r="59" spans="2:2">
      <c r="B59" s="68" t="e">
        <f ca="1">WORKDAY.INTL(B58,1,1,$D$4:$D$15)</f>
        <v>#NAME?</v>
      </c>
    </row>
    <row r="60" spans="2:2">
      <c r="B60" s="68" t="e">
        <f ca="1">WORKDAY.INTL(B59,1,1,$D$4:$D$15)</f>
        <v>#NAME?</v>
      </c>
    </row>
    <row r="61" spans="2:2">
      <c r="B61" s="68" t="e">
        <f ca="1">WORKDAY.INTL(B60,1,1,$D$4:$D$15)</f>
        <v>#NAME?</v>
      </c>
    </row>
    <row r="62" spans="2:2">
      <c r="B62" s="68" t="e">
        <f ca="1">WORKDAY.INTL(B61,1,1,$D$4:$D$15)</f>
        <v>#NAME?</v>
      </c>
    </row>
    <row r="63" spans="2:2">
      <c r="B63" s="68" t="e">
        <f ca="1">WORKDAY.INTL(B62,1,1,$D$4:$D$15)</f>
        <v>#NAME?</v>
      </c>
    </row>
    <row r="64" spans="2:2">
      <c r="B64" s="68" t="e">
        <f ca="1">WORKDAY.INTL(B63,1,1,$D$4:$D$15)</f>
        <v>#NAME?</v>
      </c>
    </row>
    <row r="65" spans="2:2">
      <c r="B65" s="68" t="e">
        <f ca="1">WORKDAY.INTL(B64,1,1,$D$4:$D$15)</f>
        <v>#NAME?</v>
      </c>
    </row>
    <row r="66" spans="2:2">
      <c r="B66" s="68" t="e">
        <f ca="1">WORKDAY.INTL(B65,1,1,$D$4:$D$15)</f>
        <v>#NAME?</v>
      </c>
    </row>
    <row r="67" spans="2:2">
      <c r="B67" s="68" t="e">
        <f ca="1">WORKDAY.INTL(B66,1,1,$D$4:$D$15)</f>
        <v>#NAME?</v>
      </c>
    </row>
    <row r="68" spans="2:2">
      <c r="B68" s="68" t="e">
        <f ca="1">WORKDAY.INTL(B67,1,1,$D$4:$D$15)</f>
        <v>#NAME?</v>
      </c>
    </row>
    <row r="69" spans="2:2">
      <c r="B69" s="68" t="e">
        <f ca="1">WORKDAY.INTL(B68,1,1,$D$4:$D$15)</f>
        <v>#NAME?</v>
      </c>
    </row>
    <row r="70" spans="2:2">
      <c r="B70" s="68" t="e">
        <f ca="1">WORKDAY.INTL(B69,1,1,$D$4:$D$15)</f>
        <v>#NAME?</v>
      </c>
    </row>
    <row r="71" spans="2:2">
      <c r="B71" s="68" t="e">
        <f ca="1">WORKDAY.INTL(B70,1,1,$D$4:$D$15)</f>
        <v>#NAME?</v>
      </c>
    </row>
    <row r="72" spans="2:2">
      <c r="B72" s="68" t="e">
        <f ca="1">WORKDAY.INTL(B71,1,1,$D$4:$D$15)</f>
        <v>#NAME?</v>
      </c>
    </row>
    <row r="73" spans="2:2">
      <c r="B73" s="68" t="e">
        <f ca="1">WORKDAY.INTL(B72,1,1,$D$4:$D$15)</f>
        <v>#NAME?</v>
      </c>
    </row>
    <row r="74" spans="2:2">
      <c r="B74" s="68" t="e">
        <f ca="1">WORKDAY.INTL(B73,1,1,$D$4:$D$15)</f>
        <v>#NAME?</v>
      </c>
    </row>
    <row r="75" spans="2:2">
      <c r="B75" s="68" t="e">
        <f ca="1">WORKDAY.INTL(B74,1,1,$D$4:$D$15)</f>
        <v>#NAME?</v>
      </c>
    </row>
    <row r="76" spans="2:2">
      <c r="B76" s="68" t="e">
        <f ca="1">WORKDAY.INTL(B75,1,1,$D$4:$D$15)</f>
        <v>#NAME?</v>
      </c>
    </row>
    <row r="77" spans="2:2">
      <c r="B77" s="68" t="e">
        <f ca="1">WORKDAY.INTL(B76,1,1,$D$4:$D$15)</f>
        <v>#NAME?</v>
      </c>
    </row>
    <row r="78" spans="2:2">
      <c r="B78" s="68" t="e">
        <f ca="1">WORKDAY.INTL(B77,1,1,$D$4:$D$15)</f>
        <v>#NAME?</v>
      </c>
    </row>
    <row r="79" spans="2:2">
      <c r="B79" s="68" t="e">
        <f ca="1">WORKDAY.INTL(B78,1,1,$D$4:$D$15)</f>
        <v>#NAME?</v>
      </c>
    </row>
    <row r="80" spans="2:2">
      <c r="B80" s="68" t="e">
        <f ca="1">WORKDAY.INTL(B79,1,1,$D$4:$D$15)</f>
        <v>#NAME?</v>
      </c>
    </row>
    <row r="81" spans="2:2">
      <c r="B81" s="68" t="e">
        <f ca="1">WORKDAY.INTL(B80,1,1,$D$4:$D$15)</f>
        <v>#NAME?</v>
      </c>
    </row>
    <row r="82" spans="2:2">
      <c r="B82" s="68" t="e">
        <f ca="1">WORKDAY.INTL(B81,1,1,$D$4:$D$15)</f>
        <v>#NAME?</v>
      </c>
    </row>
    <row r="83" spans="2:2">
      <c r="B83" s="68" t="e">
        <f ca="1">WORKDAY.INTL(B82,1,1,$D$4:$D$15)</f>
        <v>#NAME?</v>
      </c>
    </row>
    <row r="84" spans="2:2">
      <c r="B84" s="68" t="e">
        <f ca="1">WORKDAY.INTL(B83,1,1,$D$4:$D$15)</f>
        <v>#NAME?</v>
      </c>
    </row>
    <row r="85" spans="2:2">
      <c r="B85" s="68" t="e">
        <f ca="1">WORKDAY.INTL(B84,1,1,$D$4:$D$15)</f>
        <v>#NAME?</v>
      </c>
    </row>
    <row r="86" spans="2:2">
      <c r="B86" s="68" t="e">
        <f ca="1">WORKDAY.INTL(B85,1,1,$D$4:$D$15)</f>
        <v>#NAME?</v>
      </c>
    </row>
    <row r="87" spans="2:2">
      <c r="B87" s="68" t="e">
        <f ca="1">WORKDAY.INTL(B86,1,1,$D$4:$D$15)</f>
        <v>#NAME?</v>
      </c>
    </row>
    <row r="88" spans="2:2">
      <c r="B88" s="68" t="e">
        <f ca="1">WORKDAY.INTL(B87,1,1,$D$4:$D$15)</f>
        <v>#NAME?</v>
      </c>
    </row>
    <row r="89" spans="2:2">
      <c r="B89" s="68" t="e">
        <f ca="1">WORKDAY.INTL(B88,1,1,$D$4:$D$15)</f>
        <v>#NAME?</v>
      </c>
    </row>
    <row r="90" spans="2:2">
      <c r="B90" s="68" t="e">
        <f ca="1">WORKDAY.INTL(B89,1,1,$D$4:$D$15)</f>
        <v>#NAME?</v>
      </c>
    </row>
    <row r="91" spans="2:2">
      <c r="B91" s="68" t="e">
        <f ca="1">WORKDAY.INTL(B90,1,1,$D$4:$D$15)</f>
        <v>#NAME?</v>
      </c>
    </row>
    <row r="92" spans="2:2">
      <c r="B92" s="68" t="e">
        <f ca="1">WORKDAY.INTL(B91,1,1,$D$4:$D$15)</f>
        <v>#NAME?</v>
      </c>
    </row>
    <row r="93" spans="2:2">
      <c r="B93" s="68" t="e">
        <f ca="1">WORKDAY.INTL(B92,1,1,$D$4:$D$15)</f>
        <v>#NAME?</v>
      </c>
    </row>
    <row r="94" spans="2:2">
      <c r="B94" s="68" t="e">
        <f ca="1">WORKDAY.INTL(B93,1,1,$D$4:$D$15)</f>
        <v>#NAME?</v>
      </c>
    </row>
    <row r="95" spans="2:2">
      <c r="B95" s="68" t="e">
        <f ca="1">WORKDAY.INTL(B94,1,1,$D$4:$D$15)</f>
        <v>#NAME?</v>
      </c>
    </row>
    <row r="96" spans="2:2">
      <c r="B96" s="68" t="e">
        <f ca="1">WORKDAY.INTL(B95,1,1,$D$4:$D$15)</f>
        <v>#NAME?</v>
      </c>
    </row>
    <row r="97" spans="2:2">
      <c r="B97" s="68" t="e">
        <f ca="1">WORKDAY.INTL(B96,1,1,$D$4:$D$15)</f>
        <v>#NAME?</v>
      </c>
    </row>
    <row r="98" spans="2:2">
      <c r="B98" s="68" t="e">
        <f ca="1">WORKDAY.INTL(B97,1,1,$D$4:$D$15)</f>
        <v>#NAME?</v>
      </c>
    </row>
    <row r="99" spans="2:2">
      <c r="B99" s="68" t="e">
        <f ca="1">WORKDAY.INTL(B98,1,1,$D$4:$D$15)</f>
        <v>#NAME?</v>
      </c>
    </row>
    <row r="100" spans="2:2">
      <c r="B100" s="68" t="e">
        <f ca="1">WORKDAY.INTL(B99,1,1,$D$4:$D$15)</f>
        <v>#NAME?</v>
      </c>
    </row>
    <row r="101" spans="2:2">
      <c r="B101" s="68" t="e">
        <f ca="1">WORKDAY.INTL(B100,1,1,$D$4:$D$15)</f>
        <v>#NAME?</v>
      </c>
    </row>
    <row r="102" spans="2:2">
      <c r="B102" s="68" t="e">
        <f ca="1">WORKDAY.INTL(B101,1,1,$D$4:$D$15)</f>
        <v>#NAME?</v>
      </c>
    </row>
    <row r="103" spans="2:2">
      <c r="B103" s="68" t="e">
        <f ca="1">WORKDAY.INTL(B102,1,1,$D$4:$D$15)</f>
        <v>#NAME?</v>
      </c>
    </row>
    <row r="104" spans="2:2">
      <c r="B104" s="68" t="e">
        <f ca="1">WORKDAY.INTL(B103,1,1,$D$4:$D$15)</f>
        <v>#NAME?</v>
      </c>
    </row>
    <row r="105" spans="2:2">
      <c r="B105" s="68" t="e">
        <f ca="1">WORKDAY.INTL(B104,1,1,$D$4:$D$15)</f>
        <v>#NAME?</v>
      </c>
    </row>
    <row r="106" spans="2:2">
      <c r="B106" s="68" t="e">
        <f ca="1">WORKDAY.INTL(B105,1,1,$D$4:$D$15)</f>
        <v>#NAME?</v>
      </c>
    </row>
    <row r="107" spans="2:2">
      <c r="B107" s="68" t="e">
        <f ca="1">WORKDAY.INTL(B106,1,1,$D$4:$D$15)</f>
        <v>#NAME?</v>
      </c>
    </row>
    <row r="108" spans="2:2">
      <c r="B108" s="68" t="e">
        <f ca="1">WORKDAY.INTL(B107,1,1,$D$4:$D$15)</f>
        <v>#NAME?</v>
      </c>
    </row>
    <row r="109" spans="2:2">
      <c r="B109" s="68" t="e">
        <f ca="1">WORKDAY.INTL(B108,1,1,$D$4:$D$15)</f>
        <v>#NAME?</v>
      </c>
    </row>
    <row r="110" spans="2:2">
      <c r="B110" s="68" t="e">
        <f ca="1">WORKDAY.INTL(B109,1,1,$D$4:$D$15)</f>
        <v>#NAME?</v>
      </c>
    </row>
    <row r="111" spans="2:2">
      <c r="B111" s="68" t="e">
        <f ca="1">WORKDAY.INTL(B110,1,1,$D$4:$D$15)</f>
        <v>#NAME?</v>
      </c>
    </row>
    <row r="112" spans="2:2">
      <c r="B112" s="68" t="e">
        <f ca="1">WORKDAY.INTL(B111,1,1,$D$4:$D$15)</f>
        <v>#NAME?</v>
      </c>
    </row>
    <row r="113" spans="2:2">
      <c r="B113" s="68" t="e">
        <f ca="1">WORKDAY.INTL(B112,1,1,$D$4:$D$15)</f>
        <v>#NAME?</v>
      </c>
    </row>
    <row r="114" spans="2:2">
      <c r="B114" s="68" t="e">
        <f ca="1">WORKDAY.INTL(B113,1,1,$D$4:$D$15)</f>
        <v>#NAME?</v>
      </c>
    </row>
    <row r="115" spans="2:2">
      <c r="B115" s="68" t="e">
        <f ca="1">WORKDAY.INTL(B114,1,1,$D$4:$D$15)</f>
        <v>#NAME?</v>
      </c>
    </row>
    <row r="116" spans="2:2">
      <c r="B116" s="68" t="e">
        <f ca="1">WORKDAY.INTL(B115,1,1,$D$4:$D$15)</f>
        <v>#NAME?</v>
      </c>
    </row>
    <row r="117" spans="2:2">
      <c r="B117" s="68" t="e">
        <f ca="1">WORKDAY.INTL(B116,1,1,$D$4:$D$15)</f>
        <v>#NAME?</v>
      </c>
    </row>
    <row r="118" spans="2:2">
      <c r="B118" s="68" t="e">
        <f ca="1">WORKDAY.INTL(B117,1,1,$D$4:$D$15)</f>
        <v>#NAME?</v>
      </c>
    </row>
    <row r="119" spans="2:2">
      <c r="B119" s="68" t="e">
        <f ca="1">WORKDAY.INTL(B118,1,1,$D$4:$D$15)</f>
        <v>#NAME?</v>
      </c>
    </row>
    <row r="120" spans="2:2">
      <c r="B120" s="68" t="e">
        <f ca="1">WORKDAY.INTL(B119,1,1,$D$4:$D$15)</f>
        <v>#NAME?</v>
      </c>
    </row>
    <row r="121" spans="2:2">
      <c r="B121" s="68" t="e">
        <f ca="1">WORKDAY.INTL(B120,1,1,$D$4:$D$15)</f>
        <v>#NAME?</v>
      </c>
    </row>
    <row r="122" spans="2:2">
      <c r="B122" s="68" t="e">
        <f ca="1">WORKDAY.INTL(B121,1,1,$D$4:$D$15)</f>
        <v>#NAME?</v>
      </c>
    </row>
    <row r="123" spans="2:2">
      <c r="B123" s="68" t="e">
        <f ca="1">WORKDAY.INTL(B122,1,1,$D$4:$D$15)</f>
        <v>#NAME?</v>
      </c>
    </row>
    <row r="124" spans="2:2">
      <c r="B124" s="68" t="e">
        <f ca="1">WORKDAY.INTL(B123,1,1,$D$4:$D$15)</f>
        <v>#NAME?</v>
      </c>
    </row>
    <row r="125" spans="2:2">
      <c r="B125" s="68" t="e">
        <f ca="1">WORKDAY.INTL(B124,1,1,$D$4:$D$15)</f>
        <v>#NAME?</v>
      </c>
    </row>
    <row r="126" spans="2:2">
      <c r="B126" s="68" t="e">
        <f ca="1">WORKDAY.INTL(B125,1,1,$D$4:$D$15)</f>
        <v>#NAME?</v>
      </c>
    </row>
    <row r="127" spans="2:2">
      <c r="B127" s="68" t="e">
        <f ca="1">WORKDAY.INTL(B126,1,1,$D$4:$D$15)</f>
        <v>#NAME?</v>
      </c>
    </row>
    <row r="128" spans="2:2">
      <c r="B128" s="68" t="e">
        <f ca="1">WORKDAY.INTL(B127,1,1,$D$4:$D$15)</f>
        <v>#NAME?</v>
      </c>
    </row>
    <row r="129" spans="2:2">
      <c r="B129" s="68" t="e">
        <f ca="1">WORKDAY.INTL(B128,1,1,$D$4:$D$15)</f>
        <v>#NAME?</v>
      </c>
    </row>
    <row r="130" spans="2:2">
      <c r="B130" s="68" t="e">
        <f ca="1">WORKDAY.INTL(B129,1,1,$D$4:$D$15)</f>
        <v>#NAME?</v>
      </c>
    </row>
    <row r="131" spans="2:2">
      <c r="B131" s="68" t="e">
        <f ca="1">WORKDAY.INTL(B130,1,1,$D$4:$D$15)</f>
        <v>#NAME?</v>
      </c>
    </row>
    <row r="132" spans="2:2">
      <c r="B132" s="68" t="e">
        <f ca="1">WORKDAY.INTL(B131,1,1,$D$4:$D$15)</f>
        <v>#NAME?</v>
      </c>
    </row>
    <row r="133" spans="2:2">
      <c r="B133" s="68" t="e">
        <f ca="1">WORKDAY.INTL(B132,1,1,$D$4:$D$15)</f>
        <v>#NAME?</v>
      </c>
    </row>
    <row r="134" spans="2:2">
      <c r="B134" s="68" t="e">
        <f ca="1">WORKDAY.INTL(B133,1,1,$D$4:$D$15)</f>
        <v>#NAME?</v>
      </c>
    </row>
    <row r="135" spans="2:2">
      <c r="B135" s="68" t="e">
        <f ca="1">WORKDAY.INTL(B134,1,1,$D$4:$D$15)</f>
        <v>#NAME?</v>
      </c>
    </row>
    <row r="136" spans="2:2">
      <c r="B136" s="68" t="e">
        <f ca="1">WORKDAY.INTL(B135,1,1,$D$4:$D$15)</f>
        <v>#NAME?</v>
      </c>
    </row>
    <row r="137" spans="2:2">
      <c r="B137" s="68" t="e">
        <f ca="1">WORKDAY.INTL(B136,1,1,$D$4:$D$15)</f>
        <v>#NAME?</v>
      </c>
    </row>
    <row r="138" spans="2:2">
      <c r="B138" s="68" t="e">
        <f ca="1">WORKDAY.INTL(B137,1,1,$D$4:$D$15)</f>
        <v>#NAME?</v>
      </c>
    </row>
    <row r="139" spans="2:2">
      <c r="B139" s="68" t="e">
        <f ca="1">WORKDAY.INTL(B138,1,1,$D$4:$D$15)</f>
        <v>#NAME?</v>
      </c>
    </row>
    <row r="140" spans="2:2">
      <c r="B140" s="68" t="e">
        <f ca="1">WORKDAY.INTL(B139,1,1,$D$4:$D$15)</f>
        <v>#NAME?</v>
      </c>
    </row>
    <row r="141" spans="2:2">
      <c r="B141" s="68" t="e">
        <f ca="1">WORKDAY.INTL(B140,1,1,$D$4:$D$15)</f>
        <v>#NAME?</v>
      </c>
    </row>
    <row r="142" spans="2:2">
      <c r="B142" s="68" t="e">
        <f ca="1">WORKDAY.INTL(B141,1,1,$D$4:$D$15)</f>
        <v>#NAME?</v>
      </c>
    </row>
    <row r="143" spans="2:2">
      <c r="B143" s="68" t="e">
        <f ca="1">WORKDAY.INTL(B142,1,1,$D$4:$D$15)</f>
        <v>#NAME?</v>
      </c>
    </row>
    <row r="144" spans="2:2">
      <c r="B144" s="68" t="e">
        <f ca="1">WORKDAY.INTL(B143,1,1,$D$4:$D$15)</f>
        <v>#NAME?</v>
      </c>
    </row>
    <row r="145" spans="2:2">
      <c r="B145" s="68" t="e">
        <f ca="1">WORKDAY.INTL(B144,1,1,$D$4:$D$15)</f>
        <v>#NAME?</v>
      </c>
    </row>
    <row r="146" spans="2:2">
      <c r="B146" s="68" t="e">
        <f ca="1">WORKDAY.INTL(B145,1,1,$D$4:$D$15)</f>
        <v>#NAME?</v>
      </c>
    </row>
    <row r="147" spans="2:2">
      <c r="B147" s="68" t="e">
        <f ca="1">WORKDAY.INTL(B146,1,1,$D$4:$D$15)</f>
        <v>#NAME?</v>
      </c>
    </row>
    <row r="148" spans="2:2">
      <c r="B148" s="68" t="e">
        <f ca="1">WORKDAY.INTL(B147,1,1,$D$4:$D$15)</f>
        <v>#NAME?</v>
      </c>
    </row>
    <row r="149" spans="2:2">
      <c r="B149" s="68" t="e">
        <f ca="1">WORKDAY.INTL(B148,1,1,$D$4:$D$15)</f>
        <v>#NAME?</v>
      </c>
    </row>
    <row r="150" spans="2:2">
      <c r="B150" s="68" t="e">
        <f ca="1">WORKDAY.INTL(B149,1,1,$D$4:$D$15)</f>
        <v>#NAME?</v>
      </c>
    </row>
    <row r="151" spans="2:2">
      <c r="B151" s="68" t="e">
        <f ca="1">WORKDAY.INTL(B150,1,1,$D$4:$D$15)</f>
        <v>#NAME?</v>
      </c>
    </row>
    <row r="152" spans="2:2">
      <c r="B152" s="68" t="e">
        <f ca="1">WORKDAY.INTL(B151,1,1,$D$4:$D$15)</f>
        <v>#NAME?</v>
      </c>
    </row>
    <row r="153" spans="2:2">
      <c r="B153" s="68" t="e">
        <f ca="1">WORKDAY.INTL(B152,1,1,$D$4:$D$15)</f>
        <v>#NAME?</v>
      </c>
    </row>
    <row r="154" spans="2:2">
      <c r="B154" s="68" t="e">
        <f ca="1">WORKDAY.INTL(B153,1,1,$D$4:$D$15)</f>
        <v>#NAME?</v>
      </c>
    </row>
    <row r="155" spans="2:2">
      <c r="B155" s="68" t="e">
        <f ca="1">WORKDAY.INTL(B154,1,1,$D$4:$D$15)</f>
        <v>#NAME?</v>
      </c>
    </row>
    <row r="156" spans="2:2">
      <c r="B156" s="68" t="e">
        <f ca="1">WORKDAY.INTL(B155,1,1,$D$4:$D$15)</f>
        <v>#NAME?</v>
      </c>
    </row>
    <row r="157" spans="2:2">
      <c r="B157" s="68" t="e">
        <f ca="1">WORKDAY.INTL(B156,1,1,$D$4:$D$15)</f>
        <v>#NAME?</v>
      </c>
    </row>
    <row r="158" spans="2:2">
      <c r="B158" s="68" t="e">
        <f ca="1">WORKDAY.INTL(B157,1,1,$D$4:$D$15)</f>
        <v>#NAME?</v>
      </c>
    </row>
    <row r="159" spans="2:2">
      <c r="B159" s="68" t="e">
        <f ca="1">WORKDAY.INTL(B158,1,1,$D$4:$D$15)</f>
        <v>#NAME?</v>
      </c>
    </row>
    <row r="160" spans="2:2">
      <c r="B160" s="68" t="e">
        <f ca="1">WORKDAY.INTL(B159,1,1,$D$4:$D$15)</f>
        <v>#NAME?</v>
      </c>
    </row>
    <row r="161" spans="2:2">
      <c r="B161" s="68" t="e">
        <f ca="1">WORKDAY.INTL(B160,1,1,$D$4:$D$15)</f>
        <v>#NAME?</v>
      </c>
    </row>
    <row r="162" spans="2:2">
      <c r="B162" s="68" t="e">
        <f ca="1">WORKDAY.INTL(B161,1,1,$D$4:$D$15)</f>
        <v>#NAME?</v>
      </c>
    </row>
    <row r="163" spans="2:2">
      <c r="B163" s="68" t="e">
        <f ca="1">WORKDAY.INTL(B162,1,1,$D$4:$D$15)</f>
        <v>#NAME?</v>
      </c>
    </row>
    <row r="164" spans="2:2">
      <c r="B164" s="68" t="e">
        <f ca="1">WORKDAY.INTL(B163,1,1,$D$4:$D$15)</f>
        <v>#NAME?</v>
      </c>
    </row>
    <row r="165" spans="2:2">
      <c r="B165" s="68" t="e">
        <f ca="1">WORKDAY.INTL(B164,1,1,$D$4:$D$15)</f>
        <v>#NAME?</v>
      </c>
    </row>
    <row r="166" spans="2:2">
      <c r="B166" s="68" t="e">
        <f ca="1">WORKDAY.INTL(B165,1,1,$D$4:$D$15)</f>
        <v>#NAME?</v>
      </c>
    </row>
    <row r="167" spans="2:2">
      <c r="B167" s="68" t="e">
        <f ca="1">WORKDAY.INTL(B166,1,1,$D$4:$D$15)</f>
        <v>#NAME?</v>
      </c>
    </row>
    <row r="168" spans="2:2">
      <c r="B168" s="68" t="e">
        <f ca="1">WORKDAY.INTL(B167,1,1,$D$4:$D$15)</f>
        <v>#NAME?</v>
      </c>
    </row>
    <row r="169" spans="2:2">
      <c r="B169" s="68" t="e">
        <f ca="1">WORKDAY.INTL(B168,1,1,$D$4:$D$15)</f>
        <v>#NAME?</v>
      </c>
    </row>
    <row r="170" spans="2:2">
      <c r="B170" s="68" t="e">
        <f ca="1">WORKDAY.INTL(B169,1,1,$D$4:$D$15)</f>
        <v>#NAME?</v>
      </c>
    </row>
    <row r="171" spans="2:2">
      <c r="B171" s="68" t="e">
        <f ca="1">WORKDAY.INTL(B170,1,1,$D$4:$D$15)</f>
        <v>#NAME?</v>
      </c>
    </row>
    <row r="172" spans="2:2">
      <c r="B172" s="68" t="e">
        <f ca="1">WORKDAY.INTL(B171,1,1,$D$4:$D$15)</f>
        <v>#NAME?</v>
      </c>
    </row>
    <row r="173" spans="2:2">
      <c r="B173" s="68" t="e">
        <f ca="1">WORKDAY.INTL(B172,1,1,$D$4:$D$15)</f>
        <v>#NAME?</v>
      </c>
    </row>
    <row r="174" spans="2:2">
      <c r="B174" s="68" t="e">
        <f ca="1">WORKDAY.INTL(B173,1,1,$D$4:$D$15)</f>
        <v>#NAME?</v>
      </c>
    </row>
    <row r="175" spans="2:2">
      <c r="B175" s="68" t="e">
        <f ca="1">WORKDAY.INTL(B174,1,1,$D$4:$D$15)</f>
        <v>#NAME?</v>
      </c>
    </row>
    <row r="176" spans="2:2">
      <c r="B176" s="68" t="e">
        <f ca="1">WORKDAY.INTL(B175,1,1,$D$4:$D$15)</f>
        <v>#NAME?</v>
      </c>
    </row>
    <row r="177" spans="2:2">
      <c r="B177" s="68" t="e">
        <f ca="1">WORKDAY.INTL(B176,1,1,$D$4:$D$15)</f>
        <v>#NAME?</v>
      </c>
    </row>
    <row r="178" spans="2:2">
      <c r="B178" s="68" t="e">
        <f ca="1">WORKDAY.INTL(B177,1,1,$D$4:$D$15)</f>
        <v>#NAME?</v>
      </c>
    </row>
    <row r="179" spans="2:2">
      <c r="B179" s="68" t="e">
        <f ca="1">WORKDAY.INTL(B178,1,1,$D$4:$D$15)</f>
        <v>#NAME?</v>
      </c>
    </row>
    <row r="180" spans="2:2">
      <c r="B180" s="68" t="e">
        <f ca="1">WORKDAY.INTL(B179,1,1,$D$4:$D$15)</f>
        <v>#NAME?</v>
      </c>
    </row>
    <row r="181" spans="2:2">
      <c r="B181" s="68" t="e">
        <f ca="1">WORKDAY.INTL(B180,1,1,$D$4:$D$15)</f>
        <v>#NAME?</v>
      </c>
    </row>
    <row r="182" spans="2:2">
      <c r="B182" s="68" t="e">
        <f ca="1">WORKDAY.INTL(B181,1,1,$D$4:$D$15)</f>
        <v>#NAME?</v>
      </c>
    </row>
    <row r="183" spans="2:2">
      <c r="B183" s="68" t="e">
        <f ca="1">WORKDAY.INTL(B182,1,1,$D$4:$D$15)</f>
        <v>#NAME?</v>
      </c>
    </row>
    <row r="184" spans="2:2">
      <c r="B184" s="68" t="e">
        <f ca="1">WORKDAY.INTL(B183,1,1,$D$4:$D$15)</f>
        <v>#NAME?</v>
      </c>
    </row>
    <row r="185" spans="2:2">
      <c r="B185" s="68" t="e">
        <f ca="1">WORKDAY.INTL(B184,1,1,$D$4:$D$15)</f>
        <v>#NAME?</v>
      </c>
    </row>
    <row r="186" spans="2:2">
      <c r="B186" s="68" t="e">
        <f ca="1">WORKDAY.INTL(B185,1,1,$D$4:$D$15)</f>
        <v>#NAME?</v>
      </c>
    </row>
    <row r="187" spans="2:2">
      <c r="B187" s="68" t="e">
        <f ca="1">WORKDAY.INTL(B186,1,1,$D$4:$D$15)</f>
        <v>#NAME?</v>
      </c>
    </row>
    <row r="188" spans="2:2">
      <c r="B188" s="68" t="e">
        <f ca="1">WORKDAY.INTL(B187,1,1,$D$4:$D$15)</f>
        <v>#NAME?</v>
      </c>
    </row>
    <row r="189" spans="2:2">
      <c r="B189" s="68" t="e">
        <f ca="1">WORKDAY.INTL(B188,1,1,$D$4:$D$15)</f>
        <v>#NAME?</v>
      </c>
    </row>
    <row r="190" spans="2:2">
      <c r="B190" s="68" t="e">
        <f ca="1">WORKDAY.INTL(B189,1,1,$D$4:$D$15)</f>
        <v>#NAME?</v>
      </c>
    </row>
    <row r="191" spans="2:2">
      <c r="B191" s="68" t="e">
        <f ca="1">WORKDAY.INTL(B190,1,1,$D$4:$D$15)</f>
        <v>#NAME?</v>
      </c>
    </row>
    <row r="192" spans="2:2">
      <c r="B192" s="68" t="e">
        <f ca="1">WORKDAY.INTL(B191,1,1,$D$4:$D$15)</f>
        <v>#NAME?</v>
      </c>
    </row>
    <row r="193" spans="2:2">
      <c r="B193" s="68" t="e">
        <f ca="1">WORKDAY.INTL(B192,1,1,$D$4:$D$15)</f>
        <v>#NAME?</v>
      </c>
    </row>
    <row r="194" spans="2:2">
      <c r="B194" s="68" t="e">
        <f ca="1">WORKDAY.INTL(B193,1,1,$D$4:$D$15)</f>
        <v>#NAME?</v>
      </c>
    </row>
    <row r="195" spans="2:2">
      <c r="B195" s="68" t="e">
        <f ca="1">WORKDAY.INTL(B194,1,1,$D$4:$D$15)</f>
        <v>#NAME?</v>
      </c>
    </row>
    <row r="196" spans="2:2">
      <c r="B196" s="68" t="e">
        <f ca="1">WORKDAY.INTL(B195,1,1,$D$4:$D$15)</f>
        <v>#NAME?</v>
      </c>
    </row>
    <row r="197" spans="2:2">
      <c r="B197" s="68" t="e">
        <f ca="1">WORKDAY.INTL(B196,1,1,$D$4:$D$15)</f>
        <v>#NAME?</v>
      </c>
    </row>
    <row r="198" spans="2:2">
      <c r="B198" s="68" t="e">
        <f ca="1">WORKDAY.INTL(B197,1,1,$D$4:$D$15)</f>
        <v>#NAME?</v>
      </c>
    </row>
    <row r="199" spans="2:2">
      <c r="B199" s="68" t="e">
        <f ca="1">WORKDAY.INTL(B198,1,1,$D$4:$D$15)</f>
        <v>#NAME?</v>
      </c>
    </row>
    <row r="200" spans="2:2">
      <c r="B200" s="68" t="e">
        <f ca="1">WORKDAY.INTL(B199,1,1,$D$4:$D$15)</f>
        <v>#NAME?</v>
      </c>
    </row>
    <row r="201" spans="2:2">
      <c r="B201" s="68" t="e">
        <f ca="1">WORKDAY.INTL(B200,1,1,$D$4:$D$15)</f>
        <v>#NAME?</v>
      </c>
    </row>
    <row r="202" spans="2:2">
      <c r="B202" s="68" t="e">
        <f ca="1">WORKDAY.INTL(B201,1,1,$D$4:$D$15)</f>
        <v>#NAME?</v>
      </c>
    </row>
    <row r="203" spans="2:2">
      <c r="B203" s="68" t="e">
        <f ca="1">WORKDAY.INTL(B202,1,1,$D$4:$D$15)</f>
        <v>#NAME?</v>
      </c>
    </row>
    <row r="204" spans="2:2">
      <c r="B204" s="68" t="e">
        <f ca="1">WORKDAY.INTL(B203,1,1,$D$4:$D$15)</f>
        <v>#NAME?</v>
      </c>
    </row>
    <row r="205" spans="2:2">
      <c r="B205" s="68" t="e">
        <f ca="1">WORKDAY.INTL(B204,1,1,$D$4:$D$15)</f>
        <v>#NAME?</v>
      </c>
    </row>
    <row r="206" spans="2:2">
      <c r="B206" s="68" t="e">
        <f ca="1">WORKDAY.INTL(B205,1,1,$D$4:$D$15)</f>
        <v>#NAME?</v>
      </c>
    </row>
    <row r="207" spans="2:2">
      <c r="B207" s="68" t="e">
        <f ca="1">WORKDAY.INTL(B206,1,1,$D$4:$D$15)</f>
        <v>#NAME?</v>
      </c>
    </row>
    <row r="208" spans="2:2">
      <c r="B208" s="68" t="e">
        <f ca="1">WORKDAY.INTL(B207,1,1,$D$4:$D$15)</f>
        <v>#NAME?</v>
      </c>
    </row>
    <row r="209" spans="2:2">
      <c r="B209" s="68" t="e">
        <f ca="1">WORKDAY.INTL(B208,1,1,$D$4:$D$15)</f>
        <v>#NAME?</v>
      </c>
    </row>
    <row r="210" spans="2:2">
      <c r="B210" s="68" t="e">
        <f ca="1">WORKDAY.INTL(B209,1,1,$D$4:$D$15)</f>
        <v>#NAME?</v>
      </c>
    </row>
    <row r="211" spans="2:2">
      <c r="B211" s="68" t="e">
        <f ca="1">WORKDAY.INTL(B210,1,1,$D$4:$D$15)</f>
        <v>#NAME?</v>
      </c>
    </row>
    <row r="212" spans="2:2">
      <c r="B212" s="68" t="e">
        <f ca="1">WORKDAY.INTL(B211,1,1,$D$4:$D$15)</f>
        <v>#NAME?</v>
      </c>
    </row>
    <row r="213" spans="2:2">
      <c r="B213" s="68" t="e">
        <f ca="1">WORKDAY.INTL(B212,1,1,$D$4:$D$15)</f>
        <v>#NAME?</v>
      </c>
    </row>
    <row r="214" spans="2:2">
      <c r="B214" s="68" t="e">
        <f ca="1">WORKDAY.INTL(B213,1,1,$D$4:$D$15)</f>
        <v>#NAME?</v>
      </c>
    </row>
    <row r="215" spans="2:2">
      <c r="B215" s="68" t="e">
        <f ca="1">WORKDAY.INTL(B214,1,1,$D$4:$D$15)</f>
        <v>#NAME?</v>
      </c>
    </row>
    <row r="216" spans="2:2">
      <c r="B216" s="68" t="e">
        <f ca="1">WORKDAY.INTL(B215,1,1,$D$4:$D$15)</f>
        <v>#NAME?</v>
      </c>
    </row>
    <row r="217" spans="2:2">
      <c r="B217" s="68" t="e">
        <f ca="1">WORKDAY.INTL(B216,1,1,$D$4:$D$15)</f>
        <v>#NAME?</v>
      </c>
    </row>
    <row r="218" spans="2:2">
      <c r="B218" s="68" t="e">
        <f ca="1">WORKDAY.INTL(B217,1,1,$D$4:$D$15)</f>
        <v>#NAME?</v>
      </c>
    </row>
    <row r="219" spans="2:2">
      <c r="B219" s="68" t="e">
        <f ca="1">WORKDAY.INTL(B218,1,1,$D$4:$D$15)</f>
        <v>#NAME?</v>
      </c>
    </row>
    <row r="220" spans="2:2">
      <c r="B220" s="68" t="e">
        <f ca="1">WORKDAY.INTL(B219,1,1,$D$4:$D$15)</f>
        <v>#NAME?</v>
      </c>
    </row>
    <row r="221" spans="2:2">
      <c r="B221" s="68" t="e">
        <f ca="1">WORKDAY.INTL(B220,1,1,$D$4:$D$15)</f>
        <v>#NAME?</v>
      </c>
    </row>
    <row r="222" spans="2:2">
      <c r="B222" s="68" t="e">
        <f ca="1">WORKDAY.INTL(B221,1,1,$D$4:$D$15)</f>
        <v>#NAME?</v>
      </c>
    </row>
    <row r="223" spans="2:2">
      <c r="B223" s="68" t="e">
        <f ca="1">WORKDAY.INTL(B222,1,1,$D$4:$D$15)</f>
        <v>#NAME?</v>
      </c>
    </row>
    <row r="224" spans="2:2">
      <c r="B224" s="68" t="e">
        <f ca="1">WORKDAY.INTL(B223,1,1,$D$4:$D$15)</f>
        <v>#NAME?</v>
      </c>
    </row>
    <row r="225" spans="2:2">
      <c r="B225" s="68" t="e">
        <f ca="1">WORKDAY.INTL(B224,1,1,$D$4:$D$15)</f>
        <v>#NAME?</v>
      </c>
    </row>
    <row r="226" spans="2:2">
      <c r="B226" s="68" t="e">
        <f ca="1">WORKDAY.INTL(B225,1,1,$D$4:$D$15)</f>
        <v>#NAME?</v>
      </c>
    </row>
    <row r="227" spans="2:2">
      <c r="B227" s="68" t="e">
        <f ca="1">WORKDAY.INTL(B226,1,1,$D$4:$D$15)</f>
        <v>#NAME?</v>
      </c>
    </row>
    <row r="228" spans="2:2">
      <c r="B228" s="68" t="e">
        <f ca="1">WORKDAY.INTL(B227,1,1,$D$4:$D$15)</f>
        <v>#NAME?</v>
      </c>
    </row>
    <row r="229" spans="2:2">
      <c r="B229" s="68" t="e">
        <f ca="1">WORKDAY.INTL(B228,1,1,$D$4:$D$15)</f>
        <v>#NAME?</v>
      </c>
    </row>
    <row r="230" spans="2:2">
      <c r="B230" s="68" t="e">
        <f ca="1">WORKDAY.INTL(B229,1,1,$D$4:$D$15)</f>
        <v>#NAME?</v>
      </c>
    </row>
    <row r="231" spans="2:2">
      <c r="B231" s="68" t="e">
        <f ca="1">WORKDAY.INTL(B230,1,1,$D$4:$D$15)</f>
        <v>#NAME?</v>
      </c>
    </row>
    <row r="232" spans="2:2">
      <c r="B232" s="68" t="e">
        <f ca="1">WORKDAY.INTL(B231,1,1,$D$4:$D$15)</f>
        <v>#NAME?</v>
      </c>
    </row>
    <row r="233" spans="2:2">
      <c r="B233" s="68" t="e">
        <f ca="1">WORKDAY.INTL(B232,1,1,$D$4:$D$15)</f>
        <v>#NAME?</v>
      </c>
    </row>
    <row r="234" spans="2:2">
      <c r="B234" s="68" t="e">
        <f ca="1">WORKDAY.INTL(B233,1,1,$D$4:$D$15)</f>
        <v>#NAME?</v>
      </c>
    </row>
    <row r="235" spans="2:2">
      <c r="B235" s="68" t="e">
        <f ca="1">WORKDAY.INTL(B234,1,1,$D$4:$D$15)</f>
        <v>#NAME?</v>
      </c>
    </row>
    <row r="236" spans="2:2">
      <c r="B236" s="68" t="e">
        <f ca="1">WORKDAY.INTL(B235,1,1,$D$4:$D$15)</f>
        <v>#NAME?</v>
      </c>
    </row>
    <row r="237" spans="2:2">
      <c r="B237" s="68" t="e">
        <f ca="1">WORKDAY.INTL(B236,1,1,$D$4:$D$15)</f>
        <v>#NAME?</v>
      </c>
    </row>
    <row r="238" spans="2:2">
      <c r="B238" s="68" t="e">
        <f ca="1">WORKDAY.INTL(B237,1,1,$D$4:$D$15)</f>
        <v>#NAME?</v>
      </c>
    </row>
    <row r="239" spans="2:2">
      <c r="B239" s="68" t="e">
        <f ca="1">WORKDAY.INTL(B238,1,1,$D$4:$D$15)</f>
        <v>#NAME?</v>
      </c>
    </row>
    <row r="240" spans="2:2">
      <c r="B240" s="68" t="e">
        <f ca="1">WORKDAY.INTL(B239,1,1,$D$4:$D$15)</f>
        <v>#NAME?</v>
      </c>
    </row>
    <row r="241" spans="2:2">
      <c r="B241" s="68" t="e">
        <f ca="1">WORKDAY.INTL(B240,1,1,$D$4:$D$15)</f>
        <v>#NAME?</v>
      </c>
    </row>
    <row r="242" spans="2:2">
      <c r="B242" s="68" t="e">
        <f ca="1">WORKDAY.INTL(B241,1,1,$D$4:$D$15)</f>
        <v>#NAME?</v>
      </c>
    </row>
    <row r="243" spans="2:2">
      <c r="B243" s="68" t="e">
        <f ca="1">WORKDAY.INTL(B242,1,1,$D$4:$D$15)</f>
        <v>#NAME?</v>
      </c>
    </row>
    <row r="244" spans="2:2">
      <c r="B244" s="68" t="e">
        <f ca="1">WORKDAY.INTL(B243,1,1,$D$4:$D$15)</f>
        <v>#NAME?</v>
      </c>
    </row>
    <row r="245" spans="2:2">
      <c r="B245" s="68" t="e">
        <f ca="1">WORKDAY.INTL(B244,1,1,$D$4:$D$15)</f>
        <v>#NAME?</v>
      </c>
    </row>
    <row r="246" spans="2:2">
      <c r="B246" s="68" t="e">
        <f ca="1">WORKDAY.INTL(B245,1,1,$D$4:$D$15)</f>
        <v>#NAME?</v>
      </c>
    </row>
    <row r="247" spans="2:2">
      <c r="B247" s="68" t="e">
        <f ca="1">WORKDAY.INTL(B246,1,1,$D$4:$D$15)</f>
        <v>#NAME?</v>
      </c>
    </row>
    <row r="248" spans="2:2">
      <c r="B248" s="68" t="e">
        <f ca="1">WORKDAY.INTL(B247,1,1,$D$4:$D$15)</f>
        <v>#NAME?</v>
      </c>
    </row>
    <row r="249" spans="2:2">
      <c r="B249" s="68" t="e">
        <f ca="1">WORKDAY.INTL(B248,1,1,$D$4:$D$15)</f>
        <v>#NAME?</v>
      </c>
    </row>
    <row r="250" spans="2:2">
      <c r="B250" s="68" t="e">
        <f ca="1">WORKDAY.INTL(B249,1,1,$D$4:$D$15)</f>
        <v>#NAME?</v>
      </c>
    </row>
    <row r="251" spans="2:2">
      <c r="B251" s="68" t="e">
        <f ca="1">WORKDAY.INTL(B250,1,1,$D$4:$D$15)</f>
        <v>#NAME?</v>
      </c>
    </row>
    <row r="252" spans="2:2">
      <c r="B252" s="68" t="e">
        <f ca="1">WORKDAY.INTL(B251,1,1,$D$4:$D$15)</f>
        <v>#NAME?</v>
      </c>
    </row>
    <row r="253" spans="2:2">
      <c r="B253" s="68" t="e">
        <f ca="1">WORKDAY.INTL(B252,1,1,$D$4:$D$15)</f>
        <v>#NAME?</v>
      </c>
    </row>
    <row r="254" spans="2:2">
      <c r="B254" s="68" t="e">
        <f ca="1">WORKDAY.INTL(B253,1,1,$D$4:$D$15)</f>
        <v>#NAME?</v>
      </c>
    </row>
    <row r="255" spans="2:2">
      <c r="B255" s="68"/>
    </row>
    <row r="256" spans="2:2">
      <c r="B256" s="68"/>
    </row>
    <row r="257" spans="2:2">
      <c r="B257" s="68"/>
    </row>
    <row r="258" spans="2:2">
      <c r="B258" s="68"/>
    </row>
    <row r="259" spans="2:2">
      <c r="B259" s="68"/>
    </row>
    <row r="260" spans="2:2">
      <c r="B260" s="68"/>
    </row>
    <row r="261" spans="2:2">
      <c r="B261" s="68"/>
    </row>
    <row r="262" spans="2:2">
      <c r="B262" s="68"/>
    </row>
    <row r="263" spans="2:2">
      <c r="B263" s="68"/>
    </row>
    <row r="264" spans="2:2">
      <c r="B264" s="68"/>
    </row>
    <row r="265" spans="2:2">
      <c r="B265" s="68"/>
    </row>
  </sheetData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3:C9"/>
  <sheetViews>
    <sheetView workbookViewId="0"/>
  </sheetViews>
  <sheetFormatPr defaultRowHeight="15"/>
  <cols>
    <col min="2" max="2" width="15.5703125" bestFit="1" customWidth="1"/>
    <col min="3" max="3" width="12.85546875" customWidth="1"/>
  </cols>
  <sheetData>
    <row r="3" spans="2:3">
      <c r="C3" s="72">
        <v>42140</v>
      </c>
    </row>
    <row r="5" spans="2:3">
      <c r="B5" s="5" t="s">
        <v>227</v>
      </c>
      <c r="C5" s="42">
        <f>YEAR(C3)</f>
        <v>2015</v>
      </c>
    </row>
    <row r="6" spans="2:3">
      <c r="B6" s="5" t="s">
        <v>226</v>
      </c>
      <c r="C6" s="42">
        <f>MONTH(C3)</f>
        <v>5</v>
      </c>
    </row>
    <row r="7" spans="2:3">
      <c r="B7" s="5" t="s">
        <v>225</v>
      </c>
      <c r="C7" s="42">
        <f>DAY(C3)</f>
        <v>16</v>
      </c>
    </row>
    <row r="8" spans="2:3">
      <c r="B8" s="5" t="s">
        <v>224</v>
      </c>
      <c r="C8" s="42">
        <f>WEEKDAY(C3)</f>
        <v>7</v>
      </c>
    </row>
    <row r="9" spans="2:3">
      <c r="B9" s="5" t="s">
        <v>223</v>
      </c>
      <c r="C9" s="42">
        <f>WEEKNUM(C3)</f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3:C15"/>
  <sheetViews>
    <sheetView workbookViewId="0"/>
  </sheetViews>
  <sheetFormatPr defaultRowHeight="15"/>
  <cols>
    <col min="1" max="2" width="10.7109375" bestFit="1" customWidth="1"/>
    <col min="3" max="3" width="27.42578125" bestFit="1" customWidth="1"/>
    <col min="6" max="6" width="10.7109375" bestFit="1" customWidth="1"/>
  </cols>
  <sheetData>
    <row r="3" spans="1:3">
      <c r="A3" s="2" t="s">
        <v>221</v>
      </c>
      <c r="B3" s="2" t="s">
        <v>220</v>
      </c>
      <c r="C3" s="2" t="s">
        <v>228</v>
      </c>
    </row>
    <row r="4" spans="1:3">
      <c r="A4" s="70">
        <v>22243</v>
      </c>
      <c r="B4" s="68">
        <f ca="1">TODAY()</f>
        <v>44814</v>
      </c>
      <c r="C4" s="73" t="str">
        <f ca="1">DATEDIF(A4,B4,"Y")  &amp;  " Years, "  &amp;  DATEDIF(A4,B4,"YM")  &amp;  " Months"</f>
        <v>61 Years, 9 Months</v>
      </c>
    </row>
    <row r="5" spans="1:3">
      <c r="A5" s="70">
        <v>16370</v>
      </c>
      <c r="B5" s="68">
        <f ca="1">TODAY()</f>
        <v>44814</v>
      </c>
      <c r="C5" s="73" t="str">
        <f ca="1">DATEDIF(A5,B5,"Y")  &amp;  " Years, "  &amp;  DATEDIF(A5,B5,"YM")  &amp;  " Months"</f>
        <v>77 Years, 10 Months</v>
      </c>
    </row>
    <row r="6" spans="1:3">
      <c r="A6" s="70">
        <v>7410</v>
      </c>
      <c r="B6" s="68">
        <f ca="1">TODAY()</f>
        <v>44814</v>
      </c>
      <c r="C6" s="73" t="str">
        <f ca="1">DATEDIF(A6,B6,"Y")  &amp;  " Years, "  &amp;  DATEDIF(A6,B6,"YM")  &amp;  " Months"</f>
        <v>102 Years, 4 Months</v>
      </c>
    </row>
    <row r="7" spans="1:3">
      <c r="A7" s="70">
        <v>14851</v>
      </c>
      <c r="B7" s="68">
        <f ca="1">TODAY()</f>
        <v>44814</v>
      </c>
      <c r="C7" s="73" t="str">
        <f ca="1">DATEDIF(A7,B7,"Y")  &amp;  " Years, "  &amp;  DATEDIF(A7,B7,"YM")  &amp;  " Months"</f>
        <v>82 Years, 0 Months</v>
      </c>
    </row>
    <row r="8" spans="1:3">
      <c r="A8" s="70">
        <v>31994</v>
      </c>
      <c r="B8" s="68">
        <f ca="1">TODAY()</f>
        <v>44814</v>
      </c>
      <c r="C8" s="73" t="str">
        <f ca="1">DATEDIF(A8,B8,"Y")  &amp;  " Years, "  &amp;  DATEDIF(A8,B8,"YM")  &amp;  " Months"</f>
        <v>35 Years, 1 Months</v>
      </c>
    </row>
    <row r="9" spans="1:3">
      <c r="A9" s="70">
        <v>30187</v>
      </c>
      <c r="B9" s="68">
        <f ca="1">TODAY()</f>
        <v>44814</v>
      </c>
      <c r="C9" s="73" t="str">
        <f ca="1">DATEDIF(A9,B9,"Y")  &amp;  " Years, "  &amp;  DATEDIF(A9,B9,"YM")  &amp;  " Months"</f>
        <v>40 Years, 0 Months</v>
      </c>
    </row>
    <row r="10" spans="1:3">
      <c r="A10" s="70">
        <v>21626</v>
      </c>
      <c r="B10" s="68">
        <f ca="1">TODAY()</f>
        <v>44814</v>
      </c>
      <c r="C10" s="73" t="str">
        <f ca="1">DATEDIF(A10,B10,"Y")  &amp;  " Years, "  &amp;  DATEDIF(A10,B10,"YM")  &amp;  " Months"</f>
        <v>63 Years, 5 Months</v>
      </c>
    </row>
    <row r="11" spans="1:3">
      <c r="A11" s="70">
        <v>22377</v>
      </c>
      <c r="B11" s="68">
        <f ca="1">TODAY()</f>
        <v>44814</v>
      </c>
      <c r="C11" s="73" t="str">
        <f ca="1">DATEDIF(A11,B11,"Y")  &amp;  " Years, "  &amp;  DATEDIF(A11,B11,"YM")  &amp;  " Months"</f>
        <v>61 Years, 5 Months</v>
      </c>
    </row>
    <row r="12" spans="1:3">
      <c r="A12" s="70">
        <v>16228</v>
      </c>
      <c r="B12" s="68">
        <f ca="1">TODAY()</f>
        <v>44814</v>
      </c>
      <c r="C12" s="73" t="str">
        <f ca="1">DATEDIF(A12,B12,"Y")  &amp;  " Years, "  &amp;  DATEDIF(A12,B12,"YM")  &amp;  " Months"</f>
        <v>78 Years, 3 Months</v>
      </c>
    </row>
    <row r="13" spans="1:3">
      <c r="A13" s="70">
        <v>11032</v>
      </c>
      <c r="B13" s="68">
        <f ca="1">TODAY()</f>
        <v>44814</v>
      </c>
      <c r="C13" s="73" t="str">
        <f ca="1">DATEDIF(A13,B13,"Y")  &amp;  " Years, "  &amp;  DATEDIF(A13,B13,"YM")  &amp;  " Months"</f>
        <v>92 Years, 5 Months</v>
      </c>
    </row>
    <row r="14" spans="1:3">
      <c r="A14" s="70">
        <v>7943</v>
      </c>
      <c r="B14" s="68">
        <f ca="1">TODAY()</f>
        <v>44814</v>
      </c>
      <c r="C14" s="73" t="str">
        <f ca="1">DATEDIF(A14,B14,"Y")  &amp;  " Years, "  &amp;  DATEDIF(A14,B14,"YM")  &amp;  " Months"</f>
        <v>100 Years, 11 Months</v>
      </c>
    </row>
    <row r="15" spans="1:3">
      <c r="A15" s="70">
        <v>19489</v>
      </c>
      <c r="B15" s="68">
        <f ca="1">TODAY()</f>
        <v>44814</v>
      </c>
      <c r="C15" s="73" t="str">
        <f ca="1">DATEDIF(A15,B15,"Y")  &amp;  " Years, "  &amp;  DATEDIF(A15,B15,"YM")  &amp;  " Months"</f>
        <v>69 Years, 4 Months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3:F15"/>
  <sheetViews>
    <sheetView workbookViewId="0"/>
  </sheetViews>
  <sheetFormatPr defaultRowHeight="15"/>
  <cols>
    <col min="1" max="1" width="13.5703125" bestFit="1" customWidth="1"/>
    <col min="2" max="2" width="42.5703125" style="12" customWidth="1"/>
    <col min="3" max="3" width="9.7109375" bestFit="1" customWidth="1"/>
    <col min="6" max="6" width="10.7109375" bestFit="1" customWidth="1"/>
  </cols>
  <sheetData>
    <row r="3" spans="1:6">
      <c r="A3" s="2" t="s">
        <v>230</v>
      </c>
      <c r="B3" s="10" t="s">
        <v>229</v>
      </c>
    </row>
    <row r="4" spans="1:6">
      <c r="A4" s="70">
        <v>21916</v>
      </c>
      <c r="B4" s="12" t="str">
        <f>RIGHT(YEAR(A4),2)&amp;A4-DATE(YEAR(A4),1,0)</f>
        <v>601</v>
      </c>
      <c r="F4" s="70"/>
    </row>
    <row r="5" spans="1:6">
      <c r="A5" s="70">
        <v>16370</v>
      </c>
      <c r="B5" s="12" t="str">
        <f>RIGHT(YEAR(A5),2)&amp;A5-DATE(YEAR(A5),1,0)</f>
        <v>44299</v>
      </c>
      <c r="C5" s="70"/>
    </row>
    <row r="6" spans="1:6">
      <c r="A6" s="70">
        <v>7410</v>
      </c>
      <c r="B6" s="12" t="str">
        <f>RIGHT(YEAR(A6),2)&amp;A6-DATE(YEAR(A6),1,0)</f>
        <v>20105</v>
      </c>
    </row>
    <row r="7" spans="1:6">
      <c r="A7" s="70">
        <v>14851</v>
      </c>
      <c r="B7" s="12" t="str">
        <f>RIGHT(YEAR(A7),2)&amp;A7-DATE(YEAR(A7),1,0)</f>
        <v>40241</v>
      </c>
    </row>
    <row r="8" spans="1:6">
      <c r="A8" s="70">
        <v>31994</v>
      </c>
      <c r="B8" s="12" t="str">
        <f>RIGHT(YEAR(A8),2)&amp;A8-DATE(YEAR(A8),1,0)</f>
        <v>87217</v>
      </c>
    </row>
    <row r="9" spans="1:6">
      <c r="A9" s="70">
        <v>30187</v>
      </c>
      <c r="B9" s="12" t="str">
        <f>RIGHT(YEAR(A9),2)&amp;A9-DATE(YEAR(A9),1,0)</f>
        <v>82236</v>
      </c>
    </row>
    <row r="10" spans="1:6">
      <c r="A10" s="70">
        <v>21626</v>
      </c>
      <c r="B10" s="12" t="str">
        <f>RIGHT(YEAR(A10),2)&amp;A10-DATE(YEAR(A10),1,0)</f>
        <v>5976</v>
      </c>
    </row>
    <row r="11" spans="1:6">
      <c r="A11" s="70">
        <v>22377</v>
      </c>
      <c r="B11" s="12" t="str">
        <f>RIGHT(YEAR(A11),2)&amp;A11-DATE(YEAR(A11),1,0)</f>
        <v>6196</v>
      </c>
    </row>
    <row r="12" spans="1:6">
      <c r="A12" s="70">
        <v>16228</v>
      </c>
      <c r="B12" s="12" t="str">
        <f>RIGHT(YEAR(A12),2)&amp;A12-DATE(YEAR(A12),1,0)</f>
        <v>44157</v>
      </c>
    </row>
    <row r="13" spans="1:6">
      <c r="A13" s="70">
        <v>11032</v>
      </c>
      <c r="B13" s="12" t="str">
        <f>RIGHT(YEAR(A13),2)&amp;A13-DATE(YEAR(A13),1,0)</f>
        <v>3074</v>
      </c>
    </row>
    <row r="14" spans="1:6">
      <c r="A14" s="70">
        <v>36798</v>
      </c>
      <c r="B14" s="12" t="str">
        <f>RIGHT(YEAR(A14),2)&amp;A14-DATE(YEAR(A14),1,0)</f>
        <v>00273</v>
      </c>
    </row>
    <row r="15" spans="1:6">
      <c r="A15" s="70">
        <v>41769</v>
      </c>
      <c r="B15" s="12" t="str">
        <f>RIGHT(YEAR(A15),2)&amp;A15-DATE(YEAR(A15),1,0)</f>
        <v>14130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E18"/>
  <sheetViews>
    <sheetView workbookViewId="0"/>
  </sheetViews>
  <sheetFormatPr defaultRowHeight="15"/>
  <cols>
    <col min="2" max="2" width="24.7109375" style="12" bestFit="1" customWidth="1"/>
    <col min="3" max="3" width="22.42578125" style="12" bestFit="1" customWidth="1"/>
    <col min="5" max="5" width="24.42578125" bestFit="1" customWidth="1"/>
    <col min="6" max="6" width="29" bestFit="1" customWidth="1"/>
  </cols>
  <sheetData>
    <row r="2" spans="2:3">
      <c r="B2" s="10" t="s">
        <v>221</v>
      </c>
      <c r="C2" s="10" t="s">
        <v>220</v>
      </c>
    </row>
    <row r="3" spans="2:3">
      <c r="B3" s="68">
        <f ca="1">DATE(YEAR(TODAY()),1,1)</f>
        <v>44562</v>
      </c>
      <c r="C3" s="68">
        <f ca="1">TODAY()</f>
        <v>44814</v>
      </c>
    </row>
    <row r="6" spans="2:3">
      <c r="B6" s="10" t="s">
        <v>232</v>
      </c>
      <c r="C6" s="10" t="s">
        <v>231</v>
      </c>
    </row>
    <row r="7" spans="2:3">
      <c r="B7" s="13">
        <f ca="1">YEARFRAC(B3,C3)</f>
        <v>0.69166666666666665</v>
      </c>
      <c r="C7" s="13">
        <f ca="1">1-YEARFRAC(B3,C3)</f>
        <v>0.30833333333333335</v>
      </c>
    </row>
    <row r="9" spans="2:3">
      <c r="B9" s="52"/>
    </row>
    <row r="18" spans="5:5" customFormat="1">
      <c r="E18" s="70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C18"/>
  <sheetViews>
    <sheetView workbookViewId="0"/>
  </sheetViews>
  <sheetFormatPr defaultRowHeight="15"/>
  <cols>
    <col min="2" max="2" width="19.42578125" style="12" bestFit="1" customWidth="1"/>
    <col min="3" max="3" width="33.85546875" style="12" customWidth="1"/>
  </cols>
  <sheetData>
    <row r="2" spans="2:3">
      <c r="B2" s="10" t="s">
        <v>234</v>
      </c>
      <c r="C2" s="10" t="s">
        <v>233</v>
      </c>
    </row>
    <row r="3" spans="2:3">
      <c r="B3" s="68">
        <v>36192</v>
      </c>
      <c r="C3" s="68">
        <f>DATE(YEAR(B3),MONTH(B3)+1,0)</f>
        <v>36219</v>
      </c>
    </row>
    <row r="4" spans="2:3">
      <c r="B4" s="68">
        <v>36557</v>
      </c>
      <c r="C4" s="68">
        <f>DATE(YEAR(B4),MONTH(B4)+1,0)</f>
        <v>36585</v>
      </c>
    </row>
    <row r="5" spans="2:3">
      <c r="B5" s="68">
        <v>36923</v>
      </c>
      <c r="C5" s="68">
        <f>DATE(YEAR(B5),MONTH(B5)+1,0)</f>
        <v>36950</v>
      </c>
    </row>
    <row r="6" spans="2:3">
      <c r="B6" s="68">
        <v>37288</v>
      </c>
      <c r="C6" s="68">
        <f>DATE(YEAR(B6),MONTH(B6)+1,0)</f>
        <v>37315</v>
      </c>
    </row>
    <row r="7" spans="2:3">
      <c r="B7" s="68">
        <v>37653</v>
      </c>
      <c r="C7" s="68">
        <f>DATE(YEAR(B7),MONTH(B7)+1,0)</f>
        <v>37680</v>
      </c>
    </row>
    <row r="8" spans="2:3">
      <c r="B8" s="68">
        <v>38018</v>
      </c>
      <c r="C8" s="68">
        <f>DATE(YEAR(B8),MONTH(B8)+1,0)</f>
        <v>38046</v>
      </c>
    </row>
    <row r="9" spans="2:3">
      <c r="B9" s="68">
        <v>38384</v>
      </c>
      <c r="C9" s="68">
        <f>DATE(YEAR(B9),MONTH(B9)+1,0)</f>
        <v>38411</v>
      </c>
    </row>
    <row r="10" spans="2:3">
      <c r="B10" s="68">
        <v>38749</v>
      </c>
      <c r="C10" s="68">
        <f>DATE(YEAR(B10),MONTH(B10)+1,0)</f>
        <v>38776</v>
      </c>
    </row>
    <row r="11" spans="2:3">
      <c r="B11" s="68">
        <v>39114</v>
      </c>
      <c r="C11" s="68">
        <f>DATE(YEAR(B11),MONTH(B11)+1,0)</f>
        <v>39141</v>
      </c>
    </row>
    <row r="12" spans="2:3">
      <c r="B12" s="68">
        <v>39479</v>
      </c>
      <c r="C12" s="68">
        <f>DATE(YEAR(B12),MONTH(B12)+1,0)</f>
        <v>39507</v>
      </c>
    </row>
    <row r="13" spans="2:3">
      <c r="B13" s="68">
        <v>39845</v>
      </c>
      <c r="C13" s="68">
        <f>DATE(YEAR(B13),MONTH(B13)+1,0)</f>
        <v>39872</v>
      </c>
    </row>
    <row r="14" spans="2:3">
      <c r="B14" s="68">
        <v>40210</v>
      </c>
      <c r="C14" s="68">
        <f>DATE(YEAR(B14),MONTH(B14)+1,0)</f>
        <v>40237</v>
      </c>
    </row>
    <row r="15" spans="2:3">
      <c r="B15" s="68">
        <v>40575</v>
      </c>
      <c r="C15" s="68">
        <f>DATE(YEAR(B15),MONTH(B15)+1,0)</f>
        <v>40602</v>
      </c>
    </row>
    <row r="16" spans="2:3">
      <c r="B16" s="68">
        <v>40940</v>
      </c>
      <c r="C16" s="68">
        <f>DATE(YEAR(B16),MONTH(B16)+1,0)</f>
        <v>40968</v>
      </c>
    </row>
    <row r="17" spans="2:3">
      <c r="B17" s="68">
        <v>41306</v>
      </c>
      <c r="C17" s="68">
        <f>DATE(YEAR(B17),MONTH(B17)+1,0)</f>
        <v>41333</v>
      </c>
    </row>
    <row r="18" spans="2:3">
      <c r="B18" s="68">
        <v>41671</v>
      </c>
      <c r="C18" s="68">
        <f>DATE(YEAR(B18),MONTH(B18)+1,0)</f>
        <v>41698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D18"/>
  <sheetViews>
    <sheetView workbookViewId="0"/>
  </sheetViews>
  <sheetFormatPr defaultRowHeight="15"/>
  <cols>
    <col min="2" max="2" width="19.42578125" style="12" bestFit="1" customWidth="1"/>
    <col min="3" max="3" width="33.85546875" style="12" customWidth="1"/>
    <col min="4" max="4" width="10.7109375" bestFit="1" customWidth="1"/>
  </cols>
  <sheetData>
    <row r="2" spans="2:4">
      <c r="B2" s="10" t="s">
        <v>234</v>
      </c>
      <c r="C2" s="10" t="s">
        <v>233</v>
      </c>
    </row>
    <row r="3" spans="2:4">
      <c r="B3" s="68">
        <v>36161</v>
      </c>
      <c r="C3" s="68">
        <f>EOMONTH(B3,1)</f>
        <v>36219</v>
      </c>
      <c r="D3" s="68"/>
    </row>
    <row r="4" spans="2:4">
      <c r="B4" s="68">
        <v>36526</v>
      </c>
      <c r="C4" s="68">
        <f>EOMONTH(B4,1)</f>
        <v>36585</v>
      </c>
    </row>
    <row r="5" spans="2:4">
      <c r="B5" s="68">
        <v>36892</v>
      </c>
      <c r="C5" s="68">
        <f>EOMONTH(B5,1)</f>
        <v>36950</v>
      </c>
    </row>
    <row r="6" spans="2:4">
      <c r="B6" s="68">
        <v>37257</v>
      </c>
      <c r="C6" s="68">
        <f>EOMONTH(B6,1)</f>
        <v>37315</v>
      </c>
    </row>
    <row r="7" spans="2:4">
      <c r="B7" s="68">
        <v>37622</v>
      </c>
      <c r="C7" s="68">
        <f>EOMONTH(B7,1)</f>
        <v>37680</v>
      </c>
    </row>
    <row r="8" spans="2:4">
      <c r="B8" s="68">
        <v>37987</v>
      </c>
      <c r="C8" s="68">
        <f>EOMONTH(B8,1)</f>
        <v>38046</v>
      </c>
    </row>
    <row r="9" spans="2:4">
      <c r="B9" s="68">
        <v>38353</v>
      </c>
      <c r="C9" s="68">
        <f>EOMONTH(B9,1)</f>
        <v>38411</v>
      </c>
    </row>
    <row r="10" spans="2:4">
      <c r="B10" s="68">
        <v>38718</v>
      </c>
      <c r="C10" s="68">
        <f>EOMONTH(B10,1)</f>
        <v>38776</v>
      </c>
    </row>
    <row r="11" spans="2:4">
      <c r="B11" s="68">
        <v>39083</v>
      </c>
      <c r="C11" s="68">
        <f>EOMONTH(B11,1)</f>
        <v>39141</v>
      </c>
    </row>
    <row r="12" spans="2:4">
      <c r="B12" s="68">
        <v>39448</v>
      </c>
      <c r="C12" s="68">
        <f>EOMONTH(B12,1)</f>
        <v>39507</v>
      </c>
    </row>
    <row r="13" spans="2:4">
      <c r="B13" s="68">
        <v>39814</v>
      </c>
      <c r="C13" s="68">
        <f>EOMONTH(B13,1)</f>
        <v>39872</v>
      </c>
    </row>
    <row r="14" spans="2:4">
      <c r="B14" s="68">
        <v>40179</v>
      </c>
      <c r="C14" s="68">
        <f>EOMONTH(B14,1)</f>
        <v>40237</v>
      </c>
    </row>
    <row r="15" spans="2:4">
      <c r="B15" s="68">
        <v>40544</v>
      </c>
      <c r="C15" s="68">
        <f>EOMONTH(B15,1)</f>
        <v>40602</v>
      </c>
    </row>
    <row r="16" spans="2:4">
      <c r="B16" s="68">
        <v>40909</v>
      </c>
      <c r="C16" s="68">
        <f>EOMONTH(B16,1)</f>
        <v>40968</v>
      </c>
    </row>
    <row r="17" spans="2:3">
      <c r="B17" s="68">
        <v>41275</v>
      </c>
      <c r="C17" s="68">
        <f>EOMONTH(B17,1)</f>
        <v>41333</v>
      </c>
    </row>
    <row r="18" spans="2:3">
      <c r="B18" s="68">
        <v>41640</v>
      </c>
      <c r="C18" s="68">
        <f>EOMONTH(B18,1)</f>
        <v>41698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cols>
    <col min="2" max="2" width="10.7109375" bestFit="1" customWidth="1"/>
    <col min="3" max="3" width="32" customWidth="1"/>
  </cols>
  <sheetData>
    <row r="2" spans="2:3">
      <c r="B2" s="2" t="s">
        <v>236</v>
      </c>
      <c r="C2" s="2" t="s">
        <v>235</v>
      </c>
    </row>
    <row r="3" spans="2:3">
      <c r="B3" s="70">
        <v>41275</v>
      </c>
      <c r="C3" s="74">
        <f>ROUNDUP(MONTH(B3)/3,0)</f>
        <v>1</v>
      </c>
    </row>
    <row r="4" spans="2:3">
      <c r="B4" s="70">
        <v>41295</v>
      </c>
      <c r="C4" s="74">
        <f>ROUNDUP(MONTH(B4)/3,0)</f>
        <v>1</v>
      </c>
    </row>
    <row r="5" spans="2:3">
      <c r="B5" s="70">
        <v>41362</v>
      </c>
      <c r="C5" s="74">
        <f>ROUNDUP(MONTH(B5)/3,0)</f>
        <v>1</v>
      </c>
    </row>
    <row r="6" spans="2:3">
      <c r="B6" s="70">
        <v>41364</v>
      </c>
      <c r="C6" s="74">
        <f>ROUNDUP(MONTH(B6)/3,0)</f>
        <v>1</v>
      </c>
    </row>
    <row r="7" spans="2:3">
      <c r="B7" s="70">
        <v>41425</v>
      </c>
      <c r="C7" s="74">
        <f>ROUNDUP(MONTH(B7)/3,0)</f>
        <v>2</v>
      </c>
    </row>
    <row r="8" spans="2:3">
      <c r="B8" s="70">
        <v>41459</v>
      </c>
      <c r="C8" s="74">
        <f>ROUNDUP(MONTH(B8)/3,0)</f>
        <v>3</v>
      </c>
    </row>
    <row r="9" spans="2:3">
      <c r="B9" s="70">
        <v>41518</v>
      </c>
      <c r="C9" s="74">
        <f>ROUNDUP(MONTH(B9)/3,0)</f>
        <v>3</v>
      </c>
    </row>
    <row r="10" spans="2:3">
      <c r="B10" s="70">
        <v>41561</v>
      </c>
      <c r="C10" s="74">
        <f>ROUNDUP(MONTH(B10)/3,0)</f>
        <v>4</v>
      </c>
    </row>
    <row r="11" spans="2:3">
      <c r="B11" s="70">
        <v>41606</v>
      </c>
      <c r="C11" s="74">
        <f>ROUNDUP(MONTH(B11)/3,0)</f>
        <v>4</v>
      </c>
    </row>
    <row r="12" spans="2:3">
      <c r="B12" s="70">
        <v>41632</v>
      </c>
      <c r="C12" s="74">
        <f>ROUNDUP(MONTH(B12)/3,0)</f>
        <v>4</v>
      </c>
    </row>
    <row r="13" spans="2:3">
      <c r="B13" s="70">
        <v>41633</v>
      </c>
      <c r="C13" s="74">
        <f>ROUNDUP(MONTH(B13)/3,0)</f>
        <v>4</v>
      </c>
    </row>
    <row r="14" spans="2:3">
      <c r="B14" s="70">
        <v>41639</v>
      </c>
      <c r="C14" s="74">
        <f>ROUNDUP(MONTH(B14)/3,0)</f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H14"/>
  <sheetViews>
    <sheetView workbookViewId="0"/>
  </sheetViews>
  <sheetFormatPr defaultRowHeight="15"/>
  <cols>
    <col min="2" max="2" width="10.7109375" bestFit="1" customWidth="1"/>
    <col min="3" max="3" width="46.5703125" style="12" customWidth="1"/>
    <col min="6" max="6" width="10.7109375" bestFit="1" customWidth="1"/>
    <col min="8" max="8" width="10.7109375" bestFit="1" customWidth="1"/>
  </cols>
  <sheetData>
    <row r="2" spans="2:8" ht="28.5">
      <c r="B2" s="2" t="s">
        <v>236</v>
      </c>
      <c r="C2" s="50" t="s">
        <v>237</v>
      </c>
      <c r="F2" s="12"/>
    </row>
    <row r="3" spans="2:8">
      <c r="B3" s="70">
        <v>41275</v>
      </c>
      <c r="C3" s="12">
        <f>CHOOSE(MONTH(B3),4,4,4,1,1,1,2,2,2,3,3,3)</f>
        <v>4</v>
      </c>
      <c r="F3" s="68"/>
      <c r="H3" s="70"/>
    </row>
    <row r="4" spans="2:8">
      <c r="B4" s="70">
        <v>41295</v>
      </c>
      <c r="C4" s="12">
        <f>CHOOSE(MONTH(B4),4,4,4,1,1,1,2,2,2,3,3,3)</f>
        <v>4</v>
      </c>
      <c r="H4" s="70"/>
    </row>
    <row r="5" spans="2:8">
      <c r="B5" s="70">
        <v>41362</v>
      </c>
      <c r="C5" s="12">
        <f>CHOOSE(MONTH(B5),4,4,4,1,1,1,2,2,2,3,3,3)</f>
        <v>4</v>
      </c>
      <c r="H5" s="70"/>
    </row>
    <row r="6" spans="2:8">
      <c r="B6" s="70">
        <v>41364</v>
      </c>
      <c r="C6" s="12">
        <f>CHOOSE(MONTH(B6),4,4,4,1,1,1,2,2,2,3,3,3)</f>
        <v>4</v>
      </c>
      <c r="H6" s="70"/>
    </row>
    <row r="7" spans="2:8">
      <c r="B7" s="70">
        <v>41425</v>
      </c>
      <c r="C7" s="12">
        <f>CHOOSE(MONTH(B7),4,4,4,1,1,1,2,2,2,3,3,3)</f>
        <v>1</v>
      </c>
      <c r="H7" s="70"/>
    </row>
    <row r="8" spans="2:8">
      <c r="B8" s="70">
        <v>41459</v>
      </c>
      <c r="C8" s="12">
        <f>CHOOSE(MONTH(B8),4,4,4,1,1,1,2,2,2,3,3,3)</f>
        <v>2</v>
      </c>
      <c r="H8" s="70"/>
    </row>
    <row r="9" spans="2:8">
      <c r="B9" s="70">
        <v>41518</v>
      </c>
      <c r="C9" s="12">
        <f>CHOOSE(MONTH(B9),4,4,4,1,1,1,2,2,2,3,3,3)</f>
        <v>2</v>
      </c>
      <c r="H9" s="70"/>
    </row>
    <row r="10" spans="2:8">
      <c r="B10" s="70">
        <v>41561</v>
      </c>
      <c r="C10" s="12">
        <f>CHOOSE(MONTH(B10),4,4,4,1,1,1,2,2,2,3,3,3)</f>
        <v>3</v>
      </c>
      <c r="H10" s="70"/>
    </row>
    <row r="11" spans="2:8">
      <c r="B11" s="70">
        <v>41606</v>
      </c>
      <c r="C11" s="12">
        <f>CHOOSE(MONTH(B11),4,4,4,1,1,1,2,2,2,3,3,3)</f>
        <v>3</v>
      </c>
      <c r="H11" s="70"/>
    </row>
    <row r="12" spans="2:8">
      <c r="B12" s="70">
        <v>41632</v>
      </c>
      <c r="C12" s="12">
        <f>CHOOSE(MONTH(B12),4,4,4,1,1,1,2,2,2,3,3,3)</f>
        <v>3</v>
      </c>
      <c r="H12" s="70"/>
    </row>
    <row r="13" spans="2:8">
      <c r="B13" s="70">
        <v>41633</v>
      </c>
      <c r="C13" s="12">
        <f>CHOOSE(MONTH(B13),4,4,4,1,1,1,2,2,2,3,3,3)</f>
        <v>3</v>
      </c>
      <c r="H13" s="70"/>
    </row>
    <row r="14" spans="2:8">
      <c r="B14" s="70">
        <v>41639</v>
      </c>
      <c r="C14" s="12">
        <f>CHOOSE(MONTH(B14),4,4,4,1,1,1,2,2,2,3,3,3)</f>
        <v>3</v>
      </c>
      <c r="H14" s="7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F14"/>
  <sheetViews>
    <sheetView workbookViewId="0"/>
  </sheetViews>
  <sheetFormatPr defaultRowHeight="15"/>
  <cols>
    <col min="2" max="2" width="10.7109375" bestFit="1" customWidth="1"/>
    <col min="3" max="3" width="43.42578125" style="12" customWidth="1"/>
    <col min="6" max="6" width="10.7109375" bestFit="1" customWidth="1"/>
    <col min="8" max="8" width="10.7109375" bestFit="1" customWidth="1"/>
  </cols>
  <sheetData>
    <row r="2" spans="2:6" ht="41.25">
      <c r="B2" s="9" t="s">
        <v>236</v>
      </c>
      <c r="C2" s="50" t="s">
        <v>238</v>
      </c>
      <c r="F2" s="12"/>
    </row>
    <row r="3" spans="2:6">
      <c r="B3" s="75">
        <v>41275</v>
      </c>
      <c r="C3" s="12" t="str">
        <f>TEXT(EOMONTH(B3-20,1),"mmm")</f>
        <v>Jan</v>
      </c>
      <c r="F3" s="68"/>
    </row>
    <row r="4" spans="2:6">
      <c r="B4" s="75">
        <v>41275</v>
      </c>
      <c r="C4" s="12" t="str">
        <f>TEXT(EOMONTH(B4-20,1),"mmm")</f>
        <v>Jan</v>
      </c>
    </row>
    <row r="5" spans="2:6">
      <c r="B5" s="75">
        <v>41295</v>
      </c>
      <c r="C5" s="12" t="str">
        <f>TEXT(EOMONTH(B5-20,1),"mmm")</f>
        <v>Feb</v>
      </c>
    </row>
    <row r="6" spans="2:6">
      <c r="B6" s="75">
        <v>41353</v>
      </c>
      <c r="C6" s="12" t="str">
        <f>TEXT(EOMONTH(B6-20,1),"mmm")</f>
        <v>Mar</v>
      </c>
    </row>
    <row r="7" spans="2:6">
      <c r="B7" s="75">
        <v>41364</v>
      </c>
      <c r="C7" s="12" t="str">
        <f>TEXT(EOMONTH(B7-20,1),"mmm")</f>
        <v>Apr</v>
      </c>
    </row>
    <row r="8" spans="2:6">
      <c r="B8" s="75">
        <v>41385</v>
      </c>
      <c r="C8" s="12" t="str">
        <f>TEXT(EOMONTH(B8-20,1),"mmm")</f>
        <v>May</v>
      </c>
    </row>
    <row r="9" spans="2:6">
      <c r="B9" s="75">
        <v>41445</v>
      </c>
      <c r="C9" s="12" t="str">
        <f>TEXT(EOMONTH(B9-20,1),"mmm")</f>
        <v>Jun</v>
      </c>
    </row>
    <row r="10" spans="2:6">
      <c r="B10" s="75">
        <v>41446</v>
      </c>
      <c r="C10" s="12" t="str">
        <f>TEXT(EOMONTH(B10-20,1),"mmm")</f>
        <v>Jul</v>
      </c>
    </row>
    <row r="11" spans="2:6">
      <c r="B11" s="75">
        <v>41476</v>
      </c>
      <c r="C11" s="12" t="str">
        <f>TEXT(EOMONTH(B11-20,1),"mmm")</f>
        <v>Aug</v>
      </c>
    </row>
    <row r="12" spans="2:6">
      <c r="B12" s="75"/>
    </row>
    <row r="13" spans="2:6">
      <c r="B13" s="75"/>
    </row>
    <row r="14" spans="2:6">
      <c r="B14" s="7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7.28515625" customWidth="1"/>
    <col min="2" max="2" width="10" customWidth="1"/>
    <col min="3" max="9" width="11.28515625" style="12" customWidth="1"/>
  </cols>
  <sheetData>
    <row r="1" spans="1:9" ht="45">
      <c r="B1" s="80" t="s">
        <v>248</v>
      </c>
    </row>
    <row r="2" spans="1:9">
      <c r="B2" s="42">
        <v>2</v>
      </c>
      <c r="D2" s="79"/>
    </row>
    <row r="4" spans="1:9">
      <c r="B4" s="70"/>
      <c r="C4" s="78">
        <v>1</v>
      </c>
      <c r="D4" s="78">
        <v>2</v>
      </c>
      <c r="E4" s="78">
        <v>3</v>
      </c>
      <c r="F4" s="78">
        <v>4</v>
      </c>
      <c r="G4" s="78">
        <v>5</v>
      </c>
      <c r="H4" s="78">
        <v>6</v>
      </c>
      <c r="I4" s="78">
        <v>7</v>
      </c>
    </row>
    <row r="5" spans="1:9" s="53" customFormat="1" ht="30">
      <c r="A5" s="23" t="s">
        <v>247</v>
      </c>
      <c r="B5" s="23" t="s">
        <v>246</v>
      </c>
      <c r="C5" s="77" t="s">
        <v>245</v>
      </c>
      <c r="D5" s="77" t="s">
        <v>244</v>
      </c>
      <c r="E5" s="77" t="s">
        <v>243</v>
      </c>
      <c r="F5" s="77" t="s">
        <v>242</v>
      </c>
      <c r="G5" s="77" t="s">
        <v>241</v>
      </c>
      <c r="H5" s="77" t="s">
        <v>240</v>
      </c>
      <c r="I5" s="77" t="s">
        <v>239</v>
      </c>
    </row>
    <row r="6" spans="1:9">
      <c r="A6" s="42">
        <v>2014</v>
      </c>
      <c r="B6" s="42">
        <v>1</v>
      </c>
      <c r="C6" s="76">
        <f>DATE($A6,$B6,1)+C$4-WEEKDAY(DATE($A6,$B6,1))+($B$2-(C$4&gt;=WEEKDAY(DATE($A6,$B6,1))))*7</f>
        <v>41651</v>
      </c>
      <c r="D6" s="76">
        <f>DATE($A6,$B6,1)+D$4-WEEKDAY(DATE($A6,$B6,1))+($B$2-(D$4&gt;=WEEKDAY(DATE($A6,$B6,1))))*7</f>
        <v>41652</v>
      </c>
      <c r="E6" s="76">
        <f>DATE($A6,$B6,1)+E$4-WEEKDAY(DATE($A6,$B6,1))+($B$2-(E$4&gt;=WEEKDAY(DATE($A6,$B6,1))))*7</f>
        <v>41653</v>
      </c>
      <c r="F6" s="76">
        <f>DATE($A6,$B6,1)+F$4-WEEKDAY(DATE($A6,$B6,1))+($B$2-(F$4&gt;=WEEKDAY(DATE($A6,$B6,1))))*7</f>
        <v>41647</v>
      </c>
      <c r="G6" s="76">
        <f>DATE($A6,$B6,1)+G$4-WEEKDAY(DATE($A6,$B6,1))+($B$2-(G$4&gt;=WEEKDAY(DATE($A6,$B6,1))))*7</f>
        <v>41648</v>
      </c>
      <c r="H6" s="76">
        <f>DATE($A6,$B6,1)+H$4-WEEKDAY(DATE($A6,$B6,1))+($B$2-(H$4&gt;=WEEKDAY(DATE($A6,$B6,1))))*7</f>
        <v>41649</v>
      </c>
      <c r="I6" s="76">
        <f>DATE($A6,$B6,1)+I$4-WEEKDAY(DATE($A6,$B6,1))+($B$2-(I$4&gt;=WEEKDAY(DATE($A6,$B6,1))))*7</f>
        <v>41650</v>
      </c>
    </row>
    <row r="7" spans="1:9">
      <c r="A7" s="42">
        <v>2014</v>
      </c>
      <c r="B7" s="42">
        <v>2</v>
      </c>
      <c r="C7" s="76">
        <f>DATE($A7,$B7,1)+C$4-WEEKDAY(DATE($A7,$B7,1))+($B$2-(C$4&gt;=WEEKDAY(DATE($A7,$B7,1))))*7</f>
        <v>41679</v>
      </c>
      <c r="D7" s="76">
        <f>DATE($A7,$B7,1)+D$4-WEEKDAY(DATE($A7,$B7,1))+($B$2-(D$4&gt;=WEEKDAY(DATE($A7,$B7,1))))*7</f>
        <v>41680</v>
      </c>
      <c r="E7" s="76">
        <f>DATE($A7,$B7,1)+E$4-WEEKDAY(DATE($A7,$B7,1))+($B$2-(E$4&gt;=WEEKDAY(DATE($A7,$B7,1))))*7</f>
        <v>41681</v>
      </c>
      <c r="F7" s="76">
        <f>DATE($A7,$B7,1)+F$4-WEEKDAY(DATE($A7,$B7,1))+($B$2-(F$4&gt;=WEEKDAY(DATE($A7,$B7,1))))*7</f>
        <v>41682</v>
      </c>
      <c r="G7" s="76">
        <f>DATE($A7,$B7,1)+G$4-WEEKDAY(DATE($A7,$B7,1))+($B$2-(G$4&gt;=WEEKDAY(DATE($A7,$B7,1))))*7</f>
        <v>41683</v>
      </c>
      <c r="H7" s="76">
        <f>DATE($A7,$B7,1)+H$4-WEEKDAY(DATE($A7,$B7,1))+($B$2-(H$4&gt;=WEEKDAY(DATE($A7,$B7,1))))*7</f>
        <v>41684</v>
      </c>
      <c r="I7" s="76">
        <f>DATE($A7,$B7,1)+I$4-WEEKDAY(DATE($A7,$B7,1))+($B$2-(I$4&gt;=WEEKDAY(DATE($A7,$B7,1))))*7</f>
        <v>41678</v>
      </c>
    </row>
    <row r="8" spans="1:9">
      <c r="A8" s="42">
        <v>2014</v>
      </c>
      <c r="B8" s="42">
        <v>3</v>
      </c>
      <c r="C8" s="76">
        <f>DATE($A8,$B8,1)+C$4-WEEKDAY(DATE($A8,$B8,1))+($B$2-(C$4&gt;=WEEKDAY(DATE($A8,$B8,1))))*7</f>
        <v>41707</v>
      </c>
      <c r="D8" s="76">
        <f>DATE($A8,$B8,1)+D$4-WEEKDAY(DATE($A8,$B8,1))+($B$2-(D$4&gt;=WEEKDAY(DATE($A8,$B8,1))))*7</f>
        <v>41708</v>
      </c>
      <c r="E8" s="76">
        <f>DATE($A8,$B8,1)+E$4-WEEKDAY(DATE($A8,$B8,1))+($B$2-(E$4&gt;=WEEKDAY(DATE($A8,$B8,1))))*7</f>
        <v>41709</v>
      </c>
      <c r="F8" s="76">
        <f>DATE($A8,$B8,1)+F$4-WEEKDAY(DATE($A8,$B8,1))+($B$2-(F$4&gt;=WEEKDAY(DATE($A8,$B8,1))))*7</f>
        <v>41710</v>
      </c>
      <c r="G8" s="76">
        <f>DATE($A8,$B8,1)+G$4-WEEKDAY(DATE($A8,$B8,1))+($B$2-(G$4&gt;=WEEKDAY(DATE($A8,$B8,1))))*7</f>
        <v>41711</v>
      </c>
      <c r="H8" s="76">
        <f>DATE($A8,$B8,1)+H$4-WEEKDAY(DATE($A8,$B8,1))+($B$2-(H$4&gt;=WEEKDAY(DATE($A8,$B8,1))))*7</f>
        <v>41712</v>
      </c>
      <c r="I8" s="76">
        <f>DATE($A8,$B8,1)+I$4-WEEKDAY(DATE($A8,$B8,1))+($B$2-(I$4&gt;=WEEKDAY(DATE($A8,$B8,1))))*7</f>
        <v>41706</v>
      </c>
    </row>
    <row r="9" spans="1:9">
      <c r="A9" s="42">
        <v>2014</v>
      </c>
      <c r="B9" s="42">
        <v>4</v>
      </c>
      <c r="C9" s="76">
        <f>DATE($A9,$B9,1)+C$4-WEEKDAY(DATE($A9,$B9,1))+($B$2-(C$4&gt;=WEEKDAY(DATE($A9,$B9,1))))*7</f>
        <v>41742</v>
      </c>
      <c r="D9" s="76">
        <f>DATE($A9,$B9,1)+D$4-WEEKDAY(DATE($A9,$B9,1))+($B$2-(D$4&gt;=WEEKDAY(DATE($A9,$B9,1))))*7</f>
        <v>41743</v>
      </c>
      <c r="E9" s="76">
        <f>DATE($A9,$B9,1)+E$4-WEEKDAY(DATE($A9,$B9,1))+($B$2-(E$4&gt;=WEEKDAY(DATE($A9,$B9,1))))*7</f>
        <v>41737</v>
      </c>
      <c r="F9" s="76">
        <f>DATE($A9,$B9,1)+F$4-WEEKDAY(DATE($A9,$B9,1))+($B$2-(F$4&gt;=WEEKDAY(DATE($A9,$B9,1))))*7</f>
        <v>41738</v>
      </c>
      <c r="G9" s="76">
        <f>DATE($A9,$B9,1)+G$4-WEEKDAY(DATE($A9,$B9,1))+($B$2-(G$4&gt;=WEEKDAY(DATE($A9,$B9,1))))*7</f>
        <v>41739</v>
      </c>
      <c r="H9" s="76">
        <f>DATE($A9,$B9,1)+H$4-WEEKDAY(DATE($A9,$B9,1))+($B$2-(H$4&gt;=WEEKDAY(DATE($A9,$B9,1))))*7</f>
        <v>41740</v>
      </c>
      <c r="I9" s="76">
        <f>DATE($A9,$B9,1)+I$4-WEEKDAY(DATE($A9,$B9,1))+($B$2-(I$4&gt;=WEEKDAY(DATE($A9,$B9,1))))*7</f>
        <v>41741</v>
      </c>
    </row>
    <row r="10" spans="1:9">
      <c r="A10" s="42">
        <v>2014</v>
      </c>
      <c r="B10" s="42">
        <v>5</v>
      </c>
      <c r="C10" s="76">
        <f>DATE($A10,$B10,1)+C$4-WEEKDAY(DATE($A10,$B10,1))+($B$2-(C$4&gt;=WEEKDAY(DATE($A10,$B10,1))))*7</f>
        <v>41770</v>
      </c>
      <c r="D10" s="76">
        <f>DATE($A10,$B10,1)+D$4-WEEKDAY(DATE($A10,$B10,1))+($B$2-(D$4&gt;=WEEKDAY(DATE($A10,$B10,1))))*7</f>
        <v>41771</v>
      </c>
      <c r="E10" s="76">
        <f>DATE($A10,$B10,1)+E$4-WEEKDAY(DATE($A10,$B10,1))+($B$2-(E$4&gt;=WEEKDAY(DATE($A10,$B10,1))))*7</f>
        <v>41772</v>
      </c>
      <c r="F10" s="76">
        <f>DATE($A10,$B10,1)+F$4-WEEKDAY(DATE($A10,$B10,1))+($B$2-(F$4&gt;=WEEKDAY(DATE($A10,$B10,1))))*7</f>
        <v>41773</v>
      </c>
      <c r="G10" s="76">
        <f>DATE($A10,$B10,1)+G$4-WEEKDAY(DATE($A10,$B10,1))+($B$2-(G$4&gt;=WEEKDAY(DATE($A10,$B10,1))))*7</f>
        <v>41767</v>
      </c>
      <c r="H10" s="76">
        <f>DATE($A10,$B10,1)+H$4-WEEKDAY(DATE($A10,$B10,1))+($B$2-(H$4&gt;=WEEKDAY(DATE($A10,$B10,1))))*7</f>
        <v>41768</v>
      </c>
      <c r="I10" s="76">
        <f>DATE($A10,$B10,1)+I$4-WEEKDAY(DATE($A10,$B10,1))+($B$2-(I$4&gt;=WEEKDAY(DATE($A10,$B10,1))))*7</f>
        <v>41769</v>
      </c>
    </row>
    <row r="11" spans="1:9">
      <c r="A11" s="42">
        <v>2014</v>
      </c>
      <c r="B11" s="42">
        <v>6</v>
      </c>
      <c r="C11" s="76">
        <f>DATE($A11,$B11,1)+C$4-WEEKDAY(DATE($A11,$B11,1))+($B$2-(C$4&gt;=WEEKDAY(DATE($A11,$B11,1))))*7</f>
        <v>41798</v>
      </c>
      <c r="D11" s="76">
        <f>DATE($A11,$B11,1)+D$4-WEEKDAY(DATE($A11,$B11,1))+($B$2-(D$4&gt;=WEEKDAY(DATE($A11,$B11,1))))*7</f>
        <v>41799</v>
      </c>
      <c r="E11" s="76">
        <f>DATE($A11,$B11,1)+E$4-WEEKDAY(DATE($A11,$B11,1))+($B$2-(E$4&gt;=WEEKDAY(DATE($A11,$B11,1))))*7</f>
        <v>41800</v>
      </c>
      <c r="F11" s="76">
        <f>DATE($A11,$B11,1)+F$4-WEEKDAY(DATE($A11,$B11,1))+($B$2-(F$4&gt;=WEEKDAY(DATE($A11,$B11,1))))*7</f>
        <v>41801</v>
      </c>
      <c r="G11" s="76">
        <f>DATE($A11,$B11,1)+G$4-WEEKDAY(DATE($A11,$B11,1))+($B$2-(G$4&gt;=WEEKDAY(DATE($A11,$B11,1))))*7</f>
        <v>41802</v>
      </c>
      <c r="H11" s="76">
        <f>DATE($A11,$B11,1)+H$4-WEEKDAY(DATE($A11,$B11,1))+($B$2-(H$4&gt;=WEEKDAY(DATE($A11,$B11,1))))*7</f>
        <v>41803</v>
      </c>
      <c r="I11" s="76">
        <f>DATE($A11,$B11,1)+I$4-WEEKDAY(DATE($A11,$B11,1))+($B$2-(I$4&gt;=WEEKDAY(DATE($A11,$B11,1))))*7</f>
        <v>41804</v>
      </c>
    </row>
    <row r="12" spans="1:9">
      <c r="A12" s="42">
        <v>2014</v>
      </c>
      <c r="B12" s="42">
        <v>7</v>
      </c>
      <c r="C12" s="76">
        <f>DATE($A12,$B12,1)+C$4-WEEKDAY(DATE($A12,$B12,1))+($B$2-(C$4&gt;=WEEKDAY(DATE($A12,$B12,1))))*7</f>
        <v>41833</v>
      </c>
      <c r="D12" s="76">
        <f>DATE($A12,$B12,1)+D$4-WEEKDAY(DATE($A12,$B12,1))+($B$2-(D$4&gt;=WEEKDAY(DATE($A12,$B12,1))))*7</f>
        <v>41834</v>
      </c>
      <c r="E12" s="76">
        <f>DATE($A12,$B12,1)+E$4-WEEKDAY(DATE($A12,$B12,1))+($B$2-(E$4&gt;=WEEKDAY(DATE($A12,$B12,1))))*7</f>
        <v>41828</v>
      </c>
      <c r="F12" s="76">
        <f>DATE($A12,$B12,1)+F$4-WEEKDAY(DATE($A12,$B12,1))+($B$2-(F$4&gt;=WEEKDAY(DATE($A12,$B12,1))))*7</f>
        <v>41829</v>
      </c>
      <c r="G12" s="76">
        <f>DATE($A12,$B12,1)+G$4-WEEKDAY(DATE($A12,$B12,1))+($B$2-(G$4&gt;=WEEKDAY(DATE($A12,$B12,1))))*7</f>
        <v>41830</v>
      </c>
      <c r="H12" s="76">
        <f>DATE($A12,$B12,1)+H$4-WEEKDAY(DATE($A12,$B12,1))+($B$2-(H$4&gt;=WEEKDAY(DATE($A12,$B12,1))))*7</f>
        <v>41831</v>
      </c>
      <c r="I12" s="76">
        <f>DATE($A12,$B12,1)+I$4-WEEKDAY(DATE($A12,$B12,1))+($B$2-(I$4&gt;=WEEKDAY(DATE($A12,$B12,1))))*7</f>
        <v>41832</v>
      </c>
    </row>
    <row r="13" spans="1:9">
      <c r="A13" s="42">
        <v>2014</v>
      </c>
      <c r="B13" s="42">
        <v>8</v>
      </c>
      <c r="C13" s="76">
        <f>DATE($A13,$B13,1)+C$4-WEEKDAY(DATE($A13,$B13,1))+($B$2-(C$4&gt;=WEEKDAY(DATE($A13,$B13,1))))*7</f>
        <v>41861</v>
      </c>
      <c r="D13" s="76">
        <f>DATE($A13,$B13,1)+D$4-WEEKDAY(DATE($A13,$B13,1))+($B$2-(D$4&gt;=WEEKDAY(DATE($A13,$B13,1))))*7</f>
        <v>41862</v>
      </c>
      <c r="E13" s="76">
        <f>DATE($A13,$B13,1)+E$4-WEEKDAY(DATE($A13,$B13,1))+($B$2-(E$4&gt;=WEEKDAY(DATE($A13,$B13,1))))*7</f>
        <v>41863</v>
      </c>
      <c r="F13" s="76">
        <f>DATE($A13,$B13,1)+F$4-WEEKDAY(DATE($A13,$B13,1))+($B$2-(F$4&gt;=WEEKDAY(DATE($A13,$B13,1))))*7</f>
        <v>41864</v>
      </c>
      <c r="G13" s="76">
        <f>DATE($A13,$B13,1)+G$4-WEEKDAY(DATE($A13,$B13,1))+($B$2-(G$4&gt;=WEEKDAY(DATE($A13,$B13,1))))*7</f>
        <v>41865</v>
      </c>
      <c r="H13" s="76">
        <f>DATE($A13,$B13,1)+H$4-WEEKDAY(DATE($A13,$B13,1))+($B$2-(H$4&gt;=WEEKDAY(DATE($A13,$B13,1))))*7</f>
        <v>41859</v>
      </c>
      <c r="I13" s="76">
        <f>DATE($A13,$B13,1)+I$4-WEEKDAY(DATE($A13,$B13,1))+($B$2-(I$4&gt;=WEEKDAY(DATE($A13,$B13,1))))*7</f>
        <v>41860</v>
      </c>
    </row>
    <row r="14" spans="1:9">
      <c r="A14" s="42">
        <v>2014</v>
      </c>
      <c r="B14" s="42">
        <v>9</v>
      </c>
      <c r="C14" s="76">
        <f>DATE($A14,$B14,1)+C$4-WEEKDAY(DATE($A14,$B14,1))+($B$2-(C$4&gt;=WEEKDAY(DATE($A14,$B14,1))))*7</f>
        <v>41896</v>
      </c>
      <c r="D14" s="76">
        <f>DATE($A14,$B14,1)+D$4-WEEKDAY(DATE($A14,$B14,1))+($B$2-(D$4&gt;=WEEKDAY(DATE($A14,$B14,1))))*7</f>
        <v>41890</v>
      </c>
      <c r="E14" s="76">
        <f>DATE($A14,$B14,1)+E$4-WEEKDAY(DATE($A14,$B14,1))+($B$2-(E$4&gt;=WEEKDAY(DATE($A14,$B14,1))))*7</f>
        <v>41891</v>
      </c>
      <c r="F14" s="76">
        <f>DATE($A14,$B14,1)+F$4-WEEKDAY(DATE($A14,$B14,1))+($B$2-(F$4&gt;=WEEKDAY(DATE($A14,$B14,1))))*7</f>
        <v>41892</v>
      </c>
      <c r="G14" s="76">
        <f>DATE($A14,$B14,1)+G$4-WEEKDAY(DATE($A14,$B14,1))+($B$2-(G$4&gt;=WEEKDAY(DATE($A14,$B14,1))))*7</f>
        <v>41893</v>
      </c>
      <c r="H14" s="76">
        <f>DATE($A14,$B14,1)+H$4-WEEKDAY(DATE($A14,$B14,1))+($B$2-(H$4&gt;=WEEKDAY(DATE($A14,$B14,1))))*7</f>
        <v>41894</v>
      </c>
      <c r="I14" s="76">
        <f>DATE($A14,$B14,1)+I$4-WEEKDAY(DATE($A14,$B14,1))+($B$2-(I$4&gt;=WEEKDAY(DATE($A14,$B14,1))))*7</f>
        <v>41895</v>
      </c>
    </row>
    <row r="15" spans="1:9">
      <c r="A15" s="42">
        <v>2014</v>
      </c>
      <c r="B15" s="42">
        <v>10</v>
      </c>
      <c r="C15" s="76">
        <f>DATE($A15,$B15,1)+C$4-WEEKDAY(DATE($A15,$B15,1))+($B$2-(C$4&gt;=WEEKDAY(DATE($A15,$B15,1))))*7</f>
        <v>41924</v>
      </c>
      <c r="D15" s="76">
        <f>DATE($A15,$B15,1)+D$4-WEEKDAY(DATE($A15,$B15,1))+($B$2-(D$4&gt;=WEEKDAY(DATE($A15,$B15,1))))*7</f>
        <v>41925</v>
      </c>
      <c r="E15" s="76">
        <f>DATE($A15,$B15,1)+E$4-WEEKDAY(DATE($A15,$B15,1))+($B$2-(E$4&gt;=WEEKDAY(DATE($A15,$B15,1))))*7</f>
        <v>41926</v>
      </c>
      <c r="F15" s="76">
        <f>DATE($A15,$B15,1)+F$4-WEEKDAY(DATE($A15,$B15,1))+($B$2-(F$4&gt;=WEEKDAY(DATE($A15,$B15,1))))*7</f>
        <v>41920</v>
      </c>
      <c r="G15" s="76">
        <f>DATE($A15,$B15,1)+G$4-WEEKDAY(DATE($A15,$B15,1))+($B$2-(G$4&gt;=WEEKDAY(DATE($A15,$B15,1))))*7</f>
        <v>41921</v>
      </c>
      <c r="H15" s="76">
        <f>DATE($A15,$B15,1)+H$4-WEEKDAY(DATE($A15,$B15,1))+($B$2-(H$4&gt;=WEEKDAY(DATE($A15,$B15,1))))*7</f>
        <v>41922</v>
      </c>
      <c r="I15" s="76">
        <f>DATE($A15,$B15,1)+I$4-WEEKDAY(DATE($A15,$B15,1))+($B$2-(I$4&gt;=WEEKDAY(DATE($A15,$B15,1))))*7</f>
        <v>41923</v>
      </c>
    </row>
    <row r="16" spans="1:9">
      <c r="A16" s="42">
        <v>2014</v>
      </c>
      <c r="B16" s="42">
        <v>11</v>
      </c>
      <c r="C16" s="76">
        <f>DATE($A16,$B16,1)+C$4-WEEKDAY(DATE($A16,$B16,1))+($B$2-(C$4&gt;=WEEKDAY(DATE($A16,$B16,1))))*7</f>
        <v>41952</v>
      </c>
      <c r="D16" s="76">
        <f>DATE($A16,$B16,1)+D$4-WEEKDAY(DATE($A16,$B16,1))+($B$2-(D$4&gt;=WEEKDAY(DATE($A16,$B16,1))))*7</f>
        <v>41953</v>
      </c>
      <c r="E16" s="76">
        <f>DATE($A16,$B16,1)+E$4-WEEKDAY(DATE($A16,$B16,1))+($B$2-(E$4&gt;=WEEKDAY(DATE($A16,$B16,1))))*7</f>
        <v>41954</v>
      </c>
      <c r="F16" s="76">
        <f>DATE($A16,$B16,1)+F$4-WEEKDAY(DATE($A16,$B16,1))+($B$2-(F$4&gt;=WEEKDAY(DATE($A16,$B16,1))))*7</f>
        <v>41955</v>
      </c>
      <c r="G16" s="76">
        <f>DATE($A16,$B16,1)+G$4-WEEKDAY(DATE($A16,$B16,1))+($B$2-(G$4&gt;=WEEKDAY(DATE($A16,$B16,1))))*7</f>
        <v>41956</v>
      </c>
      <c r="H16" s="76">
        <f>DATE($A16,$B16,1)+H$4-WEEKDAY(DATE($A16,$B16,1))+($B$2-(H$4&gt;=WEEKDAY(DATE($A16,$B16,1))))*7</f>
        <v>41957</v>
      </c>
      <c r="I16" s="76">
        <f>DATE($A16,$B16,1)+I$4-WEEKDAY(DATE($A16,$B16,1))+($B$2-(I$4&gt;=WEEKDAY(DATE($A16,$B16,1))))*7</f>
        <v>41951</v>
      </c>
    </row>
    <row r="17" spans="1:9">
      <c r="A17" s="42">
        <v>2014</v>
      </c>
      <c r="B17" s="42">
        <v>12</v>
      </c>
      <c r="C17" s="76">
        <f>DATE($A17,$B17,1)+C$4-WEEKDAY(DATE($A17,$B17,1))+($B$2-(C$4&gt;=WEEKDAY(DATE($A17,$B17,1))))*7</f>
        <v>41987</v>
      </c>
      <c r="D17" s="76">
        <f>DATE($A17,$B17,1)+D$4-WEEKDAY(DATE($A17,$B17,1))+($B$2-(D$4&gt;=WEEKDAY(DATE($A17,$B17,1))))*7</f>
        <v>41981</v>
      </c>
      <c r="E17" s="76">
        <f>DATE($A17,$B17,1)+E$4-WEEKDAY(DATE($A17,$B17,1))+($B$2-(E$4&gt;=WEEKDAY(DATE($A17,$B17,1))))*7</f>
        <v>41982</v>
      </c>
      <c r="F17" s="76">
        <f>DATE($A17,$B17,1)+F$4-WEEKDAY(DATE($A17,$B17,1))+($B$2-(F$4&gt;=WEEKDAY(DATE($A17,$B17,1))))*7</f>
        <v>41983</v>
      </c>
      <c r="G17" s="76">
        <f>DATE($A17,$B17,1)+G$4-WEEKDAY(DATE($A17,$B17,1))+($B$2-(G$4&gt;=WEEKDAY(DATE($A17,$B17,1))))*7</f>
        <v>41984</v>
      </c>
      <c r="H17" s="76">
        <f>DATE($A17,$B17,1)+H$4-WEEKDAY(DATE($A17,$B17,1))+($B$2-(H$4&gt;=WEEKDAY(DATE($A17,$B17,1))))*7</f>
        <v>41985</v>
      </c>
      <c r="I17" s="76">
        <f>DATE($A17,$B17,1)+I$4-WEEKDAY(DATE($A17,$B17,1))+($B$2-(I$4&gt;=WEEKDAY(DATE($A17,$B17,1))))*7</f>
        <v>41986</v>
      </c>
    </row>
    <row r="18" spans="1:9">
      <c r="A18" s="42">
        <v>2015</v>
      </c>
      <c r="B18" s="42">
        <v>1</v>
      </c>
      <c r="C18" s="76">
        <f>DATE($A18,$B18,1)+C$4-WEEKDAY(DATE($A18,$B18,1))+($B$2-(C$4&gt;=WEEKDAY(DATE($A18,$B18,1))))*7</f>
        <v>42015</v>
      </c>
      <c r="D18" s="76">
        <f>DATE($A18,$B18,1)+D$4-WEEKDAY(DATE($A18,$B18,1))+($B$2-(D$4&gt;=WEEKDAY(DATE($A18,$B18,1))))*7</f>
        <v>42016</v>
      </c>
      <c r="E18" s="76">
        <f>DATE($A18,$B18,1)+E$4-WEEKDAY(DATE($A18,$B18,1))+($B$2-(E$4&gt;=WEEKDAY(DATE($A18,$B18,1))))*7</f>
        <v>42017</v>
      </c>
      <c r="F18" s="76">
        <f>DATE($A18,$B18,1)+F$4-WEEKDAY(DATE($A18,$B18,1))+($B$2-(F$4&gt;=WEEKDAY(DATE($A18,$B18,1))))*7</f>
        <v>42018</v>
      </c>
      <c r="G18" s="76">
        <f>DATE($A18,$B18,1)+G$4-WEEKDAY(DATE($A18,$B18,1))+($B$2-(G$4&gt;=WEEKDAY(DATE($A18,$B18,1))))*7</f>
        <v>42012</v>
      </c>
      <c r="H18" s="76">
        <f>DATE($A18,$B18,1)+H$4-WEEKDAY(DATE($A18,$B18,1))+($B$2-(H$4&gt;=WEEKDAY(DATE($A18,$B18,1))))*7</f>
        <v>42013</v>
      </c>
      <c r="I18" s="76">
        <f>DATE($A18,$B18,1)+I$4-WEEKDAY(DATE($A18,$B18,1))+($B$2-(I$4&gt;=WEEKDAY(DATE($A18,$B18,1))))*7</f>
        <v>42014</v>
      </c>
    </row>
    <row r="19" spans="1:9">
      <c r="A19" s="42">
        <v>2015</v>
      </c>
      <c r="B19" s="42">
        <v>2</v>
      </c>
      <c r="C19" s="76">
        <f>DATE($A19,$B19,1)+C$4-WEEKDAY(DATE($A19,$B19,1))+($B$2-(C$4&gt;=WEEKDAY(DATE($A19,$B19,1))))*7</f>
        <v>42043</v>
      </c>
      <c r="D19" s="76">
        <f>DATE($A19,$B19,1)+D$4-WEEKDAY(DATE($A19,$B19,1))+($B$2-(D$4&gt;=WEEKDAY(DATE($A19,$B19,1))))*7</f>
        <v>42044</v>
      </c>
      <c r="E19" s="76">
        <f>DATE($A19,$B19,1)+E$4-WEEKDAY(DATE($A19,$B19,1))+($B$2-(E$4&gt;=WEEKDAY(DATE($A19,$B19,1))))*7</f>
        <v>42045</v>
      </c>
      <c r="F19" s="76">
        <f>DATE($A19,$B19,1)+F$4-WEEKDAY(DATE($A19,$B19,1))+($B$2-(F$4&gt;=WEEKDAY(DATE($A19,$B19,1))))*7</f>
        <v>42046</v>
      </c>
      <c r="G19" s="76">
        <f>DATE($A19,$B19,1)+G$4-WEEKDAY(DATE($A19,$B19,1))+($B$2-(G$4&gt;=WEEKDAY(DATE($A19,$B19,1))))*7</f>
        <v>42047</v>
      </c>
      <c r="H19" s="76">
        <f>DATE($A19,$B19,1)+H$4-WEEKDAY(DATE($A19,$B19,1))+($B$2-(H$4&gt;=WEEKDAY(DATE($A19,$B19,1))))*7</f>
        <v>42048</v>
      </c>
      <c r="I19" s="76">
        <f>DATE($A19,$B19,1)+I$4-WEEKDAY(DATE($A19,$B19,1))+($B$2-(I$4&gt;=WEEKDAY(DATE($A19,$B19,1))))*7</f>
        <v>42049</v>
      </c>
    </row>
    <row r="20" spans="1:9">
      <c r="A20" s="42">
        <v>2015</v>
      </c>
      <c r="B20" s="42">
        <v>3</v>
      </c>
      <c r="C20" s="76">
        <f>DATE($A20,$B20,1)+C$4-WEEKDAY(DATE($A20,$B20,1))+($B$2-(C$4&gt;=WEEKDAY(DATE($A20,$B20,1))))*7</f>
        <v>42071</v>
      </c>
      <c r="D20" s="76">
        <f>DATE($A20,$B20,1)+D$4-WEEKDAY(DATE($A20,$B20,1))+($B$2-(D$4&gt;=WEEKDAY(DATE($A20,$B20,1))))*7</f>
        <v>42072</v>
      </c>
      <c r="E20" s="76">
        <f>DATE($A20,$B20,1)+E$4-WEEKDAY(DATE($A20,$B20,1))+($B$2-(E$4&gt;=WEEKDAY(DATE($A20,$B20,1))))*7</f>
        <v>42073</v>
      </c>
      <c r="F20" s="76">
        <f>DATE($A20,$B20,1)+F$4-WEEKDAY(DATE($A20,$B20,1))+($B$2-(F$4&gt;=WEEKDAY(DATE($A20,$B20,1))))*7</f>
        <v>42074</v>
      </c>
      <c r="G20" s="76">
        <f>DATE($A20,$B20,1)+G$4-WEEKDAY(DATE($A20,$B20,1))+($B$2-(G$4&gt;=WEEKDAY(DATE($A20,$B20,1))))*7</f>
        <v>42075</v>
      </c>
      <c r="H20" s="76">
        <f>DATE($A20,$B20,1)+H$4-WEEKDAY(DATE($A20,$B20,1))+($B$2-(H$4&gt;=WEEKDAY(DATE($A20,$B20,1))))*7</f>
        <v>42076</v>
      </c>
      <c r="I20" s="76">
        <f>DATE($A20,$B20,1)+I$4-WEEKDAY(DATE($A20,$B20,1))+($B$2-(I$4&gt;=WEEKDAY(DATE($A20,$B20,1))))*7</f>
        <v>42077</v>
      </c>
    </row>
    <row r="21" spans="1:9">
      <c r="A21" s="42">
        <v>2015</v>
      </c>
      <c r="B21" s="42">
        <v>4</v>
      </c>
      <c r="C21" s="76">
        <f>DATE($A21,$B21,1)+C$4-WEEKDAY(DATE($A21,$B21,1))+($B$2-(C$4&gt;=WEEKDAY(DATE($A21,$B21,1))))*7</f>
        <v>42106</v>
      </c>
      <c r="D21" s="76">
        <f>DATE($A21,$B21,1)+D$4-WEEKDAY(DATE($A21,$B21,1))+($B$2-(D$4&gt;=WEEKDAY(DATE($A21,$B21,1))))*7</f>
        <v>42107</v>
      </c>
      <c r="E21" s="76">
        <f>DATE($A21,$B21,1)+E$4-WEEKDAY(DATE($A21,$B21,1))+($B$2-(E$4&gt;=WEEKDAY(DATE($A21,$B21,1))))*7</f>
        <v>42108</v>
      </c>
      <c r="F21" s="76">
        <f>DATE($A21,$B21,1)+F$4-WEEKDAY(DATE($A21,$B21,1))+($B$2-(F$4&gt;=WEEKDAY(DATE($A21,$B21,1))))*7</f>
        <v>42102</v>
      </c>
      <c r="G21" s="76">
        <f>DATE($A21,$B21,1)+G$4-WEEKDAY(DATE($A21,$B21,1))+($B$2-(G$4&gt;=WEEKDAY(DATE($A21,$B21,1))))*7</f>
        <v>42103</v>
      </c>
      <c r="H21" s="76">
        <f>DATE($A21,$B21,1)+H$4-WEEKDAY(DATE($A21,$B21,1))+($B$2-(H$4&gt;=WEEKDAY(DATE($A21,$B21,1))))*7</f>
        <v>42104</v>
      </c>
      <c r="I21" s="76">
        <f>DATE($A21,$B21,1)+I$4-WEEKDAY(DATE($A21,$B21,1))+($B$2-(I$4&gt;=WEEKDAY(DATE($A21,$B21,1))))*7</f>
        <v>42105</v>
      </c>
    </row>
    <row r="22" spans="1:9">
      <c r="A22" s="42">
        <v>2015</v>
      </c>
      <c r="B22" s="42">
        <v>5</v>
      </c>
      <c r="C22" s="76">
        <f>DATE($A22,$B22,1)+C$4-WEEKDAY(DATE($A22,$B22,1))+($B$2-(C$4&gt;=WEEKDAY(DATE($A22,$B22,1))))*7</f>
        <v>42134</v>
      </c>
      <c r="D22" s="76">
        <f>DATE($A22,$B22,1)+D$4-WEEKDAY(DATE($A22,$B22,1))+($B$2-(D$4&gt;=WEEKDAY(DATE($A22,$B22,1))))*7</f>
        <v>42135</v>
      </c>
      <c r="E22" s="76">
        <f>DATE($A22,$B22,1)+E$4-WEEKDAY(DATE($A22,$B22,1))+($B$2-(E$4&gt;=WEEKDAY(DATE($A22,$B22,1))))*7</f>
        <v>42136</v>
      </c>
      <c r="F22" s="76">
        <f>DATE($A22,$B22,1)+F$4-WEEKDAY(DATE($A22,$B22,1))+($B$2-(F$4&gt;=WEEKDAY(DATE($A22,$B22,1))))*7</f>
        <v>42137</v>
      </c>
      <c r="G22" s="76">
        <f>DATE($A22,$B22,1)+G$4-WEEKDAY(DATE($A22,$B22,1))+($B$2-(G$4&gt;=WEEKDAY(DATE($A22,$B22,1))))*7</f>
        <v>42138</v>
      </c>
      <c r="H22" s="76">
        <f>DATE($A22,$B22,1)+H$4-WEEKDAY(DATE($A22,$B22,1))+($B$2-(H$4&gt;=WEEKDAY(DATE($A22,$B22,1))))*7</f>
        <v>42132</v>
      </c>
      <c r="I22" s="76">
        <f>DATE($A22,$B22,1)+I$4-WEEKDAY(DATE($A22,$B22,1))+($B$2-(I$4&gt;=WEEKDAY(DATE($A22,$B22,1))))*7</f>
        <v>42133</v>
      </c>
    </row>
    <row r="23" spans="1:9">
      <c r="A23" s="42">
        <v>2015</v>
      </c>
      <c r="B23" s="42">
        <v>6</v>
      </c>
      <c r="C23" s="76">
        <f>DATE($A23,$B23,1)+C$4-WEEKDAY(DATE($A23,$B23,1))+($B$2-(C$4&gt;=WEEKDAY(DATE($A23,$B23,1))))*7</f>
        <v>42169</v>
      </c>
      <c r="D23" s="76">
        <f>DATE($A23,$B23,1)+D$4-WEEKDAY(DATE($A23,$B23,1))+($B$2-(D$4&gt;=WEEKDAY(DATE($A23,$B23,1))))*7</f>
        <v>42163</v>
      </c>
      <c r="E23" s="76">
        <f>DATE($A23,$B23,1)+E$4-WEEKDAY(DATE($A23,$B23,1))+($B$2-(E$4&gt;=WEEKDAY(DATE($A23,$B23,1))))*7</f>
        <v>42164</v>
      </c>
      <c r="F23" s="76">
        <f>DATE($A23,$B23,1)+F$4-WEEKDAY(DATE($A23,$B23,1))+($B$2-(F$4&gt;=WEEKDAY(DATE($A23,$B23,1))))*7</f>
        <v>42165</v>
      </c>
      <c r="G23" s="76">
        <f>DATE($A23,$B23,1)+G$4-WEEKDAY(DATE($A23,$B23,1))+($B$2-(G$4&gt;=WEEKDAY(DATE($A23,$B23,1))))*7</f>
        <v>42166</v>
      </c>
      <c r="H23" s="76">
        <f>DATE($A23,$B23,1)+H$4-WEEKDAY(DATE($A23,$B23,1))+($B$2-(H$4&gt;=WEEKDAY(DATE($A23,$B23,1))))*7</f>
        <v>42167</v>
      </c>
      <c r="I23" s="76">
        <f>DATE($A23,$B23,1)+I$4-WEEKDAY(DATE($A23,$B23,1))+($B$2-(I$4&gt;=WEEKDAY(DATE($A23,$B23,1))))*7</f>
        <v>42168</v>
      </c>
    </row>
    <row r="24" spans="1:9">
      <c r="A24" s="42">
        <v>2015</v>
      </c>
      <c r="B24" s="42">
        <v>7</v>
      </c>
      <c r="C24" s="76">
        <f>DATE($A24,$B24,1)+C$4-WEEKDAY(DATE($A24,$B24,1))+($B$2-(C$4&gt;=WEEKDAY(DATE($A24,$B24,1))))*7</f>
        <v>42197</v>
      </c>
      <c r="D24" s="76">
        <f>DATE($A24,$B24,1)+D$4-WEEKDAY(DATE($A24,$B24,1))+($B$2-(D$4&gt;=WEEKDAY(DATE($A24,$B24,1))))*7</f>
        <v>42198</v>
      </c>
      <c r="E24" s="76">
        <f>DATE($A24,$B24,1)+E$4-WEEKDAY(DATE($A24,$B24,1))+($B$2-(E$4&gt;=WEEKDAY(DATE($A24,$B24,1))))*7</f>
        <v>42199</v>
      </c>
      <c r="F24" s="76">
        <f>DATE($A24,$B24,1)+F$4-WEEKDAY(DATE($A24,$B24,1))+($B$2-(F$4&gt;=WEEKDAY(DATE($A24,$B24,1))))*7</f>
        <v>42193</v>
      </c>
      <c r="G24" s="76">
        <f>DATE($A24,$B24,1)+G$4-WEEKDAY(DATE($A24,$B24,1))+($B$2-(G$4&gt;=WEEKDAY(DATE($A24,$B24,1))))*7</f>
        <v>42194</v>
      </c>
      <c r="H24" s="76">
        <f>DATE($A24,$B24,1)+H$4-WEEKDAY(DATE($A24,$B24,1))+($B$2-(H$4&gt;=WEEKDAY(DATE($A24,$B24,1))))*7</f>
        <v>42195</v>
      </c>
      <c r="I24" s="76">
        <f>DATE($A24,$B24,1)+I$4-WEEKDAY(DATE($A24,$B24,1))+($B$2-(I$4&gt;=WEEKDAY(DATE($A24,$B24,1))))*7</f>
        <v>42196</v>
      </c>
    </row>
    <row r="25" spans="1:9">
      <c r="A25" s="42">
        <v>2015</v>
      </c>
      <c r="B25" s="42">
        <v>8</v>
      </c>
      <c r="C25" s="76">
        <f>DATE($A25,$B25,1)+C$4-WEEKDAY(DATE($A25,$B25,1))+($B$2-(C$4&gt;=WEEKDAY(DATE($A25,$B25,1))))*7</f>
        <v>42225</v>
      </c>
      <c r="D25" s="76">
        <f>DATE($A25,$B25,1)+D$4-WEEKDAY(DATE($A25,$B25,1))+($B$2-(D$4&gt;=WEEKDAY(DATE($A25,$B25,1))))*7</f>
        <v>42226</v>
      </c>
      <c r="E25" s="76">
        <f>DATE($A25,$B25,1)+E$4-WEEKDAY(DATE($A25,$B25,1))+($B$2-(E$4&gt;=WEEKDAY(DATE($A25,$B25,1))))*7</f>
        <v>42227</v>
      </c>
      <c r="F25" s="76">
        <f>DATE($A25,$B25,1)+F$4-WEEKDAY(DATE($A25,$B25,1))+($B$2-(F$4&gt;=WEEKDAY(DATE($A25,$B25,1))))*7</f>
        <v>42228</v>
      </c>
      <c r="G25" s="76">
        <f>DATE($A25,$B25,1)+G$4-WEEKDAY(DATE($A25,$B25,1))+($B$2-(G$4&gt;=WEEKDAY(DATE($A25,$B25,1))))*7</f>
        <v>42229</v>
      </c>
      <c r="H25" s="76">
        <f>DATE($A25,$B25,1)+H$4-WEEKDAY(DATE($A25,$B25,1))+($B$2-(H$4&gt;=WEEKDAY(DATE($A25,$B25,1))))*7</f>
        <v>42230</v>
      </c>
      <c r="I25" s="76">
        <f>DATE($A25,$B25,1)+I$4-WEEKDAY(DATE($A25,$B25,1))+($B$2-(I$4&gt;=WEEKDAY(DATE($A25,$B25,1))))*7</f>
        <v>42224</v>
      </c>
    </row>
    <row r="26" spans="1:9">
      <c r="A26" s="42">
        <v>2015</v>
      </c>
      <c r="B26" s="42">
        <v>9</v>
      </c>
      <c r="C26" s="76">
        <f>DATE($A26,$B26,1)+C$4-WEEKDAY(DATE($A26,$B26,1))+($B$2-(C$4&gt;=WEEKDAY(DATE($A26,$B26,1))))*7</f>
        <v>42260</v>
      </c>
      <c r="D26" s="76">
        <f>DATE($A26,$B26,1)+D$4-WEEKDAY(DATE($A26,$B26,1))+($B$2-(D$4&gt;=WEEKDAY(DATE($A26,$B26,1))))*7</f>
        <v>42261</v>
      </c>
      <c r="E26" s="76">
        <f>DATE($A26,$B26,1)+E$4-WEEKDAY(DATE($A26,$B26,1))+($B$2-(E$4&gt;=WEEKDAY(DATE($A26,$B26,1))))*7</f>
        <v>42255</v>
      </c>
      <c r="F26" s="76">
        <f>DATE($A26,$B26,1)+F$4-WEEKDAY(DATE($A26,$B26,1))+($B$2-(F$4&gt;=WEEKDAY(DATE($A26,$B26,1))))*7</f>
        <v>42256</v>
      </c>
      <c r="G26" s="76">
        <f>DATE($A26,$B26,1)+G$4-WEEKDAY(DATE($A26,$B26,1))+($B$2-(G$4&gt;=WEEKDAY(DATE($A26,$B26,1))))*7</f>
        <v>42257</v>
      </c>
      <c r="H26" s="76">
        <f>DATE($A26,$B26,1)+H$4-WEEKDAY(DATE($A26,$B26,1))+($B$2-(H$4&gt;=WEEKDAY(DATE($A26,$B26,1))))*7</f>
        <v>42258</v>
      </c>
      <c r="I26" s="76">
        <f>DATE($A26,$B26,1)+I$4-WEEKDAY(DATE($A26,$B26,1))+($B$2-(I$4&gt;=WEEKDAY(DATE($A26,$B26,1))))*7</f>
        <v>42259</v>
      </c>
    </row>
    <row r="27" spans="1:9">
      <c r="A27" s="42">
        <v>2015</v>
      </c>
      <c r="B27" s="42">
        <v>10</v>
      </c>
      <c r="C27" s="76">
        <f>DATE($A27,$B27,1)+C$4-WEEKDAY(DATE($A27,$B27,1))+($B$2-(C$4&gt;=WEEKDAY(DATE($A27,$B27,1))))*7</f>
        <v>42288</v>
      </c>
      <c r="D27" s="76">
        <f>DATE($A27,$B27,1)+D$4-WEEKDAY(DATE($A27,$B27,1))+($B$2-(D$4&gt;=WEEKDAY(DATE($A27,$B27,1))))*7</f>
        <v>42289</v>
      </c>
      <c r="E27" s="76">
        <f>DATE($A27,$B27,1)+E$4-WEEKDAY(DATE($A27,$B27,1))+($B$2-(E$4&gt;=WEEKDAY(DATE($A27,$B27,1))))*7</f>
        <v>42290</v>
      </c>
      <c r="F27" s="76">
        <f>DATE($A27,$B27,1)+F$4-WEEKDAY(DATE($A27,$B27,1))+($B$2-(F$4&gt;=WEEKDAY(DATE($A27,$B27,1))))*7</f>
        <v>42291</v>
      </c>
      <c r="G27" s="76">
        <f>DATE($A27,$B27,1)+G$4-WEEKDAY(DATE($A27,$B27,1))+($B$2-(G$4&gt;=WEEKDAY(DATE($A27,$B27,1))))*7</f>
        <v>42285</v>
      </c>
      <c r="H27" s="76">
        <f>DATE($A27,$B27,1)+H$4-WEEKDAY(DATE($A27,$B27,1))+($B$2-(H$4&gt;=WEEKDAY(DATE($A27,$B27,1))))*7</f>
        <v>42286</v>
      </c>
      <c r="I27" s="76">
        <f>DATE($A27,$B27,1)+I$4-WEEKDAY(DATE($A27,$B27,1))+($B$2-(I$4&gt;=WEEKDAY(DATE($A27,$B27,1))))*7</f>
        <v>42287</v>
      </c>
    </row>
    <row r="28" spans="1:9">
      <c r="A28" s="42">
        <v>2015</v>
      </c>
      <c r="B28" s="42">
        <v>11</v>
      </c>
      <c r="C28" s="76">
        <f>DATE($A28,$B28,1)+C$4-WEEKDAY(DATE($A28,$B28,1))+($B$2-(C$4&gt;=WEEKDAY(DATE($A28,$B28,1))))*7</f>
        <v>42316</v>
      </c>
      <c r="D28" s="76">
        <f>DATE($A28,$B28,1)+D$4-WEEKDAY(DATE($A28,$B28,1))+($B$2-(D$4&gt;=WEEKDAY(DATE($A28,$B28,1))))*7</f>
        <v>42317</v>
      </c>
      <c r="E28" s="76">
        <f>DATE($A28,$B28,1)+E$4-WEEKDAY(DATE($A28,$B28,1))+($B$2-(E$4&gt;=WEEKDAY(DATE($A28,$B28,1))))*7</f>
        <v>42318</v>
      </c>
      <c r="F28" s="76">
        <f>DATE($A28,$B28,1)+F$4-WEEKDAY(DATE($A28,$B28,1))+($B$2-(F$4&gt;=WEEKDAY(DATE($A28,$B28,1))))*7</f>
        <v>42319</v>
      </c>
      <c r="G28" s="76">
        <f>DATE($A28,$B28,1)+G$4-WEEKDAY(DATE($A28,$B28,1))+($B$2-(G$4&gt;=WEEKDAY(DATE($A28,$B28,1))))*7</f>
        <v>42320</v>
      </c>
      <c r="H28" s="76">
        <f>DATE($A28,$B28,1)+H$4-WEEKDAY(DATE($A28,$B28,1))+($B$2-(H$4&gt;=WEEKDAY(DATE($A28,$B28,1))))*7</f>
        <v>42321</v>
      </c>
      <c r="I28" s="76">
        <f>DATE($A28,$B28,1)+I$4-WEEKDAY(DATE($A28,$B28,1))+($B$2-(I$4&gt;=WEEKDAY(DATE($A28,$B28,1))))*7</f>
        <v>42322</v>
      </c>
    </row>
    <row r="29" spans="1:9">
      <c r="A29" s="42">
        <v>2015</v>
      </c>
      <c r="B29" s="42">
        <v>12</v>
      </c>
      <c r="C29" s="76">
        <f>DATE($A29,$B29,1)+C$4-WEEKDAY(DATE($A29,$B29,1))+($B$2-(C$4&gt;=WEEKDAY(DATE($A29,$B29,1))))*7</f>
        <v>42351</v>
      </c>
      <c r="D29" s="76">
        <f>DATE($A29,$B29,1)+D$4-WEEKDAY(DATE($A29,$B29,1))+($B$2-(D$4&gt;=WEEKDAY(DATE($A29,$B29,1))))*7</f>
        <v>42352</v>
      </c>
      <c r="E29" s="76">
        <f>DATE($A29,$B29,1)+E$4-WEEKDAY(DATE($A29,$B29,1))+($B$2-(E$4&gt;=WEEKDAY(DATE($A29,$B29,1))))*7</f>
        <v>42346</v>
      </c>
      <c r="F29" s="76">
        <f>DATE($A29,$B29,1)+F$4-WEEKDAY(DATE($A29,$B29,1))+($B$2-(F$4&gt;=WEEKDAY(DATE($A29,$B29,1))))*7</f>
        <v>42347</v>
      </c>
      <c r="G29" s="76">
        <f>DATE($A29,$B29,1)+G$4-WEEKDAY(DATE($A29,$B29,1))+($B$2-(G$4&gt;=WEEKDAY(DATE($A29,$B29,1))))*7</f>
        <v>42348</v>
      </c>
      <c r="H29" s="76">
        <f>DATE($A29,$B29,1)+H$4-WEEKDAY(DATE($A29,$B29,1))+($B$2-(H$4&gt;=WEEKDAY(DATE($A29,$B29,1))))*7</f>
        <v>42349</v>
      </c>
      <c r="I29" s="76">
        <f>DATE($A29,$B29,1)+I$4-WEEKDAY(DATE($A29,$B29,1))+($B$2-(I$4&gt;=WEEKDAY(DATE($A29,$B29,1))))*7</f>
        <v>42350</v>
      </c>
    </row>
  </sheetData>
  <pageMargins left="0.7" right="0.7" top="0.75" bottom="0.75" header="0.3" footer="0.3"/>
  <pageSetup orientation="portrait" horizontalDpi="0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2:K27"/>
  <sheetViews>
    <sheetView workbookViewId="0"/>
  </sheetViews>
  <sheetFormatPr defaultRowHeight="15"/>
  <cols>
    <col min="1" max="1" width="9.7109375" bestFit="1" customWidth="1"/>
    <col min="2" max="2" width="8" bestFit="1" customWidth="1"/>
    <col min="3" max="9" width="11.28515625" customWidth="1"/>
    <col min="11" max="11" width="9.7109375" bestFit="1" customWidth="1"/>
  </cols>
  <sheetData>
    <row r="2" spans="1:11">
      <c r="C2" s="78">
        <v>7</v>
      </c>
      <c r="D2" s="78">
        <v>6</v>
      </c>
      <c r="E2" s="78">
        <v>5</v>
      </c>
      <c r="F2" s="78">
        <v>4</v>
      </c>
      <c r="G2" s="78">
        <v>3</v>
      </c>
      <c r="H2" s="78">
        <v>2</v>
      </c>
      <c r="I2" s="78">
        <v>1</v>
      </c>
    </row>
    <row r="3" spans="1:11" ht="45">
      <c r="A3" s="23" t="s">
        <v>247</v>
      </c>
      <c r="B3" s="23" t="s">
        <v>246</v>
      </c>
      <c r="C3" s="83" t="s">
        <v>255</v>
      </c>
      <c r="D3" s="83" t="s">
        <v>254</v>
      </c>
      <c r="E3" s="83" t="s">
        <v>253</v>
      </c>
      <c r="F3" s="83" t="s">
        <v>252</v>
      </c>
      <c r="G3" s="83" t="s">
        <v>251</v>
      </c>
      <c r="H3" s="83" t="s">
        <v>250</v>
      </c>
      <c r="I3" s="83" t="s">
        <v>249</v>
      </c>
    </row>
    <row r="4" spans="1:11">
      <c r="A4" s="42">
        <v>2014</v>
      </c>
      <c r="B4" s="42">
        <v>1</v>
      </c>
      <c r="C4" s="81">
        <f>DATE($A4,$B4+1,1)- WEEKDAY(DATE($A4,$B4+1,C$2))</f>
        <v>41665</v>
      </c>
      <c r="D4" s="81">
        <f>DATE($A4,$B4+1,1)- WEEKDAY(DATE($A4,$B4+1,D$2))</f>
        <v>41666</v>
      </c>
      <c r="E4" s="81">
        <f>DATE($A4,$B4+1,1)- WEEKDAY(DATE($A4,$B4+1,E$2))</f>
        <v>41667</v>
      </c>
      <c r="F4" s="81">
        <f>DATE($A4,$B4+1,1)- WEEKDAY(DATE($A4,$B4+1,F$2))</f>
        <v>41668</v>
      </c>
      <c r="G4" s="81">
        <f>DATE($A4,$B4+1,1)- WEEKDAY(DATE($A4,$B4+1,G$2))</f>
        <v>41669</v>
      </c>
      <c r="H4" s="81">
        <f>DATE($A4,$B4+1,1)- WEEKDAY(DATE($A4,$B4+1,H$2))</f>
        <v>41670</v>
      </c>
      <c r="I4" s="81">
        <f>DATE($A4,$B4+1,1)- WEEKDAY(DATE($A4,$B4+1,I$2))</f>
        <v>41664</v>
      </c>
      <c r="K4" s="82"/>
    </row>
    <row r="5" spans="1:11">
      <c r="A5" s="42">
        <v>2014</v>
      </c>
      <c r="B5" s="42">
        <v>2</v>
      </c>
      <c r="C5" s="81">
        <f>DATE($A5,$B5+1,1)- WEEKDAY(DATE($A5,$B5+1,C$2))</f>
        <v>41693</v>
      </c>
      <c r="D5" s="81">
        <f>DATE($A5,$B5+1,1)- WEEKDAY(DATE($A5,$B5+1,D$2))</f>
        <v>41694</v>
      </c>
      <c r="E5" s="81">
        <f>DATE($A5,$B5+1,1)- WEEKDAY(DATE($A5,$B5+1,E$2))</f>
        <v>41695</v>
      </c>
      <c r="F5" s="81">
        <f>DATE($A5,$B5+1,1)- WEEKDAY(DATE($A5,$B5+1,F$2))</f>
        <v>41696</v>
      </c>
      <c r="G5" s="81">
        <f>DATE($A5,$B5+1,1)- WEEKDAY(DATE($A5,$B5+1,G$2))</f>
        <v>41697</v>
      </c>
      <c r="H5" s="81">
        <f>DATE($A5,$B5+1,1)- WEEKDAY(DATE($A5,$B5+1,H$2))</f>
        <v>41698</v>
      </c>
      <c r="I5" s="81">
        <f>DATE($A5,$B5+1,1)- WEEKDAY(DATE($A5,$B5+1,I$2))</f>
        <v>41692</v>
      </c>
    </row>
    <row r="6" spans="1:11">
      <c r="A6" s="42">
        <v>2014</v>
      </c>
      <c r="B6" s="42">
        <v>3</v>
      </c>
      <c r="C6" s="81">
        <f>DATE($A6,$B6+1,1)- WEEKDAY(DATE($A6,$B6+1,C$2))</f>
        <v>41728</v>
      </c>
      <c r="D6" s="81">
        <f>DATE($A6,$B6+1,1)- WEEKDAY(DATE($A6,$B6+1,D$2))</f>
        <v>41729</v>
      </c>
      <c r="E6" s="81">
        <f>DATE($A6,$B6+1,1)- WEEKDAY(DATE($A6,$B6+1,E$2))</f>
        <v>41723</v>
      </c>
      <c r="F6" s="81">
        <f>DATE($A6,$B6+1,1)- WEEKDAY(DATE($A6,$B6+1,F$2))</f>
        <v>41724</v>
      </c>
      <c r="G6" s="81">
        <f>DATE($A6,$B6+1,1)- WEEKDAY(DATE($A6,$B6+1,G$2))</f>
        <v>41725</v>
      </c>
      <c r="H6" s="81">
        <f>DATE($A6,$B6+1,1)- WEEKDAY(DATE($A6,$B6+1,H$2))</f>
        <v>41726</v>
      </c>
      <c r="I6" s="81">
        <f>DATE($A6,$B6+1,1)- WEEKDAY(DATE($A6,$B6+1,I$2))</f>
        <v>41727</v>
      </c>
    </row>
    <row r="7" spans="1:11">
      <c r="A7" s="42">
        <v>2014</v>
      </c>
      <c r="B7" s="42">
        <v>4</v>
      </c>
      <c r="C7" s="81">
        <f>DATE($A7,$B7+1,1)- WEEKDAY(DATE($A7,$B7+1,C$2))</f>
        <v>41756</v>
      </c>
      <c r="D7" s="81">
        <f>DATE($A7,$B7+1,1)- WEEKDAY(DATE($A7,$B7+1,D$2))</f>
        <v>41757</v>
      </c>
      <c r="E7" s="81">
        <f>DATE($A7,$B7+1,1)- WEEKDAY(DATE($A7,$B7+1,E$2))</f>
        <v>41758</v>
      </c>
      <c r="F7" s="81">
        <f>DATE($A7,$B7+1,1)- WEEKDAY(DATE($A7,$B7+1,F$2))</f>
        <v>41759</v>
      </c>
      <c r="G7" s="81">
        <f>DATE($A7,$B7+1,1)- WEEKDAY(DATE($A7,$B7+1,G$2))</f>
        <v>41753</v>
      </c>
      <c r="H7" s="81">
        <f>DATE($A7,$B7+1,1)- WEEKDAY(DATE($A7,$B7+1,H$2))</f>
        <v>41754</v>
      </c>
      <c r="I7" s="81">
        <f>DATE($A7,$B7+1,1)- WEEKDAY(DATE($A7,$B7+1,I$2))</f>
        <v>41755</v>
      </c>
    </row>
    <row r="8" spans="1:11">
      <c r="A8" s="42">
        <v>2014</v>
      </c>
      <c r="B8" s="42">
        <v>5</v>
      </c>
      <c r="C8" s="81">
        <f>DATE($A8,$B8+1,1)- WEEKDAY(DATE($A8,$B8+1,C$2))</f>
        <v>41784</v>
      </c>
      <c r="D8" s="81">
        <f>DATE($A8,$B8+1,1)- WEEKDAY(DATE($A8,$B8+1,D$2))</f>
        <v>41785</v>
      </c>
      <c r="E8" s="81">
        <f>DATE($A8,$B8+1,1)- WEEKDAY(DATE($A8,$B8+1,E$2))</f>
        <v>41786</v>
      </c>
      <c r="F8" s="81">
        <f>DATE($A8,$B8+1,1)- WEEKDAY(DATE($A8,$B8+1,F$2))</f>
        <v>41787</v>
      </c>
      <c r="G8" s="81">
        <f>DATE($A8,$B8+1,1)- WEEKDAY(DATE($A8,$B8+1,G$2))</f>
        <v>41788</v>
      </c>
      <c r="H8" s="81">
        <f>DATE($A8,$B8+1,1)- WEEKDAY(DATE($A8,$B8+1,H$2))</f>
        <v>41789</v>
      </c>
      <c r="I8" s="81">
        <f>DATE($A8,$B8+1,1)- WEEKDAY(DATE($A8,$B8+1,I$2))</f>
        <v>41790</v>
      </c>
    </row>
    <row r="9" spans="1:11">
      <c r="A9" s="42">
        <v>2014</v>
      </c>
      <c r="B9" s="42">
        <v>6</v>
      </c>
      <c r="C9" s="81">
        <f>DATE($A9,$B9+1,1)- WEEKDAY(DATE($A9,$B9+1,C$2))</f>
        <v>41819</v>
      </c>
      <c r="D9" s="81">
        <f>DATE($A9,$B9+1,1)- WEEKDAY(DATE($A9,$B9+1,D$2))</f>
        <v>41820</v>
      </c>
      <c r="E9" s="81">
        <f>DATE($A9,$B9+1,1)- WEEKDAY(DATE($A9,$B9+1,E$2))</f>
        <v>41814</v>
      </c>
      <c r="F9" s="81">
        <f>DATE($A9,$B9+1,1)- WEEKDAY(DATE($A9,$B9+1,F$2))</f>
        <v>41815</v>
      </c>
      <c r="G9" s="81">
        <f>DATE($A9,$B9+1,1)- WEEKDAY(DATE($A9,$B9+1,G$2))</f>
        <v>41816</v>
      </c>
      <c r="H9" s="81">
        <f>DATE($A9,$B9+1,1)- WEEKDAY(DATE($A9,$B9+1,H$2))</f>
        <v>41817</v>
      </c>
      <c r="I9" s="81">
        <f>DATE($A9,$B9+1,1)- WEEKDAY(DATE($A9,$B9+1,I$2))</f>
        <v>41818</v>
      </c>
    </row>
    <row r="10" spans="1:11">
      <c r="A10" s="42">
        <v>2014</v>
      </c>
      <c r="B10" s="42">
        <v>7</v>
      </c>
      <c r="C10" s="81">
        <f>DATE($A10,$B10+1,1)- WEEKDAY(DATE($A10,$B10+1,C$2))</f>
        <v>41847</v>
      </c>
      <c r="D10" s="81">
        <f>DATE($A10,$B10+1,1)- WEEKDAY(DATE($A10,$B10+1,D$2))</f>
        <v>41848</v>
      </c>
      <c r="E10" s="81">
        <f>DATE($A10,$B10+1,1)- WEEKDAY(DATE($A10,$B10+1,E$2))</f>
        <v>41849</v>
      </c>
      <c r="F10" s="81">
        <f>DATE($A10,$B10+1,1)- WEEKDAY(DATE($A10,$B10+1,F$2))</f>
        <v>41850</v>
      </c>
      <c r="G10" s="81">
        <f>DATE($A10,$B10+1,1)- WEEKDAY(DATE($A10,$B10+1,G$2))</f>
        <v>41851</v>
      </c>
      <c r="H10" s="81">
        <f>DATE($A10,$B10+1,1)- WEEKDAY(DATE($A10,$B10+1,H$2))</f>
        <v>41845</v>
      </c>
      <c r="I10" s="81">
        <f>DATE($A10,$B10+1,1)- WEEKDAY(DATE($A10,$B10+1,I$2))</f>
        <v>41846</v>
      </c>
    </row>
    <row r="11" spans="1:11">
      <c r="A11" s="42">
        <v>2014</v>
      </c>
      <c r="B11" s="42">
        <v>8</v>
      </c>
      <c r="C11" s="81">
        <f>DATE($A11,$B11+1,1)- WEEKDAY(DATE($A11,$B11+1,C$2))</f>
        <v>41882</v>
      </c>
      <c r="D11" s="81">
        <f>DATE($A11,$B11+1,1)- WEEKDAY(DATE($A11,$B11+1,D$2))</f>
        <v>41876</v>
      </c>
      <c r="E11" s="81">
        <f>DATE($A11,$B11+1,1)- WEEKDAY(DATE($A11,$B11+1,E$2))</f>
        <v>41877</v>
      </c>
      <c r="F11" s="81">
        <f>DATE($A11,$B11+1,1)- WEEKDAY(DATE($A11,$B11+1,F$2))</f>
        <v>41878</v>
      </c>
      <c r="G11" s="81">
        <f>DATE($A11,$B11+1,1)- WEEKDAY(DATE($A11,$B11+1,G$2))</f>
        <v>41879</v>
      </c>
      <c r="H11" s="81">
        <f>DATE($A11,$B11+1,1)- WEEKDAY(DATE($A11,$B11+1,H$2))</f>
        <v>41880</v>
      </c>
      <c r="I11" s="81">
        <f>DATE($A11,$B11+1,1)- WEEKDAY(DATE($A11,$B11+1,I$2))</f>
        <v>41881</v>
      </c>
    </row>
    <row r="12" spans="1:11">
      <c r="A12" s="42">
        <v>2014</v>
      </c>
      <c r="B12" s="42">
        <v>9</v>
      </c>
      <c r="C12" s="81">
        <f>DATE($A12,$B12+1,1)- WEEKDAY(DATE($A12,$B12+1,C$2))</f>
        <v>41910</v>
      </c>
      <c r="D12" s="81">
        <f>DATE($A12,$B12+1,1)- WEEKDAY(DATE($A12,$B12+1,D$2))</f>
        <v>41911</v>
      </c>
      <c r="E12" s="81">
        <f>DATE($A12,$B12+1,1)- WEEKDAY(DATE($A12,$B12+1,E$2))</f>
        <v>41912</v>
      </c>
      <c r="F12" s="81">
        <f>DATE($A12,$B12+1,1)- WEEKDAY(DATE($A12,$B12+1,F$2))</f>
        <v>41906</v>
      </c>
      <c r="G12" s="81">
        <f>DATE($A12,$B12+1,1)- WEEKDAY(DATE($A12,$B12+1,G$2))</f>
        <v>41907</v>
      </c>
      <c r="H12" s="81">
        <f>DATE($A12,$B12+1,1)- WEEKDAY(DATE($A12,$B12+1,H$2))</f>
        <v>41908</v>
      </c>
      <c r="I12" s="81">
        <f>DATE($A12,$B12+1,1)- WEEKDAY(DATE($A12,$B12+1,I$2))</f>
        <v>41909</v>
      </c>
    </row>
    <row r="13" spans="1:11">
      <c r="A13" s="42">
        <v>2014</v>
      </c>
      <c r="B13" s="42">
        <v>10</v>
      </c>
      <c r="C13" s="81">
        <f>DATE($A13,$B13+1,1)- WEEKDAY(DATE($A13,$B13+1,C$2))</f>
        <v>41938</v>
      </c>
      <c r="D13" s="81">
        <f>DATE($A13,$B13+1,1)- WEEKDAY(DATE($A13,$B13+1,D$2))</f>
        <v>41939</v>
      </c>
      <c r="E13" s="81">
        <f>DATE($A13,$B13+1,1)- WEEKDAY(DATE($A13,$B13+1,E$2))</f>
        <v>41940</v>
      </c>
      <c r="F13" s="81">
        <f>DATE($A13,$B13+1,1)- WEEKDAY(DATE($A13,$B13+1,F$2))</f>
        <v>41941</v>
      </c>
      <c r="G13" s="81">
        <f>DATE($A13,$B13+1,1)- WEEKDAY(DATE($A13,$B13+1,G$2))</f>
        <v>41942</v>
      </c>
      <c r="H13" s="81">
        <f>DATE($A13,$B13+1,1)- WEEKDAY(DATE($A13,$B13+1,H$2))</f>
        <v>41943</v>
      </c>
      <c r="I13" s="81">
        <f>DATE($A13,$B13+1,1)- WEEKDAY(DATE($A13,$B13+1,I$2))</f>
        <v>41937</v>
      </c>
    </row>
    <row r="14" spans="1:11">
      <c r="A14" s="42">
        <v>2014</v>
      </c>
      <c r="B14" s="42">
        <v>11</v>
      </c>
      <c r="C14" s="81">
        <f>DATE($A14,$B14+1,1)- WEEKDAY(DATE($A14,$B14+1,C$2))</f>
        <v>41973</v>
      </c>
      <c r="D14" s="81">
        <f>DATE($A14,$B14+1,1)- WEEKDAY(DATE($A14,$B14+1,D$2))</f>
        <v>41967</v>
      </c>
      <c r="E14" s="81">
        <f>DATE($A14,$B14+1,1)- WEEKDAY(DATE($A14,$B14+1,E$2))</f>
        <v>41968</v>
      </c>
      <c r="F14" s="81">
        <f>DATE($A14,$B14+1,1)- WEEKDAY(DATE($A14,$B14+1,F$2))</f>
        <v>41969</v>
      </c>
      <c r="G14" s="81">
        <f>DATE($A14,$B14+1,1)- WEEKDAY(DATE($A14,$B14+1,G$2))</f>
        <v>41970</v>
      </c>
      <c r="H14" s="81">
        <f>DATE($A14,$B14+1,1)- WEEKDAY(DATE($A14,$B14+1,H$2))</f>
        <v>41971</v>
      </c>
      <c r="I14" s="81">
        <f>DATE($A14,$B14+1,1)- WEEKDAY(DATE($A14,$B14+1,I$2))</f>
        <v>41972</v>
      </c>
    </row>
    <row r="15" spans="1:11">
      <c r="A15" s="42">
        <v>2014</v>
      </c>
      <c r="B15" s="42">
        <v>12</v>
      </c>
      <c r="C15" s="81">
        <f>DATE($A15,$B15+1,1)- WEEKDAY(DATE($A15,$B15+1,C$2))</f>
        <v>42001</v>
      </c>
      <c r="D15" s="81">
        <f>DATE($A15,$B15+1,1)- WEEKDAY(DATE($A15,$B15+1,D$2))</f>
        <v>42002</v>
      </c>
      <c r="E15" s="81">
        <f>DATE($A15,$B15+1,1)- WEEKDAY(DATE($A15,$B15+1,E$2))</f>
        <v>42003</v>
      </c>
      <c r="F15" s="81">
        <f>DATE($A15,$B15+1,1)- WEEKDAY(DATE($A15,$B15+1,F$2))</f>
        <v>42004</v>
      </c>
      <c r="G15" s="81">
        <f>DATE($A15,$B15+1,1)- WEEKDAY(DATE($A15,$B15+1,G$2))</f>
        <v>41998</v>
      </c>
      <c r="H15" s="81">
        <f>DATE($A15,$B15+1,1)- WEEKDAY(DATE($A15,$B15+1,H$2))</f>
        <v>41999</v>
      </c>
      <c r="I15" s="81">
        <f>DATE($A15,$B15+1,1)- WEEKDAY(DATE($A15,$B15+1,I$2))</f>
        <v>42000</v>
      </c>
    </row>
    <row r="16" spans="1:11">
      <c r="A16" s="42">
        <v>2015</v>
      </c>
      <c r="B16" s="42">
        <v>1</v>
      </c>
      <c r="C16" s="81">
        <f>DATE($A16,$B16+1,1)- WEEKDAY(DATE($A16,$B16+1,C$2))</f>
        <v>42029</v>
      </c>
      <c r="D16" s="81">
        <f>DATE($A16,$B16+1,1)- WEEKDAY(DATE($A16,$B16+1,D$2))</f>
        <v>42030</v>
      </c>
      <c r="E16" s="81">
        <f>DATE($A16,$B16+1,1)- WEEKDAY(DATE($A16,$B16+1,E$2))</f>
        <v>42031</v>
      </c>
      <c r="F16" s="81">
        <f>DATE($A16,$B16+1,1)- WEEKDAY(DATE($A16,$B16+1,F$2))</f>
        <v>42032</v>
      </c>
      <c r="G16" s="81">
        <f>DATE($A16,$B16+1,1)- WEEKDAY(DATE($A16,$B16+1,G$2))</f>
        <v>42033</v>
      </c>
      <c r="H16" s="81">
        <f>DATE($A16,$B16+1,1)- WEEKDAY(DATE($A16,$B16+1,H$2))</f>
        <v>42034</v>
      </c>
      <c r="I16" s="81">
        <f>DATE($A16,$B16+1,1)- WEEKDAY(DATE($A16,$B16+1,I$2))</f>
        <v>42035</v>
      </c>
    </row>
    <row r="17" spans="1:9">
      <c r="A17" s="42">
        <v>2015</v>
      </c>
      <c r="B17" s="42">
        <v>2</v>
      </c>
      <c r="C17" s="81">
        <f>DATE($A17,$B17+1,1)- WEEKDAY(DATE($A17,$B17+1,C$2))</f>
        <v>42057</v>
      </c>
      <c r="D17" s="81">
        <f>DATE($A17,$B17+1,1)- WEEKDAY(DATE($A17,$B17+1,D$2))</f>
        <v>42058</v>
      </c>
      <c r="E17" s="81">
        <f>DATE($A17,$B17+1,1)- WEEKDAY(DATE($A17,$B17+1,E$2))</f>
        <v>42059</v>
      </c>
      <c r="F17" s="81">
        <f>DATE($A17,$B17+1,1)- WEEKDAY(DATE($A17,$B17+1,F$2))</f>
        <v>42060</v>
      </c>
      <c r="G17" s="81">
        <f>DATE($A17,$B17+1,1)- WEEKDAY(DATE($A17,$B17+1,G$2))</f>
        <v>42061</v>
      </c>
      <c r="H17" s="81">
        <f>DATE($A17,$B17+1,1)- WEEKDAY(DATE($A17,$B17+1,H$2))</f>
        <v>42062</v>
      </c>
      <c r="I17" s="81">
        <f>DATE($A17,$B17+1,1)- WEEKDAY(DATE($A17,$B17+1,I$2))</f>
        <v>42063</v>
      </c>
    </row>
    <row r="18" spans="1:9">
      <c r="A18" s="42">
        <v>2015</v>
      </c>
      <c r="B18" s="42">
        <v>3</v>
      </c>
      <c r="C18" s="81">
        <f>DATE($A18,$B18+1,1)- WEEKDAY(DATE($A18,$B18+1,C$2))</f>
        <v>42092</v>
      </c>
      <c r="D18" s="81">
        <f>DATE($A18,$B18+1,1)- WEEKDAY(DATE($A18,$B18+1,D$2))</f>
        <v>42093</v>
      </c>
      <c r="E18" s="81">
        <f>DATE($A18,$B18+1,1)- WEEKDAY(DATE($A18,$B18+1,E$2))</f>
        <v>42094</v>
      </c>
      <c r="F18" s="81">
        <f>DATE($A18,$B18+1,1)- WEEKDAY(DATE($A18,$B18+1,F$2))</f>
        <v>42088</v>
      </c>
      <c r="G18" s="81">
        <f>DATE($A18,$B18+1,1)- WEEKDAY(DATE($A18,$B18+1,G$2))</f>
        <v>42089</v>
      </c>
      <c r="H18" s="81">
        <f>DATE($A18,$B18+1,1)- WEEKDAY(DATE($A18,$B18+1,H$2))</f>
        <v>42090</v>
      </c>
      <c r="I18" s="81">
        <f>DATE($A18,$B18+1,1)- WEEKDAY(DATE($A18,$B18+1,I$2))</f>
        <v>42091</v>
      </c>
    </row>
    <row r="19" spans="1:9">
      <c r="A19" s="42">
        <v>2015</v>
      </c>
      <c r="B19" s="42">
        <v>4</v>
      </c>
      <c r="C19" s="81">
        <f>DATE($A19,$B19+1,1)- WEEKDAY(DATE($A19,$B19+1,C$2))</f>
        <v>42120</v>
      </c>
      <c r="D19" s="81">
        <f>DATE($A19,$B19+1,1)- WEEKDAY(DATE($A19,$B19+1,D$2))</f>
        <v>42121</v>
      </c>
      <c r="E19" s="81">
        <f>DATE($A19,$B19+1,1)- WEEKDAY(DATE($A19,$B19+1,E$2))</f>
        <v>42122</v>
      </c>
      <c r="F19" s="81">
        <f>DATE($A19,$B19+1,1)- WEEKDAY(DATE($A19,$B19+1,F$2))</f>
        <v>42123</v>
      </c>
      <c r="G19" s="81">
        <f>DATE($A19,$B19+1,1)- WEEKDAY(DATE($A19,$B19+1,G$2))</f>
        <v>42124</v>
      </c>
      <c r="H19" s="81">
        <f>DATE($A19,$B19+1,1)- WEEKDAY(DATE($A19,$B19+1,H$2))</f>
        <v>42118</v>
      </c>
      <c r="I19" s="81">
        <f>DATE($A19,$B19+1,1)- WEEKDAY(DATE($A19,$B19+1,I$2))</f>
        <v>42119</v>
      </c>
    </row>
    <row r="20" spans="1:9">
      <c r="A20" s="42">
        <v>2015</v>
      </c>
      <c r="B20" s="42">
        <v>5</v>
      </c>
      <c r="C20" s="81">
        <f>DATE($A20,$B20+1,1)- WEEKDAY(DATE($A20,$B20+1,C$2))</f>
        <v>42155</v>
      </c>
      <c r="D20" s="81">
        <f>DATE($A20,$B20+1,1)- WEEKDAY(DATE($A20,$B20+1,D$2))</f>
        <v>42149</v>
      </c>
      <c r="E20" s="81">
        <f>DATE($A20,$B20+1,1)- WEEKDAY(DATE($A20,$B20+1,E$2))</f>
        <v>42150</v>
      </c>
      <c r="F20" s="81">
        <f>DATE($A20,$B20+1,1)- WEEKDAY(DATE($A20,$B20+1,F$2))</f>
        <v>42151</v>
      </c>
      <c r="G20" s="81">
        <f>DATE($A20,$B20+1,1)- WEEKDAY(DATE($A20,$B20+1,G$2))</f>
        <v>42152</v>
      </c>
      <c r="H20" s="81">
        <f>DATE($A20,$B20+1,1)- WEEKDAY(DATE($A20,$B20+1,H$2))</f>
        <v>42153</v>
      </c>
      <c r="I20" s="81">
        <f>DATE($A20,$B20+1,1)- WEEKDAY(DATE($A20,$B20+1,I$2))</f>
        <v>42154</v>
      </c>
    </row>
    <row r="21" spans="1:9">
      <c r="A21" s="42">
        <v>2015</v>
      </c>
      <c r="B21" s="42">
        <v>6</v>
      </c>
      <c r="C21" s="81">
        <f>DATE($A21,$B21+1,1)- WEEKDAY(DATE($A21,$B21+1,C$2))</f>
        <v>42183</v>
      </c>
      <c r="D21" s="81">
        <f>DATE($A21,$B21+1,1)- WEEKDAY(DATE($A21,$B21+1,D$2))</f>
        <v>42184</v>
      </c>
      <c r="E21" s="81">
        <f>DATE($A21,$B21+1,1)- WEEKDAY(DATE($A21,$B21+1,E$2))</f>
        <v>42185</v>
      </c>
      <c r="F21" s="81">
        <f>DATE($A21,$B21+1,1)- WEEKDAY(DATE($A21,$B21+1,F$2))</f>
        <v>42179</v>
      </c>
      <c r="G21" s="81">
        <f>DATE($A21,$B21+1,1)- WEEKDAY(DATE($A21,$B21+1,G$2))</f>
        <v>42180</v>
      </c>
      <c r="H21" s="81">
        <f>DATE($A21,$B21+1,1)- WEEKDAY(DATE($A21,$B21+1,H$2))</f>
        <v>42181</v>
      </c>
      <c r="I21" s="81">
        <f>DATE($A21,$B21+1,1)- WEEKDAY(DATE($A21,$B21+1,I$2))</f>
        <v>42182</v>
      </c>
    </row>
    <row r="22" spans="1:9">
      <c r="A22" s="42">
        <v>2015</v>
      </c>
      <c r="B22" s="42">
        <v>7</v>
      </c>
      <c r="C22" s="81">
        <f>DATE($A22,$B22+1,1)- WEEKDAY(DATE($A22,$B22+1,C$2))</f>
        <v>42211</v>
      </c>
      <c r="D22" s="81">
        <f>DATE($A22,$B22+1,1)- WEEKDAY(DATE($A22,$B22+1,D$2))</f>
        <v>42212</v>
      </c>
      <c r="E22" s="81">
        <f>DATE($A22,$B22+1,1)- WEEKDAY(DATE($A22,$B22+1,E$2))</f>
        <v>42213</v>
      </c>
      <c r="F22" s="81">
        <f>DATE($A22,$B22+1,1)- WEEKDAY(DATE($A22,$B22+1,F$2))</f>
        <v>42214</v>
      </c>
      <c r="G22" s="81">
        <f>DATE($A22,$B22+1,1)- WEEKDAY(DATE($A22,$B22+1,G$2))</f>
        <v>42215</v>
      </c>
      <c r="H22" s="81">
        <f>DATE($A22,$B22+1,1)- WEEKDAY(DATE($A22,$B22+1,H$2))</f>
        <v>42216</v>
      </c>
      <c r="I22" s="81">
        <f>DATE($A22,$B22+1,1)- WEEKDAY(DATE($A22,$B22+1,I$2))</f>
        <v>42210</v>
      </c>
    </row>
    <row r="23" spans="1:9">
      <c r="A23" s="42">
        <v>2015</v>
      </c>
      <c r="B23" s="42">
        <v>8</v>
      </c>
      <c r="C23" s="81">
        <f>DATE($A23,$B23+1,1)- WEEKDAY(DATE($A23,$B23+1,C$2))</f>
        <v>42246</v>
      </c>
      <c r="D23" s="81">
        <f>DATE($A23,$B23+1,1)- WEEKDAY(DATE($A23,$B23+1,D$2))</f>
        <v>42247</v>
      </c>
      <c r="E23" s="81">
        <f>DATE($A23,$B23+1,1)- WEEKDAY(DATE($A23,$B23+1,E$2))</f>
        <v>42241</v>
      </c>
      <c r="F23" s="81">
        <f>DATE($A23,$B23+1,1)- WEEKDAY(DATE($A23,$B23+1,F$2))</f>
        <v>42242</v>
      </c>
      <c r="G23" s="81">
        <f>DATE($A23,$B23+1,1)- WEEKDAY(DATE($A23,$B23+1,G$2))</f>
        <v>42243</v>
      </c>
      <c r="H23" s="81">
        <f>DATE($A23,$B23+1,1)- WEEKDAY(DATE($A23,$B23+1,H$2))</f>
        <v>42244</v>
      </c>
      <c r="I23" s="81">
        <f>DATE($A23,$B23+1,1)- WEEKDAY(DATE($A23,$B23+1,I$2))</f>
        <v>42245</v>
      </c>
    </row>
    <row r="24" spans="1:9">
      <c r="A24" s="42">
        <v>2015</v>
      </c>
      <c r="B24" s="42">
        <v>9</v>
      </c>
      <c r="C24" s="81">
        <f>DATE($A24,$B24+1,1)- WEEKDAY(DATE($A24,$B24+1,C$2))</f>
        <v>42274</v>
      </c>
      <c r="D24" s="81">
        <f>DATE($A24,$B24+1,1)- WEEKDAY(DATE($A24,$B24+1,D$2))</f>
        <v>42275</v>
      </c>
      <c r="E24" s="81">
        <f>DATE($A24,$B24+1,1)- WEEKDAY(DATE($A24,$B24+1,E$2))</f>
        <v>42276</v>
      </c>
      <c r="F24" s="81">
        <f>DATE($A24,$B24+1,1)- WEEKDAY(DATE($A24,$B24+1,F$2))</f>
        <v>42277</v>
      </c>
      <c r="G24" s="81">
        <f>DATE($A24,$B24+1,1)- WEEKDAY(DATE($A24,$B24+1,G$2))</f>
        <v>42271</v>
      </c>
      <c r="H24" s="81">
        <f>DATE($A24,$B24+1,1)- WEEKDAY(DATE($A24,$B24+1,H$2))</f>
        <v>42272</v>
      </c>
      <c r="I24" s="81">
        <f>DATE($A24,$B24+1,1)- WEEKDAY(DATE($A24,$B24+1,I$2))</f>
        <v>42273</v>
      </c>
    </row>
    <row r="25" spans="1:9">
      <c r="A25" s="42">
        <v>2015</v>
      </c>
      <c r="B25" s="42">
        <v>10</v>
      </c>
      <c r="C25" s="81">
        <f>DATE($A25,$B25+1,1)- WEEKDAY(DATE($A25,$B25+1,C$2))</f>
        <v>42302</v>
      </c>
      <c r="D25" s="81">
        <f>DATE($A25,$B25+1,1)- WEEKDAY(DATE($A25,$B25+1,D$2))</f>
        <v>42303</v>
      </c>
      <c r="E25" s="81">
        <f>DATE($A25,$B25+1,1)- WEEKDAY(DATE($A25,$B25+1,E$2))</f>
        <v>42304</v>
      </c>
      <c r="F25" s="81">
        <f>DATE($A25,$B25+1,1)- WEEKDAY(DATE($A25,$B25+1,F$2))</f>
        <v>42305</v>
      </c>
      <c r="G25" s="81">
        <f>DATE($A25,$B25+1,1)- WEEKDAY(DATE($A25,$B25+1,G$2))</f>
        <v>42306</v>
      </c>
      <c r="H25" s="81">
        <f>DATE($A25,$B25+1,1)- WEEKDAY(DATE($A25,$B25+1,H$2))</f>
        <v>42307</v>
      </c>
      <c r="I25" s="81">
        <f>DATE($A25,$B25+1,1)- WEEKDAY(DATE($A25,$B25+1,I$2))</f>
        <v>42308</v>
      </c>
    </row>
    <row r="26" spans="1:9">
      <c r="A26" s="42">
        <v>2015</v>
      </c>
      <c r="B26" s="42">
        <v>11</v>
      </c>
      <c r="C26" s="81">
        <f>DATE($A26,$B26+1,1)- WEEKDAY(DATE($A26,$B26+1,C$2))</f>
        <v>42337</v>
      </c>
      <c r="D26" s="81">
        <f>DATE($A26,$B26+1,1)- WEEKDAY(DATE($A26,$B26+1,D$2))</f>
        <v>42338</v>
      </c>
      <c r="E26" s="81">
        <f>DATE($A26,$B26+1,1)- WEEKDAY(DATE($A26,$B26+1,E$2))</f>
        <v>42332</v>
      </c>
      <c r="F26" s="81">
        <f>DATE($A26,$B26+1,1)- WEEKDAY(DATE($A26,$B26+1,F$2))</f>
        <v>42333</v>
      </c>
      <c r="G26" s="81">
        <f>DATE($A26,$B26+1,1)- WEEKDAY(DATE($A26,$B26+1,G$2))</f>
        <v>42334</v>
      </c>
      <c r="H26" s="81">
        <f>DATE($A26,$B26+1,1)- WEEKDAY(DATE($A26,$B26+1,H$2))</f>
        <v>42335</v>
      </c>
      <c r="I26" s="81">
        <f>DATE($A26,$B26+1,1)- WEEKDAY(DATE($A26,$B26+1,I$2))</f>
        <v>42336</v>
      </c>
    </row>
    <row r="27" spans="1:9">
      <c r="A27" s="42">
        <v>2015</v>
      </c>
      <c r="B27" s="42">
        <v>12</v>
      </c>
      <c r="C27" s="81">
        <f>DATE($A27,$B27+1,1)- WEEKDAY(DATE($A27,$B27+1,C$2))</f>
        <v>42365</v>
      </c>
      <c r="D27" s="81">
        <f>DATE($A27,$B27+1,1)- WEEKDAY(DATE($A27,$B27+1,D$2))</f>
        <v>42366</v>
      </c>
      <c r="E27" s="81">
        <f>DATE($A27,$B27+1,1)- WEEKDAY(DATE($A27,$B27+1,E$2))</f>
        <v>42367</v>
      </c>
      <c r="F27" s="81">
        <f>DATE($A27,$B27+1,1)- WEEKDAY(DATE($A27,$B27+1,F$2))</f>
        <v>42368</v>
      </c>
      <c r="G27" s="81">
        <f>DATE($A27,$B27+1,1)- WEEKDAY(DATE($A27,$B27+1,G$2))</f>
        <v>42369</v>
      </c>
      <c r="H27" s="81">
        <f>DATE($A27,$B27+1,1)- WEEKDAY(DATE($A27,$B27+1,H$2))</f>
        <v>42363</v>
      </c>
      <c r="I27" s="81">
        <f>DATE($A27,$B27+1,1)- WEEKDAY(DATE($A27,$B27+1,I$2))</f>
        <v>42364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3:C7"/>
  <sheetViews>
    <sheetView workbookViewId="0"/>
  </sheetViews>
  <sheetFormatPr defaultRowHeight="15"/>
  <cols>
    <col min="2" max="2" width="15.5703125" style="5" customWidth="1"/>
    <col min="3" max="3" width="14.28515625" style="12" customWidth="1"/>
  </cols>
  <sheetData>
    <row r="3" spans="2:3">
      <c r="C3" s="85">
        <v>0.26072916666666668</v>
      </c>
    </row>
    <row r="5" spans="2:3">
      <c r="B5" s="5" t="s">
        <v>258</v>
      </c>
      <c r="C5" s="84">
        <f>HOUR(C3)</f>
        <v>6</v>
      </c>
    </row>
    <row r="6" spans="2:3">
      <c r="B6" s="5" t="s">
        <v>257</v>
      </c>
      <c r="C6" s="84">
        <f>MINUTE(C3)</f>
        <v>15</v>
      </c>
    </row>
    <row r="7" spans="2:3">
      <c r="B7" s="5" t="s">
        <v>256</v>
      </c>
      <c r="C7" s="84">
        <f>SECOND(C3)</f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3:D20"/>
  <sheetViews>
    <sheetView workbookViewId="0"/>
  </sheetViews>
  <sheetFormatPr defaultRowHeight="15"/>
  <cols>
    <col min="2" max="2" width="11.5703125" customWidth="1"/>
    <col min="3" max="3" width="14.28515625" bestFit="1" customWidth="1"/>
    <col min="4" max="4" width="36.28515625" style="86" customWidth="1"/>
  </cols>
  <sheetData>
    <row r="3" spans="2:4">
      <c r="B3" s="2" t="s">
        <v>261</v>
      </c>
      <c r="C3" s="2" t="s">
        <v>260</v>
      </c>
      <c r="D3" s="89" t="s">
        <v>259</v>
      </c>
    </row>
    <row r="4" spans="2:4" ht="15.75">
      <c r="B4" s="88">
        <v>0.3735</v>
      </c>
      <c r="C4" s="88">
        <v>0.4199</v>
      </c>
      <c r="D4" s="87">
        <f>IF(C4&lt; B4, 1 + C4 - B4, C4 - B4)</f>
        <v>4.6399999999999997E-2</v>
      </c>
    </row>
    <row r="5" spans="2:4" ht="15.75">
      <c r="B5" s="88">
        <v>0.69120000000000004</v>
      </c>
      <c r="C5" s="88">
        <v>0.68289999999999995</v>
      </c>
      <c r="D5" s="87">
        <f>IF(C5&lt; B5, 1 + C5 - B5, C5 - B5)</f>
        <v>0.99170000000000003</v>
      </c>
    </row>
    <row r="6" spans="2:4" ht="15.75">
      <c r="B6" s="88">
        <v>0.35039999999999999</v>
      </c>
      <c r="C6" s="88">
        <v>0.67679999999999996</v>
      </c>
      <c r="D6" s="87">
        <f>IF(C6&lt; B6, 1 + C6 - B6, C6 - B6)</f>
        <v>0.32639999999999997</v>
      </c>
    </row>
    <row r="7" spans="2:4" ht="15.75">
      <c r="B7" s="88">
        <v>0.63239999999999996</v>
      </c>
      <c r="C7" s="88">
        <v>0.41039999999999999</v>
      </c>
      <c r="D7" s="87">
        <f>IF(C7&lt; B7, 1 + C7 - B7, C7 - B7)</f>
        <v>0.77800000000000014</v>
      </c>
    </row>
    <row r="8" spans="2:4" ht="15.75">
      <c r="B8" s="88">
        <v>0.60650000000000004</v>
      </c>
      <c r="C8" s="88">
        <v>0.58460000000000001</v>
      </c>
      <c r="D8" s="87">
        <f>IF(C8&lt; B8, 1 + C8 - B8, C8 - B8)</f>
        <v>0.97809999999999997</v>
      </c>
    </row>
    <row r="9" spans="2:4" ht="15.75">
      <c r="B9" s="88">
        <v>0.3629</v>
      </c>
      <c r="C9" s="88">
        <v>0.4698</v>
      </c>
      <c r="D9" s="87">
        <f>IF(C9&lt; B9, 1 + C9 - B9, C9 - B9)</f>
        <v>0.1069</v>
      </c>
    </row>
    <row r="10" spans="2:4" ht="15.75">
      <c r="B10" s="88">
        <v>0.47249999999999998</v>
      </c>
      <c r="C10" s="88">
        <v>0.4002</v>
      </c>
      <c r="D10" s="87">
        <f>IF(C10&lt; B10, 1 + C10 - B10, C10 - B10)</f>
        <v>0.92769999999999997</v>
      </c>
    </row>
    <row r="11" spans="2:4" ht="15.75">
      <c r="B11" s="88">
        <v>0.66449999999999998</v>
      </c>
      <c r="C11" s="88">
        <v>0.58699999999999997</v>
      </c>
      <c r="D11" s="87">
        <f>IF(C11&lt; B11, 1 + C11 - B11, C11 - B11)</f>
        <v>0.92249999999999999</v>
      </c>
    </row>
    <row r="12" spans="2:4" ht="15.75">
      <c r="B12" s="88">
        <v>0.64810000000000001</v>
      </c>
      <c r="C12" s="88">
        <v>0.44869999999999999</v>
      </c>
      <c r="D12" s="87">
        <f>IF(C12&lt; B12, 1 + C12 - B12, C12 - B12)</f>
        <v>0.80060000000000009</v>
      </c>
    </row>
    <row r="13" spans="2:4" ht="15.75">
      <c r="B13" s="88">
        <v>0.52910000000000001</v>
      </c>
      <c r="C13" s="88">
        <v>0.55459999999999998</v>
      </c>
      <c r="D13" s="87">
        <f>IF(C13&lt; B13, 1 + C13 - B13, C13 - B13)</f>
        <v>2.5499999999999967E-2</v>
      </c>
    </row>
    <row r="14" spans="2:4" ht="15.75">
      <c r="B14" s="88">
        <v>0.48549999999999999</v>
      </c>
      <c r="C14" s="88">
        <v>0.47170000000000001</v>
      </c>
      <c r="D14" s="87">
        <f>IF(C14&lt; B14, 1 + C14 - B14, C14 - B14)</f>
        <v>0.98619999999999997</v>
      </c>
    </row>
    <row r="15" spans="2:4" ht="15.75">
      <c r="B15" s="88">
        <v>0.67800000000000005</v>
      </c>
      <c r="C15" s="88">
        <v>0.39750000000000002</v>
      </c>
      <c r="D15" s="87">
        <f>IF(C15&lt; B15, 1 + C15 - B15, C15 - B15)</f>
        <v>0.71949999999999992</v>
      </c>
    </row>
    <row r="16" spans="2:4" ht="15.75">
      <c r="B16" s="88">
        <v>0.34499999999999997</v>
      </c>
      <c r="C16" s="88">
        <v>0.60840000000000005</v>
      </c>
      <c r="D16" s="87">
        <f>IF(C16&lt; B16, 1 + C16 - B16, C16 - B16)</f>
        <v>0.26340000000000008</v>
      </c>
    </row>
    <row r="17" spans="2:4" ht="15.75">
      <c r="B17" s="88">
        <v>0.62929999999999997</v>
      </c>
      <c r="C17" s="88">
        <v>0.5615</v>
      </c>
      <c r="D17" s="87">
        <f>IF(C17&lt; B17, 1 + C17 - B17, C17 - B17)</f>
        <v>0.93220000000000014</v>
      </c>
    </row>
    <row r="18" spans="2:4" ht="15.75">
      <c r="B18" s="88">
        <v>0.44140000000000001</v>
      </c>
      <c r="C18" s="88">
        <v>0.38350000000000001</v>
      </c>
      <c r="D18" s="87">
        <f>IF(C18&lt; B18, 1 + C18 - B18, C18 - B18)</f>
        <v>0.94209999999999994</v>
      </c>
    </row>
    <row r="19" spans="2:4" ht="15.75">
      <c r="B19" s="88">
        <v>0.43209999999999998</v>
      </c>
      <c r="C19" s="88">
        <v>0.52849999999999997</v>
      </c>
      <c r="D19" s="87">
        <f>IF(C19&lt; B19, 1 + C19 - B19, C19 - B19)</f>
        <v>9.6399999999999986E-2</v>
      </c>
    </row>
    <row r="20" spans="2:4" ht="15.75">
      <c r="B20" s="88">
        <v>0.60899999999999999</v>
      </c>
      <c r="C20" s="88">
        <v>0.69679999999999997</v>
      </c>
      <c r="D20" s="87">
        <f>IF(C20&lt; B20, 1 + C20 - B20, C20 - B20)</f>
        <v>8.7799999999999989E-2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3:F7"/>
  <sheetViews>
    <sheetView workbookViewId="0"/>
  </sheetViews>
  <sheetFormatPr defaultRowHeight="15"/>
  <cols>
    <col min="1" max="1" width="4.5703125" customWidth="1"/>
    <col min="2" max="3" width="14.28515625" customWidth="1"/>
    <col min="4" max="4" width="16.42578125" style="12" bestFit="1" customWidth="1"/>
    <col min="5" max="5" width="18.5703125" style="12" bestFit="1" customWidth="1"/>
    <col min="6" max="6" width="18.42578125" style="12" bestFit="1" customWidth="1"/>
  </cols>
  <sheetData>
    <row r="3" spans="2:6" s="53" customFormat="1" ht="30">
      <c r="B3" s="83" t="s">
        <v>261</v>
      </c>
      <c r="C3" s="83" t="s">
        <v>260</v>
      </c>
      <c r="D3" s="92" t="s">
        <v>259</v>
      </c>
      <c r="E3" s="83" t="s">
        <v>263</v>
      </c>
      <c r="F3" s="83" t="s">
        <v>262</v>
      </c>
    </row>
    <row r="4" spans="2:6" ht="15.75">
      <c r="B4" s="91">
        <v>0.36749999999999999</v>
      </c>
      <c r="C4" s="91">
        <v>0.4194</v>
      </c>
      <c r="D4" s="90">
        <v>5.1900000000000002E-2</v>
      </c>
      <c r="E4" s="90">
        <f>ROUNDUP(C4*24/0.25,0)*(0.25/24)</f>
        <v>0.42708333333333331</v>
      </c>
      <c r="F4" s="90">
        <f>ROUNDDOWN(C4*24/0.5,0)*(0.5/24)</f>
        <v>0.41666666666666663</v>
      </c>
    </row>
    <row r="5" spans="2:6" ht="15.75">
      <c r="B5" s="91">
        <v>0.45729999999999998</v>
      </c>
      <c r="C5" s="91">
        <v>0.42980000000000002</v>
      </c>
      <c r="D5" s="90">
        <v>0.97249999999999992</v>
      </c>
      <c r="E5" s="90">
        <f>ROUNDUP(C5*24/0.25,0)*(0.25/24)</f>
        <v>0.4375</v>
      </c>
      <c r="F5" s="90">
        <f>ROUNDDOWN(C5*24/0.5,0)*(0.5/24)</f>
        <v>0.41666666666666663</v>
      </c>
    </row>
    <row r="6" spans="2:6" ht="15.75">
      <c r="B6" s="91">
        <v>0.39140000000000003</v>
      </c>
      <c r="C6" s="91">
        <v>0.57530000000000003</v>
      </c>
      <c r="D6" s="90">
        <v>0.18390000000000001</v>
      </c>
      <c r="E6" s="90">
        <f>ROUNDUP(C6*24/0.25,0)*(0.25/24)</f>
        <v>0.58333333333333326</v>
      </c>
      <c r="F6" s="90">
        <f>ROUNDDOWN(C6*24/0.5,0)*(0.5/24)</f>
        <v>0.5625</v>
      </c>
    </row>
    <row r="7" spans="2:6" ht="15.75">
      <c r="B7" s="91">
        <v>0.36059999999999998</v>
      </c>
      <c r="C7" s="91">
        <v>0.69469999999999998</v>
      </c>
      <c r="D7" s="90">
        <v>0.33410000000000001</v>
      </c>
      <c r="E7" s="90">
        <f>ROUNDUP(C7*24/0.25,0)*(0.25/24)</f>
        <v>0.69791666666666663</v>
      </c>
      <c r="F7" s="90">
        <f>ROUNDDOWN(C7*24/0.5,0)*(0.5/24)</f>
        <v>0.6875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I19"/>
  <sheetViews>
    <sheetView workbookViewId="0"/>
  </sheetViews>
  <sheetFormatPr defaultRowHeight="15"/>
  <cols>
    <col min="1" max="1" width="3.5703125" customWidth="1"/>
    <col min="2" max="2" width="13.85546875" bestFit="1" customWidth="1"/>
    <col min="3" max="3" width="16.42578125" bestFit="1" customWidth="1"/>
    <col min="4" max="4" width="6.85546875" customWidth="1"/>
    <col min="5" max="5" width="16.140625" bestFit="1" customWidth="1"/>
    <col min="6" max="6" width="16.42578125" bestFit="1" customWidth="1"/>
    <col min="7" max="7" width="3.28515625" customWidth="1"/>
    <col min="8" max="8" width="16" bestFit="1" customWidth="1"/>
    <col min="9" max="9" width="16.42578125" bestFit="1" customWidth="1"/>
  </cols>
  <sheetData>
    <row r="2" spans="2:9">
      <c r="B2" s="2" t="s">
        <v>268</v>
      </c>
      <c r="C2" s="89" t="s">
        <v>267</v>
      </c>
      <c r="E2" s="2" t="s">
        <v>266</v>
      </c>
      <c r="F2" s="89" t="s">
        <v>264</v>
      </c>
      <c r="H2" s="2" t="s">
        <v>265</v>
      </c>
      <c r="I2" s="89" t="s">
        <v>264</v>
      </c>
    </row>
    <row r="3" spans="2:9">
      <c r="B3" s="94">
        <v>11.5</v>
      </c>
      <c r="C3" s="93">
        <f>B3/24</f>
        <v>0.47916666666666669</v>
      </c>
      <c r="E3" s="94">
        <v>398.32116819455723</v>
      </c>
      <c r="F3" s="93">
        <f>E3/1440</f>
        <v>0.2766119223573314</v>
      </c>
      <c r="H3" s="94">
        <v>312.81970632629157</v>
      </c>
      <c r="I3" s="93">
        <f>H3/86400</f>
        <v>3.6205984528505969E-3</v>
      </c>
    </row>
    <row r="4" spans="2:9">
      <c r="B4" s="94">
        <v>13.75</v>
      </c>
      <c r="C4" s="93">
        <f>B4/24</f>
        <v>0.57291666666666663</v>
      </c>
      <c r="E4" s="94">
        <v>497.49286354812034</v>
      </c>
      <c r="F4" s="93">
        <f>E4/1440</f>
        <v>0.34548115524175022</v>
      </c>
      <c r="H4" s="94">
        <v>148.84131755742615</v>
      </c>
      <c r="I4" s="93">
        <f>H4/86400</f>
        <v>1.7227004346924324E-3</v>
      </c>
    </row>
    <row r="5" spans="2:9">
      <c r="B5" s="94">
        <v>18.25</v>
      </c>
      <c r="C5" s="93">
        <f>B5/24</f>
        <v>0.76041666666666663</v>
      </c>
      <c r="E5" s="94">
        <v>271.78111178071089</v>
      </c>
      <c r="F5" s="93">
        <f>E5/1440</f>
        <v>0.18873688318104923</v>
      </c>
      <c r="H5" s="94">
        <v>479.49410255589476</v>
      </c>
      <c r="I5" s="93">
        <f>H5/86400</f>
        <v>5.5497002610635964E-3</v>
      </c>
    </row>
    <row r="6" spans="2:9">
      <c r="B6" s="94">
        <v>11.35</v>
      </c>
      <c r="C6" s="93">
        <f>B6/24</f>
        <v>0.47291666666666665</v>
      </c>
      <c r="E6" s="94">
        <v>488.1519230096531</v>
      </c>
      <c r="F6" s="93">
        <f>E6/1440</f>
        <v>0.33899439097892575</v>
      </c>
      <c r="H6" s="94">
        <v>494.3458842202208</v>
      </c>
      <c r="I6" s="93">
        <f>H6/86400</f>
        <v>5.7215958821784816E-3</v>
      </c>
    </row>
    <row r="7" spans="2:9">
      <c r="B7" s="94">
        <v>12.45</v>
      </c>
      <c r="C7" s="93">
        <f>B7/24</f>
        <v>0.51874999999999993</v>
      </c>
      <c r="E7" s="94">
        <v>588.86902830287909</v>
      </c>
      <c r="F7" s="93">
        <f>E7/1440</f>
        <v>0.4089368252103327</v>
      </c>
      <c r="H7" s="94">
        <v>208.20255878722989</v>
      </c>
      <c r="I7" s="93">
        <f>H7/86400</f>
        <v>2.4097518378151609E-3</v>
      </c>
    </row>
    <row r="8" spans="2:9">
      <c r="B8" s="94">
        <v>15.6</v>
      </c>
      <c r="C8" s="93">
        <f>B8/24</f>
        <v>0.65</v>
      </c>
      <c r="E8" s="94">
        <v>104.56930793746307</v>
      </c>
      <c r="F8" s="93">
        <f>E8/1440</f>
        <v>7.2617574956571576E-2</v>
      </c>
      <c r="H8" s="94">
        <v>309.28193745091613</v>
      </c>
      <c r="I8" s="93">
        <f>H8/86400</f>
        <v>3.5796520538300476E-3</v>
      </c>
    </row>
    <row r="9" spans="2:9">
      <c r="B9" s="94">
        <v>18.36</v>
      </c>
      <c r="C9" s="93">
        <f>B9/24</f>
        <v>0.76500000000000001</v>
      </c>
      <c r="E9" s="94">
        <v>437.07088859136547</v>
      </c>
      <c r="F9" s="93">
        <f>E9/1440</f>
        <v>0.30352145041067047</v>
      </c>
      <c r="H9" s="94">
        <v>520.04918682811456</v>
      </c>
      <c r="I9" s="93">
        <f>H9/86400</f>
        <v>6.0190878105105851E-3</v>
      </c>
    </row>
    <row r="10" spans="2:9">
      <c r="B10" s="94">
        <v>18.561599999999999</v>
      </c>
      <c r="C10" s="93">
        <f>B10/24</f>
        <v>0.77339999999999998</v>
      </c>
      <c r="E10" s="94">
        <v>233.20004752066203</v>
      </c>
      <c r="F10" s="93">
        <f>E10/1440</f>
        <v>0.16194447744490417</v>
      </c>
      <c r="H10" s="94">
        <v>419.74425019265828</v>
      </c>
      <c r="I10" s="93">
        <f>H10/86400</f>
        <v>4.8581510438965077E-3</v>
      </c>
    </row>
    <row r="11" spans="2:9">
      <c r="B11" s="94">
        <v>21.830400000000004</v>
      </c>
      <c r="C11" s="93">
        <f>B11/24</f>
        <v>0.90960000000000019</v>
      </c>
      <c r="E11" s="94">
        <v>141.27983843463122</v>
      </c>
      <c r="F11" s="93">
        <f>E11/1440</f>
        <v>9.8110998912938341E-2</v>
      </c>
      <c r="H11" s="94">
        <v>198.66214596312491</v>
      </c>
      <c r="I11" s="93">
        <f>H11/86400</f>
        <v>2.2993303930917237E-3</v>
      </c>
    </row>
    <row r="12" spans="2:9">
      <c r="B12" s="94">
        <v>19.2288</v>
      </c>
      <c r="C12" s="93">
        <f>B12/24</f>
        <v>0.80120000000000002</v>
      </c>
      <c r="E12" s="94">
        <v>12.958164612929846</v>
      </c>
      <c r="F12" s="93">
        <f>E12/1440</f>
        <v>8.9987254256457261E-3</v>
      </c>
      <c r="H12" s="94">
        <v>390.452894218442</v>
      </c>
      <c r="I12" s="93">
        <f>H12/86400</f>
        <v>4.5191307201208567E-3</v>
      </c>
    </row>
    <row r="13" spans="2:9">
      <c r="B13" s="94">
        <v>20.82</v>
      </c>
      <c r="C13" s="93">
        <f>B13/24</f>
        <v>0.86750000000000005</v>
      </c>
      <c r="E13" s="94">
        <v>184.6834338478551</v>
      </c>
      <c r="F13" s="93">
        <f>E13/1440</f>
        <v>0.12825238461656605</v>
      </c>
      <c r="H13" s="94">
        <v>93.029368150461053</v>
      </c>
      <c r="I13" s="93">
        <f>H13/86400</f>
        <v>1.0767287980377436E-3</v>
      </c>
    </row>
    <row r="14" spans="2:9">
      <c r="B14" s="94">
        <v>22.298400000000001</v>
      </c>
      <c r="C14" s="93">
        <f>B14/24</f>
        <v>0.92910000000000004</v>
      </c>
      <c r="E14" s="94">
        <v>412.80931520103599</v>
      </c>
      <c r="F14" s="93">
        <f>E14/1440</f>
        <v>0.28667313555627499</v>
      </c>
      <c r="H14" s="94">
        <v>394.03832960100812</v>
      </c>
      <c r="I14" s="93">
        <f>H14/86400</f>
        <v>4.5606288148264829E-3</v>
      </c>
    </row>
    <row r="15" spans="2:9">
      <c r="B15" s="94">
        <v>21.592799999999997</v>
      </c>
      <c r="C15" s="93">
        <f>B15/24</f>
        <v>0.89969999999999983</v>
      </c>
      <c r="E15" s="94">
        <v>588.27332317066612</v>
      </c>
      <c r="F15" s="93">
        <f>E15/1440</f>
        <v>0.40852314109074034</v>
      </c>
      <c r="H15" s="94">
        <v>17.257396411776483</v>
      </c>
      <c r="I15" s="93">
        <f>H15/86400</f>
        <v>1.9973838439556115E-4</v>
      </c>
    </row>
    <row r="16" spans="2:9">
      <c r="B16" s="94">
        <v>21.139200000000002</v>
      </c>
      <c r="C16" s="93">
        <f>B16/24</f>
        <v>0.88080000000000014</v>
      </c>
      <c r="E16" s="94">
        <v>417.24676919698663</v>
      </c>
      <c r="F16" s="93">
        <f>E16/1440</f>
        <v>0.28975470083124072</v>
      </c>
      <c r="H16" s="94">
        <v>145.61244097417421</v>
      </c>
      <c r="I16" s="93">
        <f>H16/86400</f>
        <v>1.6853291779418311E-3</v>
      </c>
    </row>
    <row r="17" spans="2:9">
      <c r="B17" s="94">
        <v>22.982399999999998</v>
      </c>
      <c r="C17" s="93">
        <f>B17/24</f>
        <v>0.9575999999999999</v>
      </c>
      <c r="E17" s="94">
        <v>177.50313944075239</v>
      </c>
      <c r="F17" s="93">
        <f>E17/1440</f>
        <v>0.12326606905607805</v>
      </c>
      <c r="H17" s="94">
        <v>195.51852163035494</v>
      </c>
      <c r="I17" s="93">
        <f>H17/86400</f>
        <v>2.2629458522031823E-3</v>
      </c>
    </row>
    <row r="18" spans="2:9">
      <c r="B18" s="94">
        <v>20.851199999999999</v>
      </c>
      <c r="C18" s="93">
        <f>B18/24</f>
        <v>0.86879999999999991</v>
      </c>
      <c r="E18" s="94">
        <v>368.8443036484569</v>
      </c>
      <c r="F18" s="93">
        <f>E18/1440</f>
        <v>0.25614187753365064</v>
      </c>
      <c r="H18" s="94">
        <v>81.073966282064518</v>
      </c>
      <c r="I18" s="93">
        <f>H18/86400</f>
        <v>9.3835609122759861E-4</v>
      </c>
    </row>
    <row r="19" spans="2:9">
      <c r="B19" s="94">
        <v>17.455200000000005</v>
      </c>
      <c r="C19" s="93">
        <f>B19/24</f>
        <v>0.72730000000000017</v>
      </c>
      <c r="E19" s="94">
        <v>167.17007392219932</v>
      </c>
      <c r="F19" s="93">
        <f>E19/1440</f>
        <v>0.11609032911263842</v>
      </c>
      <c r="H19" s="94">
        <v>201.51266821223109</v>
      </c>
      <c r="I19" s="93">
        <f>H19/86400</f>
        <v>2.3323225487526748E-3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H22"/>
  <sheetViews>
    <sheetView workbookViewId="0">
      <selection activeCell="H21" sqref="H21"/>
    </sheetView>
  </sheetViews>
  <sheetFormatPr defaultRowHeight="15"/>
  <cols>
    <col min="2" max="2" width="14" bestFit="1" customWidth="1"/>
    <col min="3" max="4" width="9.7109375" bestFit="1" customWidth="1"/>
    <col min="5" max="7" width="10.7109375" bestFit="1" customWidth="1"/>
    <col min="8" max="8" width="9.7109375" bestFit="1" customWidth="1"/>
  </cols>
  <sheetData>
    <row r="2" spans="2:8">
      <c r="B2" s="97" t="s">
        <v>278</v>
      </c>
      <c r="C2" s="96">
        <v>41517</v>
      </c>
      <c r="D2" s="96">
        <v>41547</v>
      </c>
      <c r="E2" s="96">
        <v>41578</v>
      </c>
      <c r="F2" s="96">
        <v>41608</v>
      </c>
      <c r="G2" s="96">
        <v>41639</v>
      </c>
      <c r="H2" s="96">
        <v>41670</v>
      </c>
    </row>
    <row r="3" spans="2:8">
      <c r="B3" t="s">
        <v>277</v>
      </c>
      <c r="C3" s="95">
        <v>3.919</v>
      </c>
      <c r="D3" s="95">
        <v>3.9889999999999999</v>
      </c>
      <c r="E3" s="95">
        <v>3.8290000000000002</v>
      </c>
      <c r="F3" s="95">
        <v>3.641</v>
      </c>
      <c r="G3" s="95">
        <v>3.6419999999999999</v>
      </c>
      <c r="H3" s="95">
        <v>3.6659999999999999</v>
      </c>
    </row>
    <row r="4" spans="2:8">
      <c r="B4" t="s">
        <v>276</v>
      </c>
      <c r="C4" s="95">
        <v>3.569</v>
      </c>
      <c r="D4" s="95">
        <v>3.5819999999999999</v>
      </c>
      <c r="E4" s="95">
        <v>3.41</v>
      </c>
      <c r="F4" s="95">
        <v>3.2309999999999999</v>
      </c>
      <c r="G4" s="95">
        <v>3.1219999999999999</v>
      </c>
      <c r="H4" s="95">
        <v>3.238</v>
      </c>
    </row>
    <row r="5" spans="2:8">
      <c r="B5" t="s">
        <v>275</v>
      </c>
      <c r="C5" s="95">
        <v>3.6139999999999999</v>
      </c>
      <c r="D5" s="95">
        <v>3.5579999999999998</v>
      </c>
      <c r="E5" s="95">
        <v>3.3879999999999999</v>
      </c>
      <c r="F5" s="95">
        <v>3.3769999999999998</v>
      </c>
      <c r="G5" s="95">
        <v>3.516</v>
      </c>
      <c r="H5" s="95">
        <v>3.4860000000000002</v>
      </c>
    </row>
    <row r="6" spans="2:8">
      <c r="B6" t="s">
        <v>274</v>
      </c>
      <c r="C6" s="95">
        <v>3.7610000000000001</v>
      </c>
      <c r="D6" s="95">
        <v>3.7029999999999998</v>
      </c>
      <c r="E6" s="95">
        <v>3.5179999999999998</v>
      </c>
      <c r="F6" s="95">
        <v>3.419</v>
      </c>
      <c r="G6" s="95">
        <v>3.52</v>
      </c>
      <c r="H6" s="95">
        <v>3.5270000000000001</v>
      </c>
    </row>
    <row r="7" spans="2:8">
      <c r="B7" t="s">
        <v>273</v>
      </c>
      <c r="C7" s="95">
        <v>3.577</v>
      </c>
      <c r="D7" s="95">
        <v>3.54</v>
      </c>
      <c r="E7" s="95">
        <v>3.3180000000000001</v>
      </c>
      <c r="F7" s="95">
        <v>3.1429999999999998</v>
      </c>
      <c r="G7" s="95">
        <v>3.113</v>
      </c>
      <c r="H7" s="95">
        <v>3.2719999999999998</v>
      </c>
    </row>
    <row r="8" spans="2:8">
      <c r="B8" t="s">
        <v>272</v>
      </c>
      <c r="C8" s="95">
        <v>3.9329999999999998</v>
      </c>
      <c r="D8" s="95">
        <v>3.879</v>
      </c>
      <c r="E8" s="95">
        <v>3.7</v>
      </c>
      <c r="F8" s="95">
        <v>3.633</v>
      </c>
      <c r="G8" s="95">
        <v>3.7360000000000002</v>
      </c>
      <c r="H8" s="95">
        <v>3.734</v>
      </c>
    </row>
    <row r="9" spans="2:8">
      <c r="B9" t="s">
        <v>271</v>
      </c>
      <c r="C9" s="95">
        <v>3.5419999999999998</v>
      </c>
      <c r="D9" s="95">
        <v>3.512</v>
      </c>
      <c r="E9" s="95">
        <v>3.3170000000000002</v>
      </c>
      <c r="F9" s="95">
        <v>3.2309999999999999</v>
      </c>
      <c r="G9" s="95">
        <v>3.2810000000000001</v>
      </c>
      <c r="H9" s="95">
        <v>3.3359999999999999</v>
      </c>
    </row>
    <row r="10" spans="2:8">
      <c r="B10" t="s">
        <v>270</v>
      </c>
      <c r="C10" s="95">
        <v>3.5089999999999999</v>
      </c>
      <c r="D10" s="95">
        <v>3.383</v>
      </c>
      <c r="E10" s="95">
        <v>3.18</v>
      </c>
      <c r="F10" s="95">
        <v>3.1040000000000001</v>
      </c>
      <c r="G10" s="95">
        <v>3.1709999999999998</v>
      </c>
      <c r="H10" s="95">
        <v>3.1869999999999998</v>
      </c>
    </row>
    <row r="11" spans="2:8">
      <c r="B11" t="s">
        <v>269</v>
      </c>
      <c r="C11" s="95">
        <v>3.855</v>
      </c>
      <c r="D11" s="95">
        <v>3.7669999999999999</v>
      </c>
      <c r="E11" s="95">
        <v>3.5670000000000002</v>
      </c>
      <c r="F11" s="95">
        <v>3.3730000000000002</v>
      </c>
      <c r="G11" s="95">
        <v>3.3479999999999999</v>
      </c>
      <c r="H11" s="95">
        <v>3.3660000000000001</v>
      </c>
    </row>
    <row r="14" spans="2:8">
      <c r="B14" t="s">
        <v>277</v>
      </c>
      <c r="C14" t="str">
        <f>IF(C3&gt;AVERAGE(C$3:C$11),"High","Low")</f>
        <v>High</v>
      </c>
      <c r="D14" t="str">
        <f>IF(D3&gt;AVERAGE(D$3:D$11),"High","Low")</f>
        <v>High</v>
      </c>
      <c r="E14" t="str">
        <f>IF(E3&gt;AVERAGE(E$3:E$11),"High","Low")</f>
        <v>High</v>
      </c>
      <c r="F14" t="str">
        <f>IF(F3&gt;AVERAGE(F$3:F$11),"High","Low")</f>
        <v>High</v>
      </c>
      <c r="G14" t="str">
        <f>IF(G3&gt;AVERAGE(G$3:G$11),"High","Low")</f>
        <v>High</v>
      </c>
      <c r="H14" t="str">
        <f>IF(H3&gt;AVERAGE(H$3:H$11),"High","Low")</f>
        <v>High</v>
      </c>
    </row>
    <row r="15" spans="2:8">
      <c r="B15" t="s">
        <v>276</v>
      </c>
      <c r="C15" t="str">
        <f>IF(C4&gt;AVERAGE(C$3:C$11),"High","Low")</f>
        <v>Low</v>
      </c>
      <c r="D15" t="str">
        <f>IF(D4&gt;AVERAGE(D$3:D$11),"High","Low")</f>
        <v>Low</v>
      </c>
      <c r="E15" t="str">
        <f>IF(E4&gt;AVERAGE(E$3:E$11),"High","Low")</f>
        <v>Low</v>
      </c>
      <c r="F15" t="str">
        <f>IF(F4&gt;AVERAGE(F$3:F$11),"High","Low")</f>
        <v>Low</v>
      </c>
      <c r="G15" t="str">
        <f>IF(G4&gt;AVERAGE(G$3:G$11),"High","Low")</f>
        <v>Low</v>
      </c>
      <c r="H15" t="str">
        <f>IF(H4&gt;AVERAGE(H$3:H$11),"High","Low")</f>
        <v>Low</v>
      </c>
    </row>
    <row r="16" spans="2:8">
      <c r="B16" t="s">
        <v>275</v>
      </c>
      <c r="C16" t="str">
        <f>IF(C5&gt;AVERAGE(C$3:C$11),"High","Low")</f>
        <v>Low</v>
      </c>
      <c r="D16" t="str">
        <f>IF(D5&gt;AVERAGE(D$3:D$11),"High","Low")</f>
        <v>Low</v>
      </c>
      <c r="E16" t="str">
        <f>IF(E5&gt;AVERAGE(E$3:E$11),"High","Low")</f>
        <v>Low</v>
      </c>
      <c r="F16" t="str">
        <f>IF(F5&gt;AVERAGE(F$3:F$11),"High","Low")</f>
        <v>High</v>
      </c>
      <c r="G16" t="str">
        <f>IF(G5&gt;AVERAGE(G$3:G$11),"High","Low")</f>
        <v>High</v>
      </c>
      <c r="H16" t="str">
        <f>IF(H5&gt;AVERAGE(H$3:H$11),"High","Low")</f>
        <v>High</v>
      </c>
    </row>
    <row r="17" spans="2:8">
      <c r="B17" t="s">
        <v>274</v>
      </c>
      <c r="C17" t="str">
        <f>IF(C6&gt;AVERAGE(C$3:C$11),"High","Low")</f>
        <v>High</v>
      </c>
      <c r="D17" t="str">
        <f>IF(D6&gt;AVERAGE(D$3:D$11),"High","Low")</f>
        <v>High</v>
      </c>
      <c r="E17" t="str">
        <f>IF(E6&gt;AVERAGE(E$3:E$11),"High","Low")</f>
        <v>High</v>
      </c>
      <c r="F17" t="str">
        <f>IF(F6&gt;AVERAGE(F$3:F$11),"High","Low")</f>
        <v>High</v>
      </c>
      <c r="G17" t="str">
        <f>IF(G6&gt;AVERAGE(G$3:G$11),"High","Low")</f>
        <v>High</v>
      </c>
      <c r="H17" t="str">
        <f>IF(H6&gt;AVERAGE(H$3:H$11),"High","Low")</f>
        <v>High</v>
      </c>
    </row>
    <row r="18" spans="2:8">
      <c r="B18" t="s">
        <v>273</v>
      </c>
      <c r="C18" t="str">
        <f>IF(C7&gt;AVERAGE(C$3:C$11),"High","Low")</f>
        <v>Low</v>
      </c>
      <c r="D18" t="str">
        <f>IF(D7&gt;AVERAGE(D$3:D$11),"High","Low")</f>
        <v>Low</v>
      </c>
      <c r="E18" t="str">
        <f>IF(E7&gt;AVERAGE(E$3:E$11),"High","Low")</f>
        <v>Low</v>
      </c>
      <c r="F18" t="str">
        <f>IF(F7&gt;AVERAGE(F$3:F$11),"High","Low")</f>
        <v>Low</v>
      </c>
      <c r="G18" t="str">
        <f>IF(G7&gt;AVERAGE(G$3:G$11),"High","Low")</f>
        <v>Low</v>
      </c>
      <c r="H18" t="str">
        <f>IF(H7&gt;AVERAGE(H$3:H$11),"High","Low")</f>
        <v>Low</v>
      </c>
    </row>
    <row r="19" spans="2:8">
      <c r="B19" t="s">
        <v>272</v>
      </c>
      <c r="C19" t="str">
        <f>IF(C8&gt;AVERAGE(C$3:C$11),"High","Low")</f>
        <v>High</v>
      </c>
      <c r="D19" t="str">
        <f>IF(D8&gt;AVERAGE(D$3:D$11),"High","Low")</f>
        <v>High</v>
      </c>
      <c r="E19" t="str">
        <f>IF(E8&gt;AVERAGE(E$3:E$11),"High","Low")</f>
        <v>High</v>
      </c>
      <c r="F19" t="str">
        <f>IF(F8&gt;AVERAGE(F$3:F$11),"High","Low")</f>
        <v>High</v>
      </c>
      <c r="G19" t="str">
        <f>IF(G8&gt;AVERAGE(G$3:G$11),"High","Low")</f>
        <v>High</v>
      </c>
      <c r="H19" t="str">
        <f>IF(H8&gt;AVERAGE(H$3:H$11),"High","Low")</f>
        <v>High</v>
      </c>
    </row>
    <row r="20" spans="2:8">
      <c r="B20" t="s">
        <v>271</v>
      </c>
      <c r="C20" t="str">
        <f>IF(C9&gt;AVERAGE(C$3:C$11),"High","Low")</f>
        <v>Low</v>
      </c>
      <c r="D20" t="str">
        <f>IF(D9&gt;AVERAGE(D$3:D$11),"High","Low")</f>
        <v>Low</v>
      </c>
      <c r="E20" t="str">
        <f>IF(E9&gt;AVERAGE(E$3:E$11),"High","Low")</f>
        <v>Low</v>
      </c>
      <c r="F20" t="str">
        <f>IF(F9&gt;AVERAGE(F$3:F$11),"High","Low")</f>
        <v>Low</v>
      </c>
      <c r="G20" t="str">
        <f>IF(G9&gt;AVERAGE(G$3:G$11),"High","Low")</f>
        <v>Low</v>
      </c>
      <c r="H20" t="str">
        <f>IF(H9&gt;AVERAGE(H$3:H$11),"High","Low")</f>
        <v>Low</v>
      </c>
    </row>
    <row r="21" spans="2:8">
      <c r="B21" t="s">
        <v>270</v>
      </c>
      <c r="C21" t="str">
        <f>IF(C10&gt;AVERAGE(C$3:C$11),"High","Low")</f>
        <v>Low</v>
      </c>
      <c r="D21" t="str">
        <f>IF(D10&gt;AVERAGE(D$3:D$11),"High","Low")</f>
        <v>Low</v>
      </c>
      <c r="E21" t="str">
        <f>IF(E10&gt;AVERAGE(E$3:E$11),"High","Low")</f>
        <v>Low</v>
      </c>
      <c r="F21" t="str">
        <f>IF(F10&gt;AVERAGE(F$3:F$11),"High","Low")</f>
        <v>Low</v>
      </c>
      <c r="G21" t="str">
        <f>IF(G10&gt;AVERAGE(G$3:G$11),"High","Low")</f>
        <v>Low</v>
      </c>
      <c r="H21" t="str">
        <f>IF(H10&gt;AVERAGE(H$3:H$11),"High","Low")</f>
        <v>Low</v>
      </c>
    </row>
    <row r="22" spans="2:8">
      <c r="B22" t="s">
        <v>269</v>
      </c>
      <c r="C22" t="str">
        <f>IF(C11&gt;AVERAGE(C$3:C$11),"High","Low")</f>
        <v>High</v>
      </c>
      <c r="D22" t="str">
        <f>IF(D11&gt;AVERAGE(D$3:D$11),"High","Low")</f>
        <v>High</v>
      </c>
      <c r="E22" t="str">
        <f>IF(E11&gt;AVERAGE(E$3:E$11),"High","Low")</f>
        <v>High</v>
      </c>
      <c r="F22" t="str">
        <f>IF(F11&gt;AVERAGE(F$3:F$11),"High","Low")</f>
        <v>High</v>
      </c>
      <c r="G22" t="str">
        <f>IF(G11&gt;AVERAGE(G$3:G$11),"High","Low")</f>
        <v>Low</v>
      </c>
      <c r="H22" t="str">
        <f>IF(H11&gt;AVERAGE(H$3:H$11),"High","Low")</f>
        <v>Low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D2:H11"/>
  <sheetViews>
    <sheetView workbookViewId="0">
      <selection activeCell="H21" sqref="H21"/>
    </sheetView>
  </sheetViews>
  <sheetFormatPr defaultRowHeight="15"/>
  <cols>
    <col min="4" max="4" width="14.140625" bestFit="1" customWidth="1"/>
    <col min="7" max="7" width="11.85546875" bestFit="1" customWidth="1"/>
  </cols>
  <sheetData>
    <row r="2" spans="4:8">
      <c r="D2" t="s">
        <v>287</v>
      </c>
      <c r="E2" s="98" t="s">
        <v>281</v>
      </c>
      <c r="G2" t="s">
        <v>286</v>
      </c>
      <c r="H2" t="str">
        <f>IF(E2="Car",IF(E3="2-door","Coupe","Sedan"),IF(E3="Has Bed","Pickup","SUV"))</f>
        <v>Pickup</v>
      </c>
    </row>
    <row r="3" spans="4:8">
      <c r="D3" t="s">
        <v>285</v>
      </c>
      <c r="E3" s="98" t="s">
        <v>280</v>
      </c>
    </row>
    <row r="5" spans="4:8">
      <c r="E5" t="s">
        <v>284</v>
      </c>
    </row>
    <row r="6" spans="4:8">
      <c r="E6" t="s">
        <v>283</v>
      </c>
    </row>
    <row r="7" spans="4:8">
      <c r="E7" t="s">
        <v>282</v>
      </c>
    </row>
    <row r="9" spans="4:8">
      <c r="E9" t="s">
        <v>281</v>
      </c>
    </row>
    <row r="10" spans="4:8">
      <c r="E10" t="s">
        <v>280</v>
      </c>
    </row>
    <row r="11" spans="4:8">
      <c r="E11" t="s">
        <v>279</v>
      </c>
    </row>
  </sheetData>
  <dataValidations count="2">
    <dataValidation type="list" allowBlank="1" showInputMessage="1" showErrorMessage="1" sqref="E3">
      <formula1>INDIRECT(E2)</formula1>
    </dataValidation>
    <dataValidation type="list" allowBlank="1" showInputMessage="1" showErrorMessage="1" sqref="E2">
      <formula1>"Car,Truck"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D2:H11"/>
  <sheetViews>
    <sheetView workbookViewId="0">
      <selection activeCell="H21" sqref="H21"/>
    </sheetView>
  </sheetViews>
  <sheetFormatPr defaultRowHeight="15"/>
  <cols>
    <col min="4" max="4" width="14.140625" bestFit="1" customWidth="1"/>
    <col min="7" max="7" width="11.85546875" bestFit="1" customWidth="1"/>
  </cols>
  <sheetData>
    <row r="2" spans="4:8">
      <c r="D2" t="s">
        <v>287</v>
      </c>
      <c r="E2" s="98" t="s">
        <v>284</v>
      </c>
      <c r="G2" t="s">
        <v>286</v>
      </c>
      <c r="H2" t="str">
        <f>IF(E2="Car",VLOOKUP(E3,E6:F7,2,FALSE),VLOOKUP(E3,E10:F11,2,FALSE))</f>
        <v>Sedan</v>
      </c>
    </row>
    <row r="3" spans="4:8">
      <c r="D3" t="s">
        <v>285</v>
      </c>
      <c r="E3" s="98" t="s">
        <v>282</v>
      </c>
    </row>
    <row r="5" spans="4:8">
      <c r="E5" t="s">
        <v>284</v>
      </c>
    </row>
    <row r="6" spans="4:8">
      <c r="E6" t="s">
        <v>283</v>
      </c>
      <c r="F6" t="s">
        <v>291</v>
      </c>
    </row>
    <row r="7" spans="4:8">
      <c r="E7" t="s">
        <v>282</v>
      </c>
      <c r="F7" t="s">
        <v>290</v>
      </c>
    </row>
    <row r="9" spans="4:8">
      <c r="E9" t="s">
        <v>281</v>
      </c>
    </row>
    <row r="10" spans="4:8">
      <c r="E10" t="s">
        <v>280</v>
      </c>
      <c r="F10" t="s">
        <v>289</v>
      </c>
    </row>
    <row r="11" spans="4:8">
      <c r="E11" t="s">
        <v>279</v>
      </c>
      <c r="F11" t="s">
        <v>288</v>
      </c>
    </row>
  </sheetData>
  <dataValidations count="2">
    <dataValidation type="list" allowBlank="1" showInputMessage="1" showErrorMessage="1" sqref="E2">
      <formula1>"Car,Truck"</formula1>
    </dataValidation>
    <dataValidation type="list" allowBlank="1" showInputMessage="1" showErrorMessage="1" sqref="E3">
      <formula1>INDIRECT(E2)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D22"/>
  <sheetViews>
    <sheetView workbookViewId="0">
      <selection activeCell="H21" sqref="H21"/>
    </sheetView>
  </sheetViews>
  <sheetFormatPr defaultRowHeight="15"/>
  <cols>
    <col min="2" max="2" width="14.28515625" bestFit="1" customWidth="1"/>
    <col min="3" max="4" width="8.7109375" customWidth="1"/>
  </cols>
  <sheetData>
    <row r="2" spans="2:4">
      <c r="B2" t="s">
        <v>314</v>
      </c>
      <c r="C2" t="s">
        <v>313</v>
      </c>
      <c r="D2" t="s">
        <v>312</v>
      </c>
    </row>
    <row r="3" spans="2:4">
      <c r="B3" t="s">
        <v>311</v>
      </c>
      <c r="C3" s="100">
        <v>76</v>
      </c>
      <c r="D3" s="99">
        <f>IF(AND(LEFT(B3,3)="202",MID(B3,5,3)="FIN"),10%,0%)</f>
        <v>0</v>
      </c>
    </row>
    <row r="4" spans="2:4">
      <c r="B4" t="s">
        <v>310</v>
      </c>
      <c r="C4" s="100">
        <v>69</v>
      </c>
      <c r="D4" s="99">
        <f>IF(AND(LEFT(B4,3)="202",MID(B4,5,3)="FIN"),10%,0%)</f>
        <v>0</v>
      </c>
    </row>
    <row r="5" spans="2:4">
      <c r="B5" t="s">
        <v>309</v>
      </c>
      <c r="C5" s="100">
        <v>12</v>
      </c>
      <c r="D5" s="99">
        <f>IF(AND(LEFT(B5,3)="202",MID(B5,5,3)="FIN"),10%,0%)</f>
        <v>0.1</v>
      </c>
    </row>
    <row r="6" spans="2:4">
      <c r="B6" t="s">
        <v>308</v>
      </c>
      <c r="C6" s="100">
        <v>79</v>
      </c>
      <c r="D6" s="99">
        <f>IF(AND(LEFT(B6,3)="202",MID(B6,5,3)="FIN"),10%,0%)</f>
        <v>0</v>
      </c>
    </row>
    <row r="7" spans="2:4">
      <c r="B7" t="s">
        <v>307</v>
      </c>
      <c r="C7" s="100">
        <v>16</v>
      </c>
      <c r="D7" s="99">
        <f>IF(AND(LEFT(B7,3)="202",MID(B7,5,3)="FIN"),10%,0%)</f>
        <v>0</v>
      </c>
    </row>
    <row r="8" spans="2:4">
      <c r="B8" t="s">
        <v>306</v>
      </c>
      <c r="C8" s="100">
        <v>87</v>
      </c>
      <c r="D8" s="99">
        <f>IF(AND(LEFT(B8,3)="202",MID(B8,5,3)="FIN"),10%,0%)</f>
        <v>0</v>
      </c>
    </row>
    <row r="9" spans="2:4">
      <c r="B9" t="s">
        <v>305</v>
      </c>
      <c r="C9" s="100">
        <v>97</v>
      </c>
      <c r="D9" s="99">
        <f>IF(AND(LEFT(B9,3)="202",MID(B9,5,3)="FIN"),10%,0%)</f>
        <v>0</v>
      </c>
    </row>
    <row r="10" spans="2:4">
      <c r="B10" t="s">
        <v>304</v>
      </c>
      <c r="C10" s="100">
        <v>25</v>
      </c>
      <c r="D10" s="99">
        <f>IF(AND(LEFT(B10,3)="202",MID(B10,5,3)="FIN"),10%,0%)</f>
        <v>0</v>
      </c>
    </row>
    <row r="11" spans="2:4">
      <c r="B11" t="s">
        <v>303</v>
      </c>
      <c r="C11" s="100">
        <v>14</v>
      </c>
      <c r="D11" s="99">
        <f>IF(AND(LEFT(B11,3)="202",MID(B11,5,3)="FIN"),10%,0%)</f>
        <v>0</v>
      </c>
    </row>
    <row r="12" spans="2:4">
      <c r="B12" t="s">
        <v>302</v>
      </c>
      <c r="C12" s="100">
        <v>67</v>
      </c>
      <c r="D12" s="99">
        <f>IF(AND(LEFT(B12,3)="202",MID(B12,5,3)="FIN"),10%,0%)</f>
        <v>0</v>
      </c>
    </row>
    <row r="13" spans="2:4">
      <c r="B13" t="s">
        <v>301</v>
      </c>
      <c r="C13" s="100">
        <v>40</v>
      </c>
      <c r="D13" s="99">
        <f>IF(AND(LEFT(B13,3)="202",MID(B13,5,3)="FIN"),10%,0%)</f>
        <v>0.1</v>
      </c>
    </row>
    <row r="14" spans="2:4">
      <c r="B14" t="s">
        <v>300</v>
      </c>
      <c r="C14" s="100">
        <v>61</v>
      </c>
      <c r="D14" s="99">
        <f>IF(AND(LEFT(B14,3)="202",MID(B14,5,3)="FIN"),10%,0%)</f>
        <v>0</v>
      </c>
    </row>
    <row r="15" spans="2:4">
      <c r="B15" t="s">
        <v>299</v>
      </c>
      <c r="C15" s="100">
        <v>70</v>
      </c>
      <c r="D15" s="99">
        <f>IF(AND(LEFT(B15,3)="202",MID(B15,5,3)="FIN"),10%,0%)</f>
        <v>0</v>
      </c>
    </row>
    <row r="16" spans="2:4">
      <c r="B16" t="s">
        <v>298</v>
      </c>
      <c r="C16" s="100">
        <v>16</v>
      </c>
      <c r="D16" s="99">
        <f>IF(AND(LEFT(B16,3)="202",MID(B16,5,3)="FIN"),10%,0%)</f>
        <v>0</v>
      </c>
    </row>
    <row r="17" spans="2:4">
      <c r="B17" t="s">
        <v>297</v>
      </c>
      <c r="C17" s="100">
        <v>74</v>
      </c>
      <c r="D17" s="99">
        <f>IF(AND(LEFT(B17,3)="202",MID(B17,5,3)="FIN"),10%,0%)</f>
        <v>0.1</v>
      </c>
    </row>
    <row r="18" spans="2:4">
      <c r="B18" t="s">
        <v>296</v>
      </c>
      <c r="C18" s="100">
        <v>85</v>
      </c>
      <c r="D18" s="99">
        <f>IF(AND(LEFT(B18,3)="202",MID(B18,5,3)="FIN"),10%,0%)</f>
        <v>0</v>
      </c>
    </row>
    <row r="19" spans="2:4">
      <c r="B19" t="s">
        <v>295</v>
      </c>
      <c r="C19" s="100">
        <v>84</v>
      </c>
      <c r="D19" s="99">
        <f>IF(AND(LEFT(B19,3)="202",MID(B19,5,3)="FIN"),10%,0%)</f>
        <v>0</v>
      </c>
    </row>
    <row r="20" spans="2:4">
      <c r="B20" t="s">
        <v>294</v>
      </c>
      <c r="C20" s="100">
        <v>48</v>
      </c>
      <c r="D20" s="99">
        <f>IF(AND(LEFT(B20,3)="202",MID(B20,5,3)="FIN"),10%,0%)</f>
        <v>0</v>
      </c>
    </row>
    <row r="21" spans="2:4">
      <c r="B21" t="s">
        <v>293</v>
      </c>
      <c r="C21" s="100">
        <v>17</v>
      </c>
      <c r="D21" s="99">
        <f>IF(AND(LEFT(B21,3)="202",MID(B21,5,3)="FIN"),10%,0%)</f>
        <v>0</v>
      </c>
    </row>
    <row r="22" spans="2:4">
      <c r="B22" t="s">
        <v>292</v>
      </c>
      <c r="C22" s="100">
        <v>31</v>
      </c>
      <c r="D22" s="99">
        <f>IF(AND(LEFT(B22,3)="202",MID(B22,5,3)="FIN"),10%,0%)</f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F22"/>
  <sheetViews>
    <sheetView workbookViewId="0">
      <selection activeCell="H21" sqref="H21"/>
    </sheetView>
  </sheetViews>
  <sheetFormatPr defaultRowHeight="15"/>
  <cols>
    <col min="2" max="2" width="14.28515625" bestFit="1" customWidth="1"/>
    <col min="3" max="3" width="8.7109375" customWidth="1"/>
    <col min="4" max="4" width="9.7109375" customWidth="1"/>
    <col min="5" max="5" width="15.42578125" customWidth="1"/>
    <col min="6" max="6" width="8.7109375" customWidth="1"/>
  </cols>
  <sheetData>
    <row r="2" spans="2:6">
      <c r="B2" t="s">
        <v>314</v>
      </c>
      <c r="C2" t="s">
        <v>313</v>
      </c>
      <c r="D2" t="s">
        <v>316</v>
      </c>
      <c r="E2" t="s">
        <v>315</v>
      </c>
      <c r="F2" t="s">
        <v>312</v>
      </c>
    </row>
    <row r="3" spans="2:6">
      <c r="B3" t="s">
        <v>311</v>
      </c>
      <c r="C3" s="100">
        <v>76</v>
      </c>
      <c r="D3" s="100" t="b">
        <f>LEFT(B3,3)="202"</f>
        <v>1</v>
      </c>
      <c r="E3" s="100" t="b">
        <f>MID(B3,5,3)="FIN"</f>
        <v>0</v>
      </c>
      <c r="F3" s="99">
        <f>IF(AND(D3,E3),10%,0%)</f>
        <v>0</v>
      </c>
    </row>
    <row r="4" spans="2:6">
      <c r="B4" t="s">
        <v>310</v>
      </c>
      <c r="C4" s="100">
        <v>69</v>
      </c>
      <c r="D4" s="100" t="b">
        <f>LEFT(B4,3)="202"</f>
        <v>0</v>
      </c>
      <c r="E4" s="100" t="b">
        <f>MID(B4,5,3)="FIN"</f>
        <v>1</v>
      </c>
      <c r="F4" s="99">
        <f>IF(AND(D4,E4),10%,0%)</f>
        <v>0</v>
      </c>
    </row>
    <row r="5" spans="2:6">
      <c r="B5" t="s">
        <v>309</v>
      </c>
      <c r="C5" s="100">
        <v>12</v>
      </c>
      <c r="D5" s="100" t="b">
        <f>LEFT(B5,3)="202"</f>
        <v>1</v>
      </c>
      <c r="E5" s="100" t="b">
        <f>MID(B5,5,3)="FIN"</f>
        <v>1</v>
      </c>
      <c r="F5" s="99">
        <f>IF(AND(D5,E5),10%,0%)</f>
        <v>0.1</v>
      </c>
    </row>
    <row r="6" spans="2:6">
      <c r="B6" t="s">
        <v>308</v>
      </c>
      <c r="C6" s="100">
        <v>79</v>
      </c>
      <c r="D6" s="100" t="b">
        <f>LEFT(B6,3)="202"</f>
        <v>0</v>
      </c>
      <c r="E6" s="100" t="b">
        <f>MID(B6,5,3)="FIN"</f>
        <v>1</v>
      </c>
      <c r="F6" s="99">
        <f>IF(AND(D6,E6),10%,0%)</f>
        <v>0</v>
      </c>
    </row>
    <row r="7" spans="2:6">
      <c r="B7" t="s">
        <v>307</v>
      </c>
      <c r="C7" s="100">
        <v>16</v>
      </c>
      <c r="D7" s="100" t="b">
        <f>LEFT(B7,3)="202"</f>
        <v>0</v>
      </c>
      <c r="E7" s="100" t="b">
        <f>MID(B7,5,3)="FIN"</f>
        <v>1</v>
      </c>
      <c r="F7" s="99">
        <f>IF(AND(D7,E7),10%,0%)</f>
        <v>0</v>
      </c>
    </row>
    <row r="8" spans="2:6">
      <c r="B8" t="s">
        <v>306</v>
      </c>
      <c r="C8" s="100">
        <v>87</v>
      </c>
      <c r="D8" s="100" t="b">
        <f>LEFT(B8,3)="202"</f>
        <v>1</v>
      </c>
      <c r="E8" s="100" t="b">
        <f>MID(B8,5,3)="FIN"</f>
        <v>0</v>
      </c>
      <c r="F8" s="99">
        <f>IF(AND(D8,E8),10%,0%)</f>
        <v>0</v>
      </c>
    </row>
    <row r="9" spans="2:6">
      <c r="B9" t="s">
        <v>305</v>
      </c>
      <c r="C9" s="100">
        <v>97</v>
      </c>
      <c r="D9" s="100" t="b">
        <f>LEFT(B9,3)="202"</f>
        <v>0</v>
      </c>
      <c r="E9" s="100" t="b">
        <f>MID(B9,5,3)="FIN"</f>
        <v>1</v>
      </c>
      <c r="F9" s="99">
        <f>IF(AND(D9,E9),10%,0%)</f>
        <v>0</v>
      </c>
    </row>
    <row r="10" spans="2:6">
      <c r="B10" t="s">
        <v>304</v>
      </c>
      <c r="C10" s="100">
        <v>25</v>
      </c>
      <c r="D10" s="100" t="b">
        <f>LEFT(B10,3)="202"</f>
        <v>0</v>
      </c>
      <c r="E10" s="100" t="b">
        <f>MID(B10,5,3)="FIN"</f>
        <v>0</v>
      </c>
      <c r="F10" s="99">
        <f>IF(AND(D10,E10),10%,0%)</f>
        <v>0</v>
      </c>
    </row>
    <row r="11" spans="2:6">
      <c r="B11" t="s">
        <v>303</v>
      </c>
      <c r="C11" s="100">
        <v>14</v>
      </c>
      <c r="D11" s="100" t="b">
        <f>LEFT(B11,3)="202"</f>
        <v>1</v>
      </c>
      <c r="E11" s="100" t="b">
        <f>MID(B11,5,3)="FIN"</f>
        <v>0</v>
      </c>
      <c r="F11" s="99">
        <f>IF(AND(D11,E11),10%,0%)</f>
        <v>0</v>
      </c>
    </row>
    <row r="12" spans="2:6">
      <c r="B12" t="s">
        <v>302</v>
      </c>
      <c r="C12" s="100">
        <v>67</v>
      </c>
      <c r="D12" s="100" t="b">
        <f>LEFT(B12,3)="202"</f>
        <v>0</v>
      </c>
      <c r="E12" s="100" t="b">
        <f>MID(B12,5,3)="FIN"</f>
        <v>0</v>
      </c>
      <c r="F12" s="99">
        <f>IF(AND(D12,E12),10%,0%)</f>
        <v>0</v>
      </c>
    </row>
    <row r="13" spans="2:6">
      <c r="B13" t="s">
        <v>301</v>
      </c>
      <c r="C13" s="100">
        <v>40</v>
      </c>
      <c r="D13" s="100" t="b">
        <f>LEFT(B13,3)="202"</f>
        <v>1</v>
      </c>
      <c r="E13" s="100" t="b">
        <f>MID(B13,5,3)="FIN"</f>
        <v>1</v>
      </c>
      <c r="F13" s="99">
        <f>IF(AND(D13,E13),10%,0%)</f>
        <v>0.1</v>
      </c>
    </row>
    <row r="14" spans="2:6">
      <c r="B14" t="s">
        <v>300</v>
      </c>
      <c r="C14" s="100">
        <v>61</v>
      </c>
      <c r="D14" s="100" t="b">
        <f>LEFT(B14,3)="202"</f>
        <v>1</v>
      </c>
      <c r="E14" s="100" t="b">
        <f>MID(B14,5,3)="FIN"</f>
        <v>0</v>
      </c>
      <c r="F14" s="99">
        <f>IF(AND(D14,E14),10%,0%)</f>
        <v>0</v>
      </c>
    </row>
    <row r="15" spans="2:6">
      <c r="B15" t="s">
        <v>299</v>
      </c>
      <c r="C15" s="100">
        <v>70</v>
      </c>
      <c r="D15" s="100" t="b">
        <f>LEFT(B15,3)="202"</f>
        <v>0</v>
      </c>
      <c r="E15" s="100" t="b">
        <f>MID(B15,5,3)="FIN"</f>
        <v>0</v>
      </c>
      <c r="F15" s="99">
        <f>IF(AND(D15,E15),10%,0%)</f>
        <v>0</v>
      </c>
    </row>
    <row r="16" spans="2:6">
      <c r="B16" t="s">
        <v>298</v>
      </c>
      <c r="C16" s="100">
        <v>16</v>
      </c>
      <c r="D16" s="100" t="b">
        <f>LEFT(B16,3)="202"</f>
        <v>0</v>
      </c>
      <c r="E16" s="100" t="b">
        <f>MID(B16,5,3)="FIN"</f>
        <v>0</v>
      </c>
      <c r="F16" s="99">
        <f>IF(AND(D16,E16),10%,0%)</f>
        <v>0</v>
      </c>
    </row>
    <row r="17" spans="2:6">
      <c r="B17" t="s">
        <v>297</v>
      </c>
      <c r="C17" s="100">
        <v>74</v>
      </c>
      <c r="D17" s="100" t="b">
        <f>LEFT(B17,3)="202"</f>
        <v>1</v>
      </c>
      <c r="E17" s="100" t="b">
        <f>MID(B17,5,3)="FIN"</f>
        <v>1</v>
      </c>
      <c r="F17" s="99">
        <f>IF(AND(D17,E17),10%,0%)</f>
        <v>0.1</v>
      </c>
    </row>
    <row r="18" spans="2:6">
      <c r="B18" t="s">
        <v>296</v>
      </c>
      <c r="C18" s="100">
        <v>85</v>
      </c>
      <c r="D18" s="100" t="b">
        <f>LEFT(B18,3)="202"</f>
        <v>0</v>
      </c>
      <c r="E18" s="100" t="b">
        <f>MID(B18,5,3)="FIN"</f>
        <v>0</v>
      </c>
      <c r="F18" s="99">
        <f>IF(AND(D18,E18),10%,0%)</f>
        <v>0</v>
      </c>
    </row>
    <row r="19" spans="2:6">
      <c r="B19" t="s">
        <v>295</v>
      </c>
      <c r="C19" s="100">
        <v>84</v>
      </c>
      <c r="D19" s="100" t="b">
        <f>LEFT(B19,3)="202"</f>
        <v>0</v>
      </c>
      <c r="E19" s="100" t="b">
        <f>MID(B19,5,3)="FIN"</f>
        <v>0</v>
      </c>
      <c r="F19" s="99">
        <f>IF(AND(D19,E19),10%,0%)</f>
        <v>0</v>
      </c>
    </row>
    <row r="20" spans="2:6">
      <c r="B20" t="s">
        <v>294</v>
      </c>
      <c r="C20" s="100">
        <v>48</v>
      </c>
      <c r="D20" s="100" t="b">
        <f>LEFT(B20,3)="202"</f>
        <v>0</v>
      </c>
      <c r="E20" s="100" t="b">
        <f>MID(B20,5,3)="FIN"</f>
        <v>0</v>
      </c>
      <c r="F20" s="99">
        <f>IF(AND(D20,E20),10%,0%)</f>
        <v>0</v>
      </c>
    </row>
    <row r="21" spans="2:6">
      <c r="B21" t="s">
        <v>293</v>
      </c>
      <c r="C21" s="100">
        <v>17</v>
      </c>
      <c r="D21" s="100" t="b">
        <f>LEFT(B21,3)="202"</f>
        <v>0</v>
      </c>
      <c r="E21" s="100" t="b">
        <f>MID(B21,5,3)="FIN"</f>
        <v>1</v>
      </c>
      <c r="F21" s="99">
        <f>IF(AND(D21,E21),10%,0%)</f>
        <v>0</v>
      </c>
    </row>
    <row r="22" spans="2:6">
      <c r="B22" t="s">
        <v>292</v>
      </c>
      <c r="C22" s="100">
        <v>31</v>
      </c>
      <c r="D22" s="100" t="b">
        <f>LEFT(B22,3)="202"</f>
        <v>0</v>
      </c>
      <c r="E22" s="100" t="b">
        <f>MID(B22,5,3)="FIN"</f>
        <v>0</v>
      </c>
      <c r="F22" s="99">
        <f>IF(AND(D22,E22),10%,0%)</f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D22"/>
  <sheetViews>
    <sheetView workbookViewId="0">
      <selection activeCell="H21" sqref="H21"/>
    </sheetView>
  </sheetViews>
  <sheetFormatPr defaultRowHeight="15"/>
  <cols>
    <col min="2" max="2" width="14.28515625" bestFit="1" customWidth="1"/>
    <col min="3" max="4" width="8.7109375" customWidth="1"/>
  </cols>
  <sheetData>
    <row r="2" spans="2:4">
      <c r="B2" t="s">
        <v>314</v>
      </c>
      <c r="C2" t="s">
        <v>313</v>
      </c>
      <c r="D2" t="s">
        <v>312</v>
      </c>
    </row>
    <row r="3" spans="2:4">
      <c r="B3" t="s">
        <v>311</v>
      </c>
      <c r="C3" s="100">
        <v>76</v>
      </c>
      <c r="D3" s="99">
        <f>IF(AND(OR(LEFT(B3,3)="202",LEFT(B3,3)="203"),MID(B3,5,3)="FIN"),10%,0%)</f>
        <v>0</v>
      </c>
    </row>
    <row r="4" spans="2:4">
      <c r="B4" t="s">
        <v>310</v>
      </c>
      <c r="C4" s="100">
        <v>69</v>
      </c>
      <c r="D4" s="99">
        <f>IF(AND(OR(LEFT(B4,3)="202",LEFT(B4,3)="203"),MID(B4,5,3)="FIN"),10%,0%)</f>
        <v>0</v>
      </c>
    </row>
    <row r="5" spans="2:4">
      <c r="B5" t="s">
        <v>309</v>
      </c>
      <c r="C5" s="100">
        <v>12</v>
      </c>
      <c r="D5" s="99">
        <f>IF(AND(OR(LEFT(B5,3)="202",LEFT(B5,3)="203"),MID(B5,5,3)="FIN"),10%,0%)</f>
        <v>0.1</v>
      </c>
    </row>
    <row r="6" spans="2:4">
      <c r="B6" t="s">
        <v>308</v>
      </c>
      <c r="C6" s="100">
        <v>79</v>
      </c>
      <c r="D6" s="99">
        <f>IF(AND(OR(LEFT(B6,3)="202",LEFT(B6,3)="203"),MID(B6,5,3)="FIN"),10%,0%)</f>
        <v>0</v>
      </c>
    </row>
    <row r="7" spans="2:4">
      <c r="B7" t="s">
        <v>307</v>
      </c>
      <c r="C7" s="100">
        <v>16</v>
      </c>
      <c r="D7" s="99">
        <f>IF(AND(OR(LEFT(B7,3)="202",LEFT(B7,3)="203"),MID(B7,5,3)="FIN"),10%,0%)</f>
        <v>0.1</v>
      </c>
    </row>
    <row r="8" spans="2:4">
      <c r="B8" t="s">
        <v>306</v>
      </c>
      <c r="C8" s="100">
        <v>87</v>
      </c>
      <c r="D8" s="99">
        <f>IF(AND(OR(LEFT(B8,3)="202",LEFT(B8,3)="203"),MID(B8,5,3)="FIN"),10%,0%)</f>
        <v>0</v>
      </c>
    </row>
    <row r="9" spans="2:4">
      <c r="B9" t="s">
        <v>305</v>
      </c>
      <c r="C9" s="100">
        <v>97</v>
      </c>
      <c r="D9" s="99">
        <f>IF(AND(OR(LEFT(B9,3)="202",LEFT(B9,3)="203"),MID(B9,5,3)="FIN"),10%,0%)</f>
        <v>0.1</v>
      </c>
    </row>
    <row r="10" spans="2:4">
      <c r="B10" t="s">
        <v>304</v>
      </c>
      <c r="C10" s="100">
        <v>25</v>
      </c>
      <c r="D10" s="99">
        <f>IF(AND(OR(LEFT(B10,3)="202",LEFT(B10,3)="203"),MID(B10,5,3)="FIN"),10%,0%)</f>
        <v>0</v>
      </c>
    </row>
    <row r="11" spans="2:4">
      <c r="B11" t="s">
        <v>303</v>
      </c>
      <c r="C11" s="100">
        <v>14</v>
      </c>
      <c r="D11" s="99">
        <f>IF(AND(OR(LEFT(B11,3)="202",LEFT(B11,3)="203"),MID(B11,5,3)="FIN"),10%,0%)</f>
        <v>0</v>
      </c>
    </row>
    <row r="12" spans="2:4">
      <c r="B12" t="s">
        <v>302</v>
      </c>
      <c r="C12" s="100">
        <v>67</v>
      </c>
      <c r="D12" s="99">
        <f>IF(AND(OR(LEFT(B12,3)="202",LEFT(B12,3)="203"),MID(B12,5,3)="FIN"),10%,0%)</f>
        <v>0</v>
      </c>
    </row>
    <row r="13" spans="2:4">
      <c r="B13" t="s">
        <v>301</v>
      </c>
      <c r="C13" s="100">
        <v>40</v>
      </c>
      <c r="D13" s="99">
        <f>IF(AND(OR(LEFT(B13,3)="202",LEFT(B13,3)="203"),MID(B13,5,3)="FIN"),10%,0%)</f>
        <v>0.1</v>
      </c>
    </row>
    <row r="14" spans="2:4">
      <c r="B14" t="s">
        <v>300</v>
      </c>
      <c r="C14" s="100">
        <v>61</v>
      </c>
      <c r="D14" s="99">
        <f>IF(AND(OR(LEFT(B14,3)="202",LEFT(B14,3)="203"),MID(B14,5,3)="FIN"),10%,0%)</f>
        <v>0</v>
      </c>
    </row>
    <row r="15" spans="2:4">
      <c r="B15" t="s">
        <v>299</v>
      </c>
      <c r="C15" s="100">
        <v>70</v>
      </c>
      <c r="D15" s="99">
        <f>IF(AND(OR(LEFT(B15,3)="202",LEFT(B15,3)="203"),MID(B15,5,3)="FIN"),10%,0%)</f>
        <v>0</v>
      </c>
    </row>
    <row r="16" spans="2:4">
      <c r="B16" t="s">
        <v>298</v>
      </c>
      <c r="C16" s="100">
        <v>16</v>
      </c>
      <c r="D16" s="99">
        <f>IF(AND(OR(LEFT(B16,3)="202",LEFT(B16,3)="203"),MID(B16,5,3)="FIN"),10%,0%)</f>
        <v>0</v>
      </c>
    </row>
    <row r="17" spans="2:4">
      <c r="B17" t="s">
        <v>297</v>
      </c>
      <c r="C17" s="100">
        <v>74</v>
      </c>
      <c r="D17" s="99">
        <f>IF(AND(OR(LEFT(B17,3)="202",LEFT(B17,3)="203"),MID(B17,5,3)="FIN"),10%,0%)</f>
        <v>0.1</v>
      </c>
    </row>
    <row r="18" spans="2:4">
      <c r="B18" t="s">
        <v>296</v>
      </c>
      <c r="C18" s="100">
        <v>85</v>
      </c>
      <c r="D18" s="99">
        <f>IF(AND(OR(LEFT(B18,3)="202",LEFT(B18,3)="203"),MID(B18,5,3)="FIN"),10%,0%)</f>
        <v>0</v>
      </c>
    </row>
    <row r="19" spans="2:4">
      <c r="B19" t="s">
        <v>295</v>
      </c>
      <c r="C19" s="100">
        <v>84</v>
      </c>
      <c r="D19" s="99">
        <f>IF(AND(OR(LEFT(B19,3)="202",LEFT(B19,3)="203"),MID(B19,5,3)="FIN"),10%,0%)</f>
        <v>0</v>
      </c>
    </row>
    <row r="20" spans="2:4">
      <c r="B20" t="s">
        <v>294</v>
      </c>
      <c r="C20" s="100">
        <v>48</v>
      </c>
      <c r="D20" s="99">
        <f>IF(AND(OR(LEFT(B20,3)="202",LEFT(B20,3)="203"),MID(B20,5,3)="FIN"),10%,0%)</f>
        <v>0</v>
      </c>
    </row>
    <row r="21" spans="2:4">
      <c r="B21" t="s">
        <v>293</v>
      </c>
      <c r="C21" s="100">
        <v>17</v>
      </c>
      <c r="D21" s="99">
        <f>IF(AND(OR(LEFT(B21,3)="202",LEFT(B21,3)="203"),MID(B21,5,3)="FIN"),10%,0%)</f>
        <v>0.1</v>
      </c>
    </row>
    <row r="22" spans="2:4">
      <c r="B22" t="s">
        <v>292</v>
      </c>
      <c r="C22" s="100">
        <v>31</v>
      </c>
      <c r="D22" s="99">
        <f>IF(AND(OR(LEFT(B22,3)="202",LEFT(B22,3)="203"),MID(B22,5,3)="FIN"),10%,0%)</f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C15"/>
  <sheetViews>
    <sheetView workbookViewId="0">
      <selection activeCell="H21" sqref="H21"/>
    </sheetView>
  </sheetViews>
  <sheetFormatPr defaultRowHeight="15"/>
  <cols>
    <col min="2" max="2" width="47.7109375" bestFit="1" customWidth="1"/>
    <col min="3" max="3" width="14.28515625" bestFit="1" customWidth="1"/>
    <col min="5" max="5" width="13.85546875" bestFit="1" customWidth="1"/>
  </cols>
  <sheetData>
    <row r="2" spans="2:3">
      <c r="B2" s="97" t="s">
        <v>330</v>
      </c>
      <c r="C2" s="97" t="s">
        <v>329</v>
      </c>
    </row>
    <row r="3" spans="2:3">
      <c r="B3" t="s">
        <v>328</v>
      </c>
      <c r="C3" s="102">
        <v>9863</v>
      </c>
    </row>
    <row r="4" spans="2:3">
      <c r="B4" t="s">
        <v>327</v>
      </c>
      <c r="C4" s="102">
        <v>-9502</v>
      </c>
    </row>
    <row r="5" spans="2:3">
      <c r="B5" t="s">
        <v>326</v>
      </c>
      <c r="C5" s="102">
        <v>5613</v>
      </c>
    </row>
    <row r="6" spans="2:3">
      <c r="B6" t="s">
        <v>325</v>
      </c>
      <c r="C6" s="102">
        <v>8653</v>
      </c>
    </row>
    <row r="7" spans="2:3">
      <c r="B7" t="s">
        <v>324</v>
      </c>
      <c r="C7" s="102">
        <v>-6937</v>
      </c>
    </row>
    <row r="8" spans="2:3">
      <c r="B8" t="s">
        <v>323</v>
      </c>
      <c r="C8" s="102">
        <v>-6826</v>
      </c>
    </row>
    <row r="9" spans="2:3">
      <c r="B9" t="s">
        <v>322</v>
      </c>
      <c r="C9" s="102">
        <v>-3717</v>
      </c>
    </row>
    <row r="10" spans="2:3">
      <c r="B10" t="s">
        <v>321</v>
      </c>
      <c r="C10" s="102">
        <v>73</v>
      </c>
    </row>
    <row r="11" spans="2:3">
      <c r="B11" t="s">
        <v>320</v>
      </c>
      <c r="C11" s="102">
        <v>-4443</v>
      </c>
    </row>
    <row r="12" spans="2:3">
      <c r="B12" t="s">
        <v>319</v>
      </c>
      <c r="C12" s="102">
        <v>7223</v>
      </c>
    </row>
    <row r="14" spans="2:3">
      <c r="B14" t="s">
        <v>318</v>
      </c>
      <c r="C14" s="101">
        <f>SUMIF(C3:C12,"&lt;0")</f>
        <v>-31425</v>
      </c>
    </row>
    <row r="15" spans="2:3">
      <c r="B15" t="s">
        <v>317</v>
      </c>
      <c r="C15" s="101">
        <f>SUMIF(C3:C12,"&gt;0")</f>
        <v>31425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H21" sqref="H21"/>
    </sheetView>
  </sheetViews>
  <sheetFormatPr defaultRowHeight="15"/>
  <cols>
    <col min="2" max="2" width="47.7109375" bestFit="1" customWidth="1"/>
    <col min="3" max="3" width="14.28515625" bestFit="1" customWidth="1"/>
    <col min="5" max="5" width="13.85546875" bestFit="1" customWidth="1"/>
  </cols>
  <sheetData>
    <row r="2" spans="2:3">
      <c r="B2" t="s">
        <v>3</v>
      </c>
      <c r="C2" s="102">
        <v>2714745.31</v>
      </c>
    </row>
    <row r="3" spans="2:3">
      <c r="B3" t="s">
        <v>3</v>
      </c>
      <c r="C3" s="102">
        <v>1434322.83</v>
      </c>
    </row>
    <row r="4" spans="2:3">
      <c r="B4" t="s">
        <v>2</v>
      </c>
      <c r="C4" s="102">
        <v>1983811.7</v>
      </c>
    </row>
    <row r="5" spans="2:3">
      <c r="B5" t="s">
        <v>4</v>
      </c>
      <c r="C5" s="102">
        <v>929430.78</v>
      </c>
    </row>
    <row r="6" spans="2:3">
      <c r="B6" t="s">
        <v>4</v>
      </c>
      <c r="C6" s="102">
        <v>3154066.47</v>
      </c>
    </row>
    <row r="7" spans="2:3">
      <c r="B7" t="s">
        <v>3</v>
      </c>
      <c r="C7" s="102">
        <v>1264430.6399999999</v>
      </c>
    </row>
    <row r="8" spans="2:3">
      <c r="B8" t="s">
        <v>2</v>
      </c>
      <c r="C8" s="102">
        <v>4674274.42</v>
      </c>
    </row>
    <row r="9" spans="2:3">
      <c r="B9" t="s">
        <v>4</v>
      </c>
      <c r="C9" s="102">
        <v>940684.25</v>
      </c>
    </row>
    <row r="10" spans="2:3">
      <c r="B10" t="s">
        <v>3</v>
      </c>
      <c r="C10" s="102">
        <v>2497381.2400000002</v>
      </c>
    </row>
    <row r="11" spans="2:3">
      <c r="B11" t="s">
        <v>3</v>
      </c>
      <c r="C11" s="102">
        <v>1728260.75</v>
      </c>
    </row>
    <row r="13" spans="2:3">
      <c r="B13" t="s">
        <v>334</v>
      </c>
      <c r="C13" s="102">
        <f>SUMIF(B2:B11,"East",C2:C11)</f>
        <v>5024181.5</v>
      </c>
    </row>
    <row r="15" spans="2:3">
      <c r="B15" t="s">
        <v>2</v>
      </c>
      <c r="C15" s="102">
        <f>SUMIF(B2:B11,B15,C2:C11)</f>
        <v>6658086.1200000001</v>
      </c>
    </row>
    <row r="17" spans="2:3">
      <c r="B17" t="s">
        <v>333</v>
      </c>
      <c r="C17" s="102">
        <f>SUMIF(B2:B11,"&gt;East",C2:C11)</f>
        <v>16297226.889999999</v>
      </c>
    </row>
    <row r="18" spans="2:3">
      <c r="B18" t="s">
        <v>332</v>
      </c>
      <c r="C18" s="102">
        <f>SUMIF(B2:B11,"&lt;&gt;"&amp;B15,C2:C11)</f>
        <v>14663322.270000001</v>
      </c>
    </row>
    <row r="19" spans="2:3">
      <c r="B19" t="s">
        <v>331</v>
      </c>
      <c r="C19" s="102">
        <f>SUMIF(B2:B11,"?o*",C2:C11)</f>
        <v>16297226.889999999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H21" sqref="H21"/>
    </sheetView>
  </sheetViews>
  <sheetFormatPr defaultRowHeight="15"/>
  <cols>
    <col min="2" max="2" width="19" customWidth="1"/>
    <col min="3" max="3" width="6.140625" customWidth="1"/>
    <col min="5" max="5" width="13.85546875" bestFit="1" customWidth="1"/>
  </cols>
  <sheetData>
    <row r="2" spans="2:3">
      <c r="B2" s="97" t="s">
        <v>236</v>
      </c>
      <c r="C2" s="97" t="s">
        <v>337</v>
      </c>
    </row>
    <row r="3" spans="2:3">
      <c r="B3" s="70">
        <v>41671</v>
      </c>
      <c r="C3">
        <v>10</v>
      </c>
    </row>
    <row r="4" spans="2:3">
      <c r="B4" s="70">
        <v>41672</v>
      </c>
      <c r="C4">
        <v>20</v>
      </c>
    </row>
    <row r="5" spans="2:3">
      <c r="B5" s="70">
        <v>41673</v>
      </c>
      <c r="C5">
        <v>30</v>
      </c>
    </row>
    <row r="6" spans="2:3">
      <c r="B6" s="70">
        <v>41679</v>
      </c>
      <c r="C6">
        <v>40</v>
      </c>
    </row>
    <row r="7" spans="2:3">
      <c r="B7" s="70">
        <v>41675</v>
      </c>
      <c r="C7">
        <v>50</v>
      </c>
    </row>
    <row r="8" spans="2:3">
      <c r="B8" s="70">
        <v>41671</v>
      </c>
      <c r="C8">
        <v>60</v>
      </c>
    </row>
    <row r="9" spans="2:3">
      <c r="B9" s="70">
        <v>41679</v>
      </c>
      <c r="C9">
        <v>70</v>
      </c>
    </row>
    <row r="10" spans="2:3">
      <c r="B10" s="70">
        <v>41675</v>
      </c>
      <c r="C10">
        <v>80</v>
      </c>
    </row>
    <row r="11" spans="2:3">
      <c r="B11" s="70">
        <v>41680</v>
      </c>
      <c r="C11">
        <v>90</v>
      </c>
    </row>
    <row r="13" spans="2:3">
      <c r="B13" t="s">
        <v>336</v>
      </c>
      <c r="C13">
        <f ca="1">SUMIF(B3:B11,TODAY(),C3:C11)</f>
        <v>0</v>
      </c>
    </row>
    <row r="14" spans="2:3">
      <c r="B14" t="s">
        <v>335</v>
      </c>
      <c r="C14">
        <f ca="1">SUMIF(B3:B11,"&lt;="&amp;TODAY(),C3:C11)</f>
        <v>450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G212"/>
  <sheetViews>
    <sheetView workbookViewId="0">
      <selection activeCell="H21" sqref="H21"/>
    </sheetView>
  </sheetViews>
  <sheetFormatPr defaultRowHeight="15"/>
  <cols>
    <col min="1" max="1" width="9.140625" customWidth="1"/>
    <col min="2" max="2" width="32.42578125" bestFit="1" customWidth="1"/>
    <col min="3" max="3" width="10.140625" bestFit="1" customWidth="1"/>
    <col min="4" max="4" width="11.7109375" bestFit="1" customWidth="1"/>
    <col min="5" max="5" width="10.140625" bestFit="1" customWidth="1"/>
    <col min="6" max="6" width="19" bestFit="1" customWidth="1"/>
    <col min="7" max="7" width="13.28515625" customWidth="1"/>
  </cols>
  <sheetData>
    <row r="2" spans="2:7">
      <c r="B2" s="97" t="s">
        <v>363</v>
      </c>
      <c r="C2" s="106" t="s">
        <v>365</v>
      </c>
      <c r="D2" s="106" t="s">
        <v>364</v>
      </c>
      <c r="E2" s="103"/>
    </row>
    <row r="3" spans="2:7">
      <c r="B3" t="s">
        <v>358</v>
      </c>
      <c r="C3" s="104">
        <v>2000</v>
      </c>
      <c r="D3" s="103">
        <v>399594</v>
      </c>
      <c r="E3" s="103"/>
      <c r="F3" t="s">
        <v>363</v>
      </c>
      <c r="G3" s="105" t="s">
        <v>356</v>
      </c>
    </row>
    <row r="4" spans="2:7">
      <c r="B4" t="s">
        <v>358</v>
      </c>
      <c r="C4" s="104">
        <v>2001</v>
      </c>
      <c r="D4" s="103">
        <v>377207</v>
      </c>
      <c r="E4" s="103"/>
      <c r="F4" t="s">
        <v>362</v>
      </c>
      <c r="G4" s="105">
        <v>2003</v>
      </c>
    </row>
    <row r="5" spans="2:7">
      <c r="B5" t="s">
        <v>358</v>
      </c>
      <c r="C5" s="104">
        <v>2002</v>
      </c>
      <c r="D5" s="103">
        <v>423676</v>
      </c>
      <c r="E5" s="103"/>
      <c r="F5" t="s">
        <v>361</v>
      </c>
      <c r="G5" s="105">
        <v>2006</v>
      </c>
    </row>
    <row r="6" spans="2:7">
      <c r="B6" t="s">
        <v>358</v>
      </c>
      <c r="C6" s="104">
        <v>2003</v>
      </c>
      <c r="D6" s="103">
        <v>539162</v>
      </c>
      <c r="E6" s="103"/>
    </row>
    <row r="7" spans="2:7">
      <c r="B7" t="s">
        <v>358</v>
      </c>
      <c r="C7" s="104">
        <v>2004</v>
      </c>
      <c r="D7" s="103">
        <v>654968</v>
      </c>
      <c r="E7" s="103"/>
      <c r="F7" t="s">
        <v>360</v>
      </c>
      <c r="G7" s="100">
        <f>SUMIFS(D3:D212,B3:B212,G3,C3:C212,"&gt;="&amp;G4,C3:C212,"&lt;="&amp;G5)</f>
        <v>3187415</v>
      </c>
    </row>
    <row r="8" spans="2:7">
      <c r="B8" t="s">
        <v>358</v>
      </c>
      <c r="C8" s="104">
        <v>2005</v>
      </c>
      <c r="D8" s="103">
        <v>730729</v>
      </c>
      <c r="E8" s="103"/>
      <c r="F8" t="s">
        <v>359</v>
      </c>
      <c r="G8" s="100">
        <f>SUMPRODUCT((B3:B212=G3)*(C3:C212&gt;=G4)*(C3:C212&lt;=G5)*(D3:D212))</f>
        <v>3187415</v>
      </c>
    </row>
    <row r="9" spans="2:7">
      <c r="B9" t="s">
        <v>358</v>
      </c>
      <c r="C9" s="104">
        <v>2006</v>
      </c>
      <c r="D9" s="103">
        <v>777933</v>
      </c>
      <c r="E9" s="103"/>
    </row>
    <row r="10" spans="2:7">
      <c r="B10" t="s">
        <v>358</v>
      </c>
      <c r="C10" s="104">
        <v>2007</v>
      </c>
      <c r="D10" s="103">
        <v>945364</v>
      </c>
      <c r="E10" s="103"/>
    </row>
    <row r="11" spans="2:7">
      <c r="B11" t="s">
        <v>358</v>
      </c>
      <c r="C11" s="104">
        <v>2008</v>
      </c>
      <c r="D11" s="103">
        <v>1051261</v>
      </c>
      <c r="E11" s="103"/>
    </row>
    <row r="12" spans="2:7">
      <c r="B12" t="s">
        <v>358</v>
      </c>
      <c r="C12" s="104">
        <v>2009</v>
      </c>
      <c r="D12" s="103">
        <v>993349</v>
      </c>
      <c r="E12" s="103"/>
    </row>
    <row r="13" spans="2:7">
      <c r="B13" t="s">
        <v>357</v>
      </c>
      <c r="C13" s="104">
        <v>2000</v>
      </c>
      <c r="D13" s="103">
        <v>233354</v>
      </c>
      <c r="E13" s="103"/>
    </row>
    <row r="14" spans="2:7">
      <c r="B14" t="s">
        <v>357</v>
      </c>
      <c r="C14" s="104">
        <v>2001</v>
      </c>
      <c r="D14" s="103">
        <v>232686</v>
      </c>
      <c r="E14" s="103"/>
    </row>
    <row r="15" spans="2:7">
      <c r="B15" t="s">
        <v>357</v>
      </c>
      <c r="C15" s="104">
        <v>2002</v>
      </c>
      <c r="D15" s="103">
        <v>253689</v>
      </c>
      <c r="E15" s="103"/>
    </row>
    <row r="16" spans="2:7">
      <c r="B16" t="s">
        <v>357</v>
      </c>
      <c r="C16" s="104">
        <v>2003</v>
      </c>
      <c r="D16" s="103">
        <v>312285</v>
      </c>
      <c r="E16" s="103"/>
    </row>
    <row r="17" spans="2:5">
      <c r="B17" t="s">
        <v>357</v>
      </c>
      <c r="C17" s="104">
        <v>2004</v>
      </c>
      <c r="D17" s="103">
        <v>362160</v>
      </c>
      <c r="E17" s="103"/>
    </row>
    <row r="18" spans="2:5">
      <c r="B18" t="s">
        <v>357</v>
      </c>
      <c r="C18" s="104">
        <v>2005</v>
      </c>
      <c r="D18" s="103">
        <v>378006</v>
      </c>
      <c r="E18" s="103"/>
    </row>
    <row r="19" spans="2:5">
      <c r="B19" t="s">
        <v>357</v>
      </c>
      <c r="C19" s="104">
        <v>2006</v>
      </c>
      <c r="D19" s="103">
        <v>400337</v>
      </c>
      <c r="E19" s="103"/>
    </row>
    <row r="20" spans="2:5">
      <c r="B20" t="s">
        <v>357</v>
      </c>
      <c r="C20" s="104">
        <v>2007</v>
      </c>
      <c r="D20" s="103">
        <v>460280</v>
      </c>
      <c r="E20" s="103"/>
    </row>
    <row r="21" spans="2:5">
      <c r="B21" t="s">
        <v>357</v>
      </c>
      <c r="C21" s="104">
        <v>2008</v>
      </c>
      <c r="D21" s="103">
        <v>509765</v>
      </c>
      <c r="E21" s="103"/>
    </row>
    <row r="22" spans="2:5">
      <c r="B22" t="s">
        <v>357</v>
      </c>
      <c r="C22" s="104">
        <v>2009</v>
      </c>
      <c r="D22" s="103">
        <v>474580</v>
      </c>
      <c r="E22" s="103"/>
    </row>
    <row r="23" spans="2:5">
      <c r="B23" t="s">
        <v>356</v>
      </c>
      <c r="C23" s="104">
        <v>2000</v>
      </c>
      <c r="D23" s="103">
        <v>644734</v>
      </c>
      <c r="E23" s="103"/>
    </row>
    <row r="24" spans="2:5">
      <c r="B24" t="s">
        <v>356</v>
      </c>
      <c r="C24" s="104">
        <v>2001</v>
      </c>
      <c r="D24" s="103">
        <v>554185</v>
      </c>
      <c r="E24" s="103"/>
    </row>
    <row r="25" spans="2:5">
      <c r="B25" t="s">
        <v>356</v>
      </c>
      <c r="C25" s="104">
        <v>2002</v>
      </c>
      <c r="D25" s="103">
        <v>506043</v>
      </c>
      <c r="E25" s="103"/>
    </row>
    <row r="26" spans="2:5">
      <c r="B26" t="s">
        <v>356</v>
      </c>
      <c r="C26" s="104">
        <v>2003</v>
      </c>
      <c r="D26" s="103">
        <v>552383</v>
      </c>
      <c r="E26" s="103"/>
    </row>
    <row r="27" spans="2:5">
      <c r="B27" t="s">
        <v>356</v>
      </c>
      <c r="C27" s="104">
        <v>2004</v>
      </c>
      <c r="D27" s="103">
        <v>663734</v>
      </c>
      <c r="E27" s="103"/>
    </row>
    <row r="28" spans="2:5">
      <c r="B28" t="s">
        <v>356</v>
      </c>
      <c r="C28" s="104">
        <v>2005</v>
      </c>
      <c r="D28" s="103">
        <v>882043</v>
      </c>
      <c r="E28" s="103"/>
    </row>
    <row r="29" spans="2:5">
      <c r="B29" t="s">
        <v>356</v>
      </c>
      <c r="C29" s="104">
        <v>2006</v>
      </c>
      <c r="D29" s="103">
        <v>1089255</v>
      </c>
      <c r="E29" s="103"/>
    </row>
    <row r="30" spans="2:5">
      <c r="B30" t="s">
        <v>356</v>
      </c>
      <c r="C30" s="104">
        <v>2007</v>
      </c>
      <c r="D30" s="103">
        <v>1366854</v>
      </c>
      <c r="E30" s="103"/>
    </row>
    <row r="31" spans="2:5">
      <c r="B31" t="s">
        <v>356</v>
      </c>
      <c r="C31" s="104">
        <v>2008</v>
      </c>
      <c r="D31" s="103">
        <v>1653538</v>
      </c>
      <c r="E31" s="103"/>
    </row>
    <row r="32" spans="2:5">
      <c r="B32" t="s">
        <v>356</v>
      </c>
      <c r="C32" s="104">
        <v>2009</v>
      </c>
      <c r="D32" s="103">
        <v>1622311</v>
      </c>
      <c r="E32" s="103"/>
    </row>
    <row r="33" spans="2:5">
      <c r="B33" t="s">
        <v>355</v>
      </c>
      <c r="C33" s="104">
        <v>2000</v>
      </c>
      <c r="D33" s="103">
        <v>739451</v>
      </c>
      <c r="E33" s="103"/>
    </row>
    <row r="34" spans="2:5">
      <c r="B34" t="s">
        <v>355</v>
      </c>
      <c r="C34" s="104">
        <v>2001</v>
      </c>
      <c r="D34" s="103">
        <v>732735</v>
      </c>
      <c r="E34" s="103"/>
    </row>
    <row r="35" spans="2:5">
      <c r="B35" t="s">
        <v>355</v>
      </c>
      <c r="C35" s="104">
        <v>2002</v>
      </c>
      <c r="D35" s="103">
        <v>752523</v>
      </c>
      <c r="E35" s="103"/>
    </row>
    <row r="36" spans="2:5">
      <c r="B36" t="s">
        <v>355</v>
      </c>
      <c r="C36" s="104">
        <v>2003</v>
      </c>
      <c r="D36" s="103">
        <v>887782</v>
      </c>
      <c r="E36" s="103"/>
    </row>
    <row r="37" spans="2:5">
      <c r="B37" t="s">
        <v>355</v>
      </c>
      <c r="C37" s="104">
        <v>2004</v>
      </c>
      <c r="D37" s="103">
        <v>1018386</v>
      </c>
      <c r="E37" s="103"/>
    </row>
    <row r="38" spans="2:5">
      <c r="B38" t="s">
        <v>355</v>
      </c>
      <c r="C38" s="104">
        <v>2005</v>
      </c>
      <c r="D38" s="103">
        <v>1164179</v>
      </c>
      <c r="E38" s="103"/>
    </row>
    <row r="39" spans="2:5">
      <c r="B39" t="s">
        <v>355</v>
      </c>
      <c r="C39" s="104">
        <v>2006</v>
      </c>
      <c r="D39" s="103">
        <v>1310795</v>
      </c>
      <c r="E39" s="103"/>
    </row>
    <row r="40" spans="2:5">
      <c r="B40" t="s">
        <v>355</v>
      </c>
      <c r="C40" s="104">
        <v>2007</v>
      </c>
      <c r="D40" s="103">
        <v>1457873</v>
      </c>
      <c r="E40" s="103"/>
    </row>
    <row r="41" spans="2:5">
      <c r="B41" t="s">
        <v>355</v>
      </c>
      <c r="C41" s="104">
        <v>2008</v>
      </c>
      <c r="D41" s="103">
        <v>1542561</v>
      </c>
      <c r="E41" s="103"/>
    </row>
    <row r="42" spans="2:5">
      <c r="B42" t="s">
        <v>355</v>
      </c>
      <c r="C42" s="104">
        <v>2009</v>
      </c>
      <c r="D42" s="103">
        <v>1370839</v>
      </c>
      <c r="E42" s="103"/>
    </row>
    <row r="43" spans="2:5">
      <c r="B43" t="s">
        <v>354</v>
      </c>
      <c r="C43" s="104">
        <v>2000</v>
      </c>
      <c r="D43" s="103">
        <v>1198477</v>
      </c>
      <c r="E43" s="103"/>
    </row>
    <row r="44" spans="2:5">
      <c r="B44" t="s">
        <v>354</v>
      </c>
      <c r="C44" s="104">
        <v>2001</v>
      </c>
      <c r="D44" s="103">
        <v>1324814</v>
      </c>
      <c r="E44" s="103"/>
    </row>
    <row r="45" spans="2:5">
      <c r="B45" t="s">
        <v>354</v>
      </c>
      <c r="C45" s="104">
        <v>2002</v>
      </c>
      <c r="D45" s="103">
        <v>1453833</v>
      </c>
      <c r="E45" s="103"/>
    </row>
    <row r="46" spans="2:5">
      <c r="B46" t="s">
        <v>354</v>
      </c>
      <c r="C46" s="104">
        <v>2003</v>
      </c>
      <c r="D46" s="103">
        <v>1640961</v>
      </c>
      <c r="E46" s="103"/>
    </row>
    <row r="47" spans="2:5">
      <c r="B47" t="s">
        <v>354</v>
      </c>
      <c r="C47" s="104">
        <v>2004</v>
      </c>
      <c r="D47" s="103">
        <v>1931646</v>
      </c>
      <c r="E47" s="103"/>
    </row>
    <row r="48" spans="2:5">
      <c r="B48" t="s">
        <v>354</v>
      </c>
      <c r="C48" s="104">
        <v>2005</v>
      </c>
      <c r="D48" s="103">
        <v>2256919</v>
      </c>
      <c r="E48" s="103"/>
    </row>
    <row r="49" spans="2:5">
      <c r="B49" t="s">
        <v>354</v>
      </c>
      <c r="C49" s="104">
        <v>2006</v>
      </c>
      <c r="D49" s="103">
        <v>2712917</v>
      </c>
      <c r="E49" s="103"/>
    </row>
    <row r="50" spans="2:5">
      <c r="B50" t="s">
        <v>354</v>
      </c>
      <c r="C50" s="104">
        <v>2007</v>
      </c>
      <c r="D50" s="103">
        <v>3494235</v>
      </c>
      <c r="E50" s="103"/>
    </row>
    <row r="51" spans="2:5">
      <c r="B51" t="s">
        <v>354</v>
      </c>
      <c r="C51" s="104">
        <v>2008</v>
      </c>
      <c r="D51" s="103">
        <v>4519951</v>
      </c>
      <c r="E51" s="103"/>
    </row>
    <row r="52" spans="2:5">
      <c r="B52" t="s">
        <v>354</v>
      </c>
      <c r="C52" s="104">
        <v>2009</v>
      </c>
      <c r="D52" s="103">
        <v>4990526</v>
      </c>
      <c r="E52" s="103"/>
    </row>
    <row r="53" spans="2:5">
      <c r="B53" t="s">
        <v>353</v>
      </c>
      <c r="C53" s="104">
        <v>2000</v>
      </c>
      <c r="D53" s="103">
        <v>1330224</v>
      </c>
      <c r="E53" s="103"/>
    </row>
    <row r="54" spans="2:5">
      <c r="B54" t="s">
        <v>353</v>
      </c>
      <c r="C54" s="104">
        <v>2001</v>
      </c>
      <c r="D54" s="103">
        <v>1339453</v>
      </c>
      <c r="E54" s="103"/>
    </row>
    <row r="55" spans="2:5">
      <c r="B55" t="s">
        <v>353</v>
      </c>
      <c r="C55" s="104">
        <v>2002</v>
      </c>
      <c r="D55" s="103">
        <v>1457171</v>
      </c>
      <c r="E55" s="103"/>
    </row>
    <row r="56" spans="2:5">
      <c r="B56" t="s">
        <v>353</v>
      </c>
      <c r="C56" s="104">
        <v>2003</v>
      </c>
      <c r="D56" s="103">
        <v>1795644</v>
      </c>
      <c r="E56" s="103"/>
    </row>
    <row r="57" spans="2:5">
      <c r="B57" t="s">
        <v>353</v>
      </c>
      <c r="C57" s="104">
        <v>2004</v>
      </c>
      <c r="D57" s="103">
        <v>2058380</v>
      </c>
      <c r="E57" s="103"/>
    </row>
    <row r="58" spans="2:5">
      <c r="B58" t="s">
        <v>353</v>
      </c>
      <c r="C58" s="104">
        <v>2005</v>
      </c>
      <c r="D58" s="103">
        <v>2140266</v>
      </c>
      <c r="E58" s="103"/>
    </row>
    <row r="59" spans="2:5">
      <c r="B59" t="s">
        <v>353</v>
      </c>
      <c r="C59" s="104">
        <v>2006</v>
      </c>
      <c r="D59" s="103">
        <v>2257802</v>
      </c>
      <c r="E59" s="103"/>
    </row>
    <row r="60" spans="2:5">
      <c r="B60" t="s">
        <v>353</v>
      </c>
      <c r="C60" s="104">
        <v>2007</v>
      </c>
      <c r="D60" s="103">
        <v>2586104</v>
      </c>
      <c r="E60" s="103"/>
    </row>
    <row r="61" spans="2:5">
      <c r="B61" t="s">
        <v>353</v>
      </c>
      <c r="C61" s="104">
        <v>2008</v>
      </c>
      <c r="D61" s="103">
        <v>2845111</v>
      </c>
      <c r="E61" s="103"/>
    </row>
    <row r="62" spans="2:5">
      <c r="B62" t="s">
        <v>353</v>
      </c>
      <c r="C62" s="104">
        <v>2009</v>
      </c>
      <c r="D62" s="103">
        <v>2626486</v>
      </c>
      <c r="E62" s="103"/>
    </row>
    <row r="63" spans="2:5">
      <c r="B63" t="s">
        <v>352</v>
      </c>
      <c r="C63" s="104">
        <v>2000</v>
      </c>
      <c r="D63" s="103">
        <v>1891934</v>
      </c>
      <c r="E63" s="103"/>
    </row>
    <row r="64" spans="2:5">
      <c r="B64" t="s">
        <v>352</v>
      </c>
      <c r="C64" s="104">
        <v>2001</v>
      </c>
      <c r="D64" s="103">
        <v>1882511</v>
      </c>
      <c r="E64" s="103"/>
    </row>
    <row r="65" spans="2:5">
      <c r="B65" t="s">
        <v>352</v>
      </c>
      <c r="C65" s="104">
        <v>2002</v>
      </c>
      <c r="D65" s="103">
        <v>2013691</v>
      </c>
      <c r="E65" s="103"/>
    </row>
    <row r="66" spans="2:5">
      <c r="B66" t="s">
        <v>352</v>
      </c>
      <c r="C66" s="104">
        <v>2003</v>
      </c>
      <c r="D66" s="103">
        <v>2428452</v>
      </c>
      <c r="E66" s="103"/>
    </row>
    <row r="67" spans="2:5">
      <c r="B67" t="s">
        <v>352</v>
      </c>
      <c r="C67" s="104">
        <v>2004</v>
      </c>
      <c r="D67" s="103">
        <v>2729923</v>
      </c>
      <c r="E67" s="103"/>
    </row>
    <row r="68" spans="2:5">
      <c r="B68" t="s">
        <v>352</v>
      </c>
      <c r="C68" s="104">
        <v>2005</v>
      </c>
      <c r="D68" s="103">
        <v>2771057</v>
      </c>
      <c r="E68" s="103"/>
    </row>
    <row r="69" spans="2:5">
      <c r="B69" t="s">
        <v>352</v>
      </c>
      <c r="C69" s="104">
        <v>2006</v>
      </c>
      <c r="D69" s="103">
        <v>2905445</v>
      </c>
      <c r="E69" s="103"/>
    </row>
    <row r="70" spans="2:5">
      <c r="B70" t="s">
        <v>352</v>
      </c>
      <c r="C70" s="104">
        <v>2007</v>
      </c>
      <c r="D70" s="103">
        <v>3328589</v>
      </c>
      <c r="E70" s="103"/>
    </row>
    <row r="71" spans="2:5">
      <c r="B71" t="s">
        <v>352</v>
      </c>
      <c r="C71" s="104">
        <v>2008</v>
      </c>
      <c r="D71" s="103">
        <v>3640727</v>
      </c>
      <c r="E71" s="103"/>
    </row>
    <row r="72" spans="2:5">
      <c r="B72" t="s">
        <v>352</v>
      </c>
      <c r="C72" s="104">
        <v>2009</v>
      </c>
      <c r="D72" s="103">
        <v>3306780</v>
      </c>
      <c r="E72" s="103"/>
    </row>
    <row r="73" spans="2:5">
      <c r="B73" t="s">
        <v>351</v>
      </c>
      <c r="C73" s="104">
        <v>2000</v>
      </c>
      <c r="D73" s="103">
        <v>474570</v>
      </c>
      <c r="E73" s="103"/>
    </row>
    <row r="74" spans="2:5">
      <c r="B74" t="s">
        <v>351</v>
      </c>
      <c r="C74" s="104">
        <v>2001</v>
      </c>
      <c r="D74" s="103">
        <v>492736</v>
      </c>
      <c r="E74" s="103"/>
    </row>
    <row r="75" spans="2:5">
      <c r="B75" t="s">
        <v>351</v>
      </c>
      <c r="C75" s="104">
        <v>2002</v>
      </c>
      <c r="D75" s="103">
        <v>522715</v>
      </c>
      <c r="E75" s="103"/>
    </row>
    <row r="76" spans="2:5">
      <c r="B76" t="s">
        <v>351</v>
      </c>
      <c r="C76" s="104">
        <v>2003</v>
      </c>
      <c r="D76" s="103">
        <v>618186</v>
      </c>
      <c r="E76" s="103"/>
    </row>
    <row r="77" spans="2:5">
      <c r="B77" t="s">
        <v>351</v>
      </c>
      <c r="C77" s="104">
        <v>2004</v>
      </c>
      <c r="D77" s="103">
        <v>721589</v>
      </c>
      <c r="E77" s="103"/>
    </row>
    <row r="78" spans="2:5">
      <c r="B78" t="s">
        <v>351</v>
      </c>
      <c r="C78" s="104">
        <v>2005</v>
      </c>
      <c r="D78" s="103">
        <v>834218</v>
      </c>
      <c r="E78" s="103"/>
    </row>
    <row r="79" spans="2:5">
      <c r="B79" t="s">
        <v>351</v>
      </c>
      <c r="C79" s="104">
        <v>2006</v>
      </c>
      <c r="D79" s="103">
        <v>949117</v>
      </c>
      <c r="E79" s="103"/>
    </row>
    <row r="80" spans="2:5">
      <c r="B80" t="s">
        <v>351</v>
      </c>
      <c r="C80" s="104">
        <v>2007</v>
      </c>
      <c r="D80" s="103">
        <v>1238478</v>
      </c>
      <c r="E80" s="103"/>
    </row>
    <row r="81" spans="2:5">
      <c r="B81" t="s">
        <v>351</v>
      </c>
      <c r="C81" s="104">
        <v>2008</v>
      </c>
      <c r="D81" s="103">
        <v>1223206</v>
      </c>
      <c r="E81" s="103"/>
    </row>
    <row r="82" spans="2:5">
      <c r="B82" t="s">
        <v>351</v>
      </c>
      <c r="C82" s="104">
        <v>2009</v>
      </c>
      <c r="D82" s="103">
        <v>1365343</v>
      </c>
      <c r="E82" s="103"/>
    </row>
    <row r="83" spans="2:5">
      <c r="B83" t="s">
        <v>350</v>
      </c>
      <c r="C83" s="104">
        <v>2000</v>
      </c>
      <c r="D83" s="103">
        <v>165021</v>
      </c>
      <c r="E83" s="103"/>
    </row>
    <row r="84" spans="2:5">
      <c r="B84" t="s">
        <v>350</v>
      </c>
      <c r="C84" s="104">
        <v>2001</v>
      </c>
      <c r="D84" s="103">
        <v>160447</v>
      </c>
      <c r="E84" s="103"/>
    </row>
    <row r="85" spans="2:5">
      <c r="B85" t="s">
        <v>350</v>
      </c>
      <c r="C85" s="104">
        <v>2002</v>
      </c>
      <c r="D85" s="103">
        <v>195661</v>
      </c>
      <c r="E85" s="103"/>
    </row>
    <row r="86" spans="2:5">
      <c r="B86" t="s">
        <v>350</v>
      </c>
      <c r="C86" s="104">
        <v>2003</v>
      </c>
      <c r="D86" s="103">
        <v>234848</v>
      </c>
      <c r="E86" s="103"/>
    </row>
    <row r="87" spans="2:5">
      <c r="B87" t="s">
        <v>350</v>
      </c>
      <c r="C87" s="104">
        <v>2004</v>
      </c>
      <c r="D87" s="103">
        <v>257032</v>
      </c>
      <c r="E87" s="103"/>
    </row>
    <row r="88" spans="2:5">
      <c r="B88" t="s">
        <v>350</v>
      </c>
      <c r="C88" s="104">
        <v>2005</v>
      </c>
      <c r="D88" s="103">
        <v>285773</v>
      </c>
      <c r="E88" s="103"/>
    </row>
    <row r="89" spans="2:5">
      <c r="B89" t="s">
        <v>350</v>
      </c>
      <c r="C89" s="104">
        <v>2006</v>
      </c>
      <c r="D89" s="103">
        <v>364362</v>
      </c>
      <c r="E89" s="103"/>
    </row>
    <row r="90" spans="2:5">
      <c r="B90" t="s">
        <v>350</v>
      </c>
      <c r="C90" s="104">
        <v>2007</v>
      </c>
      <c r="D90" s="103">
        <v>432183</v>
      </c>
      <c r="E90" s="103"/>
    </row>
    <row r="91" spans="2:5">
      <c r="B91" t="s">
        <v>350</v>
      </c>
      <c r="C91" s="104">
        <v>2008</v>
      </c>
      <c r="D91" s="103">
        <v>510839</v>
      </c>
      <c r="E91" s="103"/>
    </row>
    <row r="92" spans="2:5">
      <c r="B92" t="s">
        <v>350</v>
      </c>
      <c r="C92" s="104">
        <v>2009</v>
      </c>
      <c r="D92" s="103">
        <v>538803</v>
      </c>
      <c r="E92" s="103"/>
    </row>
    <row r="93" spans="2:5">
      <c r="B93" t="s">
        <v>349</v>
      </c>
      <c r="C93" s="104">
        <v>2000</v>
      </c>
      <c r="D93" s="103">
        <v>1107248</v>
      </c>
      <c r="E93" s="103"/>
    </row>
    <row r="94" spans="2:5">
      <c r="B94" t="s">
        <v>349</v>
      </c>
      <c r="C94" s="104">
        <v>2001</v>
      </c>
      <c r="D94" s="103">
        <v>1124668</v>
      </c>
      <c r="E94" s="103"/>
    </row>
    <row r="95" spans="2:5">
      <c r="B95" t="s">
        <v>349</v>
      </c>
      <c r="C95" s="104">
        <v>2002</v>
      </c>
      <c r="D95" s="103">
        <v>1229515</v>
      </c>
      <c r="E95" s="103"/>
    </row>
    <row r="96" spans="2:5">
      <c r="B96" t="s">
        <v>349</v>
      </c>
      <c r="C96" s="104">
        <v>2003</v>
      </c>
      <c r="D96" s="103">
        <v>1517402</v>
      </c>
      <c r="E96" s="103"/>
    </row>
    <row r="97" spans="2:5">
      <c r="B97" t="s">
        <v>349</v>
      </c>
      <c r="C97" s="104">
        <v>2004</v>
      </c>
      <c r="D97" s="103">
        <v>1737800</v>
      </c>
      <c r="E97" s="103"/>
    </row>
    <row r="98" spans="2:5">
      <c r="B98" t="s">
        <v>349</v>
      </c>
      <c r="C98" s="104">
        <v>2005</v>
      </c>
      <c r="D98" s="103">
        <v>1789378</v>
      </c>
      <c r="E98" s="103"/>
    </row>
    <row r="99" spans="2:5">
      <c r="B99" t="s">
        <v>349</v>
      </c>
      <c r="C99" s="104">
        <v>2006</v>
      </c>
      <c r="D99" s="103">
        <v>1874722</v>
      </c>
      <c r="E99" s="103"/>
    </row>
    <row r="100" spans="2:5">
      <c r="B100" t="s">
        <v>349</v>
      </c>
      <c r="C100" s="104">
        <v>2007</v>
      </c>
      <c r="D100" s="103">
        <v>2130241</v>
      </c>
      <c r="E100" s="103"/>
    </row>
    <row r="101" spans="2:5">
      <c r="B101" t="s">
        <v>349</v>
      </c>
      <c r="C101" s="104">
        <v>2008</v>
      </c>
      <c r="D101" s="103">
        <v>2318162</v>
      </c>
      <c r="E101" s="103"/>
    </row>
    <row r="102" spans="2:5">
      <c r="B102" t="s">
        <v>349</v>
      </c>
      <c r="C102" s="104">
        <v>2009</v>
      </c>
      <c r="D102" s="103">
        <v>2116627</v>
      </c>
      <c r="E102" s="103"/>
    </row>
    <row r="103" spans="2:5">
      <c r="B103" t="s">
        <v>348</v>
      </c>
      <c r="C103" s="104">
        <v>2000</v>
      </c>
      <c r="D103" s="103">
        <v>4731199</v>
      </c>
      <c r="E103" s="103"/>
    </row>
    <row r="104" spans="2:5">
      <c r="B104" t="s">
        <v>348</v>
      </c>
      <c r="C104" s="104">
        <v>2001</v>
      </c>
      <c r="D104" s="103">
        <v>4159859</v>
      </c>
      <c r="E104" s="103"/>
    </row>
    <row r="105" spans="2:5">
      <c r="B105" t="s">
        <v>348</v>
      </c>
      <c r="C105" s="104">
        <v>2002</v>
      </c>
      <c r="D105" s="103">
        <v>3980819</v>
      </c>
      <c r="E105" s="103"/>
    </row>
    <row r="106" spans="2:5">
      <c r="B106" t="s">
        <v>348</v>
      </c>
      <c r="C106" s="104">
        <v>2003</v>
      </c>
      <c r="D106" s="103">
        <v>4302940</v>
      </c>
      <c r="E106" s="103"/>
    </row>
    <row r="107" spans="2:5">
      <c r="B107" t="s">
        <v>348</v>
      </c>
      <c r="C107" s="104">
        <v>2004</v>
      </c>
      <c r="D107" s="103">
        <v>4655823</v>
      </c>
      <c r="E107" s="103"/>
    </row>
    <row r="108" spans="2:5">
      <c r="B108" t="s">
        <v>348</v>
      </c>
      <c r="C108" s="104">
        <v>2005</v>
      </c>
      <c r="D108" s="103">
        <v>4571867</v>
      </c>
      <c r="E108" s="103"/>
    </row>
    <row r="109" spans="2:5">
      <c r="B109" t="s">
        <v>348</v>
      </c>
      <c r="C109" s="104">
        <v>2006</v>
      </c>
      <c r="D109" s="103">
        <v>4356750</v>
      </c>
      <c r="E109" s="103"/>
    </row>
    <row r="110" spans="2:5">
      <c r="B110" t="s">
        <v>348</v>
      </c>
      <c r="C110" s="104">
        <v>2007</v>
      </c>
      <c r="D110" s="103">
        <v>4356347</v>
      </c>
      <c r="E110" s="103"/>
    </row>
    <row r="111" spans="2:5">
      <c r="B111" t="s">
        <v>348</v>
      </c>
      <c r="C111" s="104">
        <v>2008</v>
      </c>
      <c r="D111" s="103">
        <v>4849185</v>
      </c>
      <c r="E111" s="103"/>
    </row>
    <row r="112" spans="2:5">
      <c r="B112" t="s">
        <v>348</v>
      </c>
      <c r="C112" s="104">
        <v>2009</v>
      </c>
      <c r="D112" s="103">
        <v>5035141</v>
      </c>
      <c r="E112" s="103"/>
    </row>
    <row r="113" spans="2:5">
      <c r="B113" t="s">
        <v>347</v>
      </c>
      <c r="C113" s="104">
        <v>2000</v>
      </c>
      <c r="D113" s="103">
        <v>692029</v>
      </c>
      <c r="E113" s="103"/>
    </row>
    <row r="114" spans="2:5">
      <c r="B114" t="s">
        <v>347</v>
      </c>
      <c r="C114" s="104">
        <v>2001</v>
      </c>
      <c r="D114" s="103">
        <v>733453</v>
      </c>
      <c r="E114" s="103"/>
    </row>
    <row r="115" spans="2:5">
      <c r="B115" t="s">
        <v>347</v>
      </c>
      <c r="C115" s="104">
        <v>2002</v>
      </c>
      <c r="D115" s="103">
        <v>750450</v>
      </c>
      <c r="E115" s="103"/>
    </row>
    <row r="116" spans="2:5">
      <c r="B116" t="s">
        <v>347</v>
      </c>
      <c r="C116" s="104">
        <v>2003</v>
      </c>
      <c r="D116" s="103">
        <v>722182</v>
      </c>
      <c r="E116" s="103"/>
    </row>
    <row r="117" spans="2:5">
      <c r="B117" t="s">
        <v>347</v>
      </c>
      <c r="C117" s="104">
        <v>2004</v>
      </c>
      <c r="D117" s="103">
        <v>774591</v>
      </c>
      <c r="E117" s="103"/>
    </row>
    <row r="118" spans="2:5">
      <c r="B118" t="s">
        <v>347</v>
      </c>
      <c r="C118" s="104">
        <v>2005</v>
      </c>
      <c r="D118" s="103">
        <v>869718</v>
      </c>
      <c r="E118" s="103"/>
    </row>
    <row r="119" spans="2:5">
      <c r="B119" t="s">
        <v>347</v>
      </c>
      <c r="C119" s="104">
        <v>2006</v>
      </c>
      <c r="D119" s="103">
        <v>965774</v>
      </c>
      <c r="E119" s="103"/>
    </row>
    <row r="120" spans="2:5">
      <c r="B120" t="s">
        <v>347</v>
      </c>
      <c r="C120" s="104">
        <v>2007</v>
      </c>
      <c r="D120" s="103">
        <v>1042687</v>
      </c>
      <c r="E120" s="103"/>
    </row>
    <row r="121" spans="2:5">
      <c r="B121" t="s">
        <v>347</v>
      </c>
      <c r="C121" s="104">
        <v>2008</v>
      </c>
      <c r="D121" s="103">
        <v>1100673</v>
      </c>
      <c r="E121" s="103"/>
    </row>
    <row r="122" spans="2:5">
      <c r="B122" t="s">
        <v>347</v>
      </c>
      <c r="C122" s="104">
        <v>2009</v>
      </c>
      <c r="D122" s="103">
        <v>894566</v>
      </c>
      <c r="E122" s="103"/>
    </row>
    <row r="123" spans="2:5">
      <c r="B123" t="s">
        <v>346</v>
      </c>
      <c r="C123" s="104">
        <v>2000</v>
      </c>
      <c r="D123" s="103">
        <v>386204</v>
      </c>
      <c r="E123" s="103"/>
    </row>
    <row r="124" spans="2:5">
      <c r="B124" t="s">
        <v>346</v>
      </c>
      <c r="C124" s="104">
        <v>2001</v>
      </c>
      <c r="D124" s="103">
        <v>400998</v>
      </c>
      <c r="E124" s="103"/>
    </row>
    <row r="125" spans="2:5">
      <c r="B125" t="s">
        <v>346</v>
      </c>
      <c r="C125" s="104">
        <v>2002</v>
      </c>
      <c r="D125" s="103">
        <v>439357</v>
      </c>
      <c r="E125" s="103"/>
    </row>
    <row r="126" spans="2:5">
      <c r="B126" t="s">
        <v>346</v>
      </c>
      <c r="C126" s="104">
        <v>2003</v>
      </c>
      <c r="D126" s="103">
        <v>539343</v>
      </c>
      <c r="E126" s="103"/>
    </row>
    <row r="127" spans="2:5">
      <c r="B127" t="s">
        <v>346</v>
      </c>
      <c r="C127" s="104">
        <v>2004</v>
      </c>
      <c r="D127" s="103">
        <v>610691</v>
      </c>
      <c r="E127" s="103"/>
    </row>
    <row r="128" spans="2:5">
      <c r="B128" t="s">
        <v>346</v>
      </c>
      <c r="C128" s="104">
        <v>2005</v>
      </c>
      <c r="D128" s="103">
        <v>639579</v>
      </c>
      <c r="E128" s="103"/>
    </row>
    <row r="129" spans="2:5">
      <c r="B129" t="s">
        <v>346</v>
      </c>
      <c r="C129" s="104">
        <v>2006</v>
      </c>
      <c r="D129" s="103">
        <v>678321</v>
      </c>
      <c r="E129" s="103"/>
    </row>
    <row r="130" spans="2:5">
      <c r="B130" t="s">
        <v>346</v>
      </c>
      <c r="C130" s="104">
        <v>2007</v>
      </c>
      <c r="D130" s="103">
        <v>783692</v>
      </c>
      <c r="E130" s="103"/>
    </row>
    <row r="131" spans="2:5">
      <c r="B131" t="s">
        <v>346</v>
      </c>
      <c r="C131" s="104">
        <v>2008</v>
      </c>
      <c r="D131" s="103">
        <v>874906</v>
      </c>
      <c r="E131" s="103"/>
    </row>
    <row r="132" spans="2:5">
      <c r="B132" t="s">
        <v>346</v>
      </c>
      <c r="C132" s="104">
        <v>2009</v>
      </c>
      <c r="D132" s="103">
        <v>798400</v>
      </c>
      <c r="E132" s="103"/>
    </row>
    <row r="133" spans="2:5">
      <c r="B133" t="s">
        <v>345</v>
      </c>
      <c r="C133" s="104">
        <v>2000</v>
      </c>
      <c r="D133" s="103">
        <v>171263</v>
      </c>
      <c r="E133" s="103"/>
    </row>
    <row r="134" spans="2:5">
      <c r="B134" t="s">
        <v>345</v>
      </c>
      <c r="C134" s="104">
        <v>2001</v>
      </c>
      <c r="D134" s="103">
        <v>190421</v>
      </c>
      <c r="E134" s="103"/>
    </row>
    <row r="135" spans="2:5">
      <c r="B135" t="s">
        <v>345</v>
      </c>
      <c r="C135" s="104">
        <v>2002</v>
      </c>
      <c r="D135" s="103">
        <v>198205</v>
      </c>
      <c r="E135" s="103"/>
    </row>
    <row r="136" spans="2:5">
      <c r="B136" t="s">
        <v>345</v>
      </c>
      <c r="C136" s="104">
        <v>2003</v>
      </c>
      <c r="D136" s="103">
        <v>216811</v>
      </c>
      <c r="E136" s="103"/>
    </row>
    <row r="137" spans="2:5">
      <c r="B137" t="s">
        <v>345</v>
      </c>
      <c r="C137" s="104">
        <v>2004</v>
      </c>
      <c r="D137" s="103">
        <v>253021</v>
      </c>
      <c r="E137" s="103"/>
    </row>
    <row r="138" spans="2:5">
      <c r="B138" t="s">
        <v>345</v>
      </c>
      <c r="C138" s="104">
        <v>2005</v>
      </c>
      <c r="D138" s="103">
        <v>303976</v>
      </c>
      <c r="E138" s="103"/>
    </row>
    <row r="139" spans="2:5">
      <c r="B139" t="s">
        <v>345</v>
      </c>
      <c r="C139" s="104">
        <v>2006</v>
      </c>
      <c r="D139" s="103">
        <v>341670</v>
      </c>
      <c r="E139" s="103"/>
    </row>
    <row r="140" spans="2:5">
      <c r="B140" t="s">
        <v>345</v>
      </c>
      <c r="C140" s="104">
        <v>2007</v>
      </c>
      <c r="D140" s="103">
        <v>425321</v>
      </c>
      <c r="E140" s="103"/>
    </row>
    <row r="141" spans="2:5">
      <c r="B141" t="s">
        <v>345</v>
      </c>
      <c r="C141" s="104">
        <v>2008</v>
      </c>
      <c r="D141" s="103">
        <v>529432</v>
      </c>
      <c r="E141" s="103"/>
    </row>
    <row r="142" spans="2:5">
      <c r="B142" t="s">
        <v>345</v>
      </c>
      <c r="C142" s="104">
        <v>2009</v>
      </c>
      <c r="D142" s="103">
        <v>431457</v>
      </c>
      <c r="E142" s="103"/>
    </row>
    <row r="143" spans="2:5">
      <c r="B143" t="s">
        <v>344</v>
      </c>
      <c r="C143" s="104">
        <v>2000</v>
      </c>
      <c r="D143" s="103">
        <v>259702</v>
      </c>
      <c r="E143" s="103"/>
    </row>
    <row r="144" spans="2:5">
      <c r="B144" t="s">
        <v>344</v>
      </c>
      <c r="C144" s="104">
        <v>2001</v>
      </c>
      <c r="D144" s="103">
        <v>306583</v>
      </c>
      <c r="E144" s="103"/>
    </row>
    <row r="145" spans="2:5">
      <c r="B145" t="s">
        <v>344</v>
      </c>
      <c r="C145" s="104">
        <v>2002</v>
      </c>
      <c r="D145" s="103">
        <v>345125</v>
      </c>
      <c r="E145" s="103"/>
    </row>
    <row r="146" spans="2:5">
      <c r="B146" t="s">
        <v>344</v>
      </c>
      <c r="C146" s="104">
        <v>2003</v>
      </c>
      <c r="D146" s="103">
        <v>430289</v>
      </c>
      <c r="E146" s="103"/>
    </row>
    <row r="147" spans="2:5">
      <c r="B147" t="s">
        <v>344</v>
      </c>
      <c r="C147" s="104">
        <v>2004</v>
      </c>
      <c r="D147" s="103">
        <v>591177</v>
      </c>
      <c r="E147" s="103"/>
    </row>
    <row r="148" spans="2:5">
      <c r="B148" t="s">
        <v>344</v>
      </c>
      <c r="C148" s="104">
        <v>2005</v>
      </c>
      <c r="D148" s="103">
        <v>763704</v>
      </c>
      <c r="E148" s="103"/>
    </row>
    <row r="149" spans="2:5">
      <c r="B149" t="s">
        <v>344</v>
      </c>
      <c r="C149" s="104">
        <v>2006</v>
      </c>
      <c r="D149" s="103">
        <v>989932</v>
      </c>
      <c r="E149" s="103"/>
    </row>
    <row r="150" spans="2:5">
      <c r="B150" t="s">
        <v>344</v>
      </c>
      <c r="C150" s="104">
        <v>2007</v>
      </c>
      <c r="D150" s="103">
        <v>1299703</v>
      </c>
      <c r="E150" s="103"/>
    </row>
    <row r="151" spans="2:5">
      <c r="B151" t="s">
        <v>344</v>
      </c>
      <c r="C151" s="104">
        <v>2008</v>
      </c>
      <c r="D151" s="103">
        <v>1660846</v>
      </c>
      <c r="E151" s="103"/>
    </row>
    <row r="152" spans="2:5">
      <c r="B152" t="s">
        <v>344</v>
      </c>
      <c r="C152" s="104">
        <v>2009</v>
      </c>
      <c r="D152" s="103">
        <v>1222645</v>
      </c>
      <c r="E152" s="103"/>
    </row>
    <row r="153" spans="2:5">
      <c r="B153" t="s">
        <v>343</v>
      </c>
      <c r="C153" s="104">
        <v>2000</v>
      </c>
      <c r="D153" s="103">
        <v>533385</v>
      </c>
      <c r="E153" s="103"/>
    </row>
    <row r="154" spans="2:5">
      <c r="B154" t="s">
        <v>343</v>
      </c>
      <c r="C154" s="104">
        <v>2001</v>
      </c>
      <c r="D154" s="103">
        <v>504584</v>
      </c>
      <c r="E154" s="103"/>
    </row>
    <row r="155" spans="2:5">
      <c r="B155" t="s">
        <v>343</v>
      </c>
      <c r="C155" s="104">
        <v>2002</v>
      </c>
      <c r="D155" s="103">
        <v>575930</v>
      </c>
      <c r="E155" s="103"/>
    </row>
    <row r="156" spans="2:5">
      <c r="B156" t="s">
        <v>343</v>
      </c>
      <c r="C156" s="104">
        <v>2003</v>
      </c>
      <c r="D156" s="103">
        <v>643760</v>
      </c>
      <c r="E156" s="103"/>
    </row>
    <row r="157" spans="2:5">
      <c r="B157" t="s">
        <v>343</v>
      </c>
      <c r="C157" s="104">
        <v>2004</v>
      </c>
      <c r="D157" s="103">
        <v>721976</v>
      </c>
      <c r="E157" s="103"/>
    </row>
    <row r="158" spans="2:5">
      <c r="B158" t="s">
        <v>343</v>
      </c>
      <c r="C158" s="104">
        <v>2005</v>
      </c>
      <c r="D158" s="103">
        <v>844866</v>
      </c>
      <c r="E158" s="103"/>
    </row>
    <row r="159" spans="2:5">
      <c r="B159" t="s">
        <v>343</v>
      </c>
      <c r="C159" s="104">
        <v>2006</v>
      </c>
      <c r="D159" s="103">
        <v>951773</v>
      </c>
      <c r="E159" s="103"/>
    </row>
    <row r="160" spans="2:5">
      <c r="B160" t="s">
        <v>343</v>
      </c>
      <c r="C160" s="104">
        <v>2007</v>
      </c>
      <c r="D160" s="103">
        <v>1049239</v>
      </c>
      <c r="E160" s="103"/>
    </row>
    <row r="161" spans="2:5">
      <c r="B161" t="s">
        <v>343</v>
      </c>
      <c r="C161" s="104">
        <v>2008</v>
      </c>
      <c r="D161" s="103">
        <v>931405</v>
      </c>
      <c r="E161" s="103"/>
    </row>
    <row r="162" spans="2:5">
      <c r="B162" t="s">
        <v>343</v>
      </c>
      <c r="C162" s="104">
        <v>2009</v>
      </c>
      <c r="D162" s="103">
        <v>834060</v>
      </c>
      <c r="E162" s="103"/>
    </row>
    <row r="163" spans="2:5">
      <c r="B163" t="s">
        <v>342</v>
      </c>
      <c r="C163" s="104">
        <v>2000</v>
      </c>
      <c r="D163" s="103">
        <v>582048</v>
      </c>
      <c r="E163" s="103"/>
    </row>
    <row r="164" spans="2:5">
      <c r="B164" t="s">
        <v>342</v>
      </c>
      <c r="C164" s="104">
        <v>2001</v>
      </c>
      <c r="D164" s="103">
        <v>609379</v>
      </c>
      <c r="E164" s="103"/>
    </row>
    <row r="165" spans="2:5">
      <c r="B165" t="s">
        <v>342</v>
      </c>
      <c r="C165" s="104">
        <v>2002</v>
      </c>
      <c r="D165" s="103">
        <v>688725</v>
      </c>
      <c r="E165" s="103"/>
    </row>
    <row r="166" spans="2:5">
      <c r="B166" t="s">
        <v>342</v>
      </c>
      <c r="C166" s="104">
        <v>2003</v>
      </c>
      <c r="D166" s="103">
        <v>885531</v>
      </c>
      <c r="E166" s="103"/>
    </row>
    <row r="167" spans="2:5">
      <c r="B167" t="s">
        <v>342</v>
      </c>
      <c r="C167" s="104">
        <v>2004</v>
      </c>
      <c r="D167" s="103">
        <v>1045984</v>
      </c>
      <c r="E167" s="103"/>
    </row>
    <row r="168" spans="2:5">
      <c r="B168" t="s">
        <v>342</v>
      </c>
      <c r="C168" s="104">
        <v>2005</v>
      </c>
      <c r="D168" s="103">
        <v>1132763</v>
      </c>
      <c r="E168" s="103"/>
    </row>
    <row r="169" spans="2:5">
      <c r="B169" t="s">
        <v>342</v>
      </c>
      <c r="C169" s="104">
        <v>2006</v>
      </c>
      <c r="D169" s="103">
        <v>1237501</v>
      </c>
      <c r="E169" s="103"/>
    </row>
    <row r="170" spans="2:5">
      <c r="B170" t="s">
        <v>342</v>
      </c>
      <c r="C170" s="104">
        <v>2007</v>
      </c>
      <c r="D170" s="103">
        <v>1443500</v>
      </c>
      <c r="E170" s="103"/>
    </row>
    <row r="171" spans="2:5">
      <c r="B171" t="s">
        <v>342</v>
      </c>
      <c r="C171" s="104">
        <v>2008</v>
      </c>
      <c r="D171" s="103">
        <v>1600913</v>
      </c>
      <c r="E171" s="103"/>
    </row>
    <row r="172" spans="2:5">
      <c r="B172" t="s">
        <v>342</v>
      </c>
      <c r="C172" s="104">
        <v>2009</v>
      </c>
      <c r="D172" s="103">
        <v>1458111</v>
      </c>
      <c r="E172" s="103"/>
    </row>
    <row r="173" spans="2:5">
      <c r="B173" t="s">
        <v>341</v>
      </c>
      <c r="C173" s="104">
        <v>2000</v>
      </c>
      <c r="D173" s="103">
        <v>256036</v>
      </c>
      <c r="E173" s="103"/>
    </row>
    <row r="174" spans="2:5">
      <c r="B174" t="s">
        <v>341</v>
      </c>
      <c r="C174" s="104">
        <v>2001</v>
      </c>
      <c r="D174" s="103">
        <v>262645</v>
      </c>
      <c r="E174" s="103"/>
    </row>
    <row r="175" spans="2:5">
      <c r="B175" t="s">
        <v>341</v>
      </c>
      <c r="C175" s="104">
        <v>2002</v>
      </c>
      <c r="D175" s="103">
        <v>286657</v>
      </c>
      <c r="E175" s="103"/>
    </row>
    <row r="176" spans="2:5">
      <c r="B176" t="s">
        <v>341</v>
      </c>
      <c r="C176" s="104">
        <v>2003</v>
      </c>
      <c r="D176" s="103">
        <v>334587</v>
      </c>
      <c r="E176" s="103"/>
    </row>
    <row r="177" spans="2:5">
      <c r="B177" t="s">
        <v>341</v>
      </c>
      <c r="C177" s="104">
        <v>2004</v>
      </c>
      <c r="D177" s="103">
        <v>374226</v>
      </c>
      <c r="E177" s="103"/>
    </row>
    <row r="178" spans="2:5">
      <c r="B178" t="s">
        <v>341</v>
      </c>
      <c r="C178" s="104">
        <v>2005</v>
      </c>
      <c r="D178" s="103">
        <v>384755</v>
      </c>
      <c r="E178" s="103"/>
    </row>
    <row r="179" spans="2:5">
      <c r="B179" t="s">
        <v>341</v>
      </c>
      <c r="C179" s="104">
        <v>2006</v>
      </c>
      <c r="D179" s="103">
        <v>405183</v>
      </c>
      <c r="E179" s="103"/>
    </row>
    <row r="180" spans="2:5">
      <c r="B180" t="s">
        <v>341</v>
      </c>
      <c r="C180" s="104">
        <v>2007</v>
      </c>
      <c r="D180" s="103">
        <v>450530</v>
      </c>
      <c r="E180" s="103"/>
    </row>
    <row r="181" spans="2:5">
      <c r="B181" t="s">
        <v>341</v>
      </c>
      <c r="C181" s="104">
        <v>2008</v>
      </c>
      <c r="D181" s="103">
        <v>524289</v>
      </c>
      <c r="E181" s="103"/>
    </row>
    <row r="182" spans="2:5">
      <c r="B182" t="s">
        <v>341</v>
      </c>
      <c r="C182" s="104">
        <v>2009</v>
      </c>
      <c r="D182" s="103">
        <v>509466</v>
      </c>
      <c r="E182" s="103"/>
    </row>
    <row r="183" spans="2:5">
      <c r="B183" t="s">
        <v>340</v>
      </c>
      <c r="C183" s="104">
        <v>2000</v>
      </c>
      <c r="D183" s="103">
        <v>266560</v>
      </c>
      <c r="E183" s="103"/>
    </row>
    <row r="184" spans="2:5">
      <c r="B184" t="s">
        <v>340</v>
      </c>
      <c r="C184" s="104">
        <v>2001</v>
      </c>
      <c r="D184" s="103">
        <v>196007</v>
      </c>
      <c r="E184" s="103"/>
    </row>
    <row r="185" spans="2:5">
      <c r="B185" t="s">
        <v>340</v>
      </c>
      <c r="C185" s="104">
        <v>2002</v>
      </c>
      <c r="D185" s="103">
        <v>232530</v>
      </c>
      <c r="E185" s="103"/>
    </row>
    <row r="186" spans="2:5">
      <c r="B186" t="s">
        <v>340</v>
      </c>
      <c r="C186" s="104">
        <v>2003</v>
      </c>
      <c r="D186" s="103">
        <v>303008</v>
      </c>
      <c r="E186" s="103"/>
    </row>
    <row r="187" spans="2:5">
      <c r="B187" t="s">
        <v>340</v>
      </c>
      <c r="C187" s="104">
        <v>2004</v>
      </c>
      <c r="D187" s="103">
        <v>392156</v>
      </c>
      <c r="E187" s="103"/>
    </row>
    <row r="188" spans="2:5">
      <c r="B188" t="s">
        <v>340</v>
      </c>
      <c r="C188" s="104">
        <v>2005</v>
      </c>
      <c r="D188" s="103">
        <v>482986</v>
      </c>
      <c r="E188" s="103"/>
    </row>
    <row r="189" spans="2:5">
      <c r="B189" t="s">
        <v>340</v>
      </c>
      <c r="C189" s="104">
        <v>2006</v>
      </c>
      <c r="D189" s="103">
        <v>530917</v>
      </c>
      <c r="E189" s="103"/>
    </row>
    <row r="190" spans="2:5">
      <c r="B190" t="s">
        <v>340</v>
      </c>
      <c r="C190" s="104">
        <v>2007</v>
      </c>
      <c r="D190" s="103">
        <v>647140</v>
      </c>
      <c r="E190" s="103"/>
    </row>
    <row r="191" spans="2:5">
      <c r="B191" t="s">
        <v>340</v>
      </c>
      <c r="C191" s="104">
        <v>2008</v>
      </c>
      <c r="D191" s="103">
        <v>730325</v>
      </c>
      <c r="E191" s="103"/>
    </row>
    <row r="192" spans="2:5">
      <c r="B192" t="s">
        <v>340</v>
      </c>
      <c r="C192" s="104">
        <v>2009</v>
      </c>
      <c r="D192" s="103">
        <v>614570</v>
      </c>
      <c r="E192" s="103"/>
    </row>
    <row r="193" spans="2:5">
      <c r="B193" t="s">
        <v>339</v>
      </c>
      <c r="C193" s="104">
        <v>2000</v>
      </c>
      <c r="D193" s="103">
        <v>1496606</v>
      </c>
      <c r="E193" s="103"/>
    </row>
    <row r="194" spans="2:5">
      <c r="B194" t="s">
        <v>339</v>
      </c>
      <c r="C194" s="104">
        <v>2001</v>
      </c>
      <c r="D194" s="103">
        <v>1485657</v>
      </c>
      <c r="E194" s="103"/>
    </row>
    <row r="195" spans="2:5">
      <c r="B195" t="s">
        <v>339</v>
      </c>
      <c r="C195" s="104">
        <v>2002</v>
      </c>
      <c r="D195" s="103">
        <v>1623558</v>
      </c>
      <c r="E195" s="103"/>
    </row>
    <row r="196" spans="2:5">
      <c r="B196" t="s">
        <v>339</v>
      </c>
      <c r="C196" s="104">
        <v>2003</v>
      </c>
      <c r="D196" s="103">
        <v>1877117</v>
      </c>
      <c r="E196" s="103"/>
    </row>
    <row r="197" spans="2:5">
      <c r="B197" t="s">
        <v>339</v>
      </c>
      <c r="C197" s="104">
        <v>2004</v>
      </c>
      <c r="D197" s="103">
        <v>2221915</v>
      </c>
      <c r="E197" s="103"/>
    </row>
    <row r="198" spans="2:5">
      <c r="B198" t="s">
        <v>339</v>
      </c>
      <c r="C198" s="104">
        <v>2005</v>
      </c>
      <c r="D198" s="103">
        <v>2324184</v>
      </c>
      <c r="E198" s="103"/>
    </row>
    <row r="199" spans="2:5">
      <c r="B199" t="s">
        <v>339</v>
      </c>
      <c r="C199" s="104">
        <v>2006</v>
      </c>
      <c r="D199" s="103">
        <v>2486598</v>
      </c>
      <c r="E199" s="103"/>
    </row>
    <row r="200" spans="2:5">
      <c r="B200" t="s">
        <v>339</v>
      </c>
      <c r="C200" s="104">
        <v>2007</v>
      </c>
      <c r="D200" s="103">
        <v>2858176</v>
      </c>
      <c r="E200" s="103"/>
    </row>
    <row r="201" spans="2:5">
      <c r="B201" t="s">
        <v>339</v>
      </c>
      <c r="C201" s="104">
        <v>2008</v>
      </c>
      <c r="D201" s="103">
        <v>2709573</v>
      </c>
      <c r="E201" s="103"/>
    </row>
    <row r="202" spans="2:5">
      <c r="B202" t="s">
        <v>339</v>
      </c>
      <c r="C202" s="104">
        <v>2009</v>
      </c>
      <c r="D202" s="103">
        <v>2217427</v>
      </c>
      <c r="E202" s="103"/>
    </row>
    <row r="203" spans="2:5">
      <c r="B203" t="s">
        <v>338</v>
      </c>
      <c r="C203" s="104">
        <v>2000</v>
      </c>
      <c r="D203" s="103">
        <v>10289725</v>
      </c>
      <c r="E203" s="103"/>
    </row>
    <row r="204" spans="2:5">
      <c r="B204" t="s">
        <v>338</v>
      </c>
      <c r="C204" s="104">
        <v>2001</v>
      </c>
      <c r="D204" s="103">
        <v>10625275</v>
      </c>
      <c r="E204" s="103"/>
    </row>
    <row r="205" spans="2:5">
      <c r="B205" t="s">
        <v>338</v>
      </c>
      <c r="C205" s="104">
        <v>2002</v>
      </c>
      <c r="D205" s="103">
        <v>10980200</v>
      </c>
      <c r="E205" s="103"/>
    </row>
    <row r="206" spans="2:5">
      <c r="B206" t="s">
        <v>338</v>
      </c>
      <c r="C206" s="104">
        <v>2003</v>
      </c>
      <c r="D206" s="103">
        <v>11512275</v>
      </c>
      <c r="E206" s="103"/>
    </row>
    <row r="207" spans="2:5">
      <c r="B207" t="s">
        <v>338</v>
      </c>
      <c r="C207" s="104">
        <v>2004</v>
      </c>
      <c r="D207" s="103">
        <v>12277025</v>
      </c>
      <c r="E207" s="103"/>
    </row>
    <row r="208" spans="2:5">
      <c r="B208" t="s">
        <v>338</v>
      </c>
      <c r="C208" s="104">
        <v>2005</v>
      </c>
      <c r="D208" s="103">
        <v>13095425</v>
      </c>
      <c r="E208" s="103"/>
    </row>
    <row r="209" spans="2:5">
      <c r="B209" t="s">
        <v>338</v>
      </c>
      <c r="C209" s="104">
        <v>2006</v>
      </c>
      <c r="D209" s="103">
        <v>13857900</v>
      </c>
      <c r="E209" s="103"/>
    </row>
    <row r="210" spans="2:5">
      <c r="B210" t="s">
        <v>338</v>
      </c>
      <c r="C210" s="104">
        <v>2007</v>
      </c>
      <c r="D210" s="103">
        <v>14480350</v>
      </c>
      <c r="E210" s="103"/>
    </row>
    <row r="211" spans="2:5">
      <c r="B211" t="s">
        <v>338</v>
      </c>
      <c r="C211" s="104">
        <v>2008</v>
      </c>
      <c r="D211" s="103">
        <v>14720250</v>
      </c>
      <c r="E211" s="103"/>
    </row>
    <row r="212" spans="2:5">
      <c r="B212" t="s">
        <v>338</v>
      </c>
      <c r="C212" s="104">
        <v>2009</v>
      </c>
      <c r="D212" s="103">
        <v>14417950</v>
      </c>
      <c r="E212" s="10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F20"/>
  <sheetViews>
    <sheetView workbookViewId="0">
      <selection activeCell="H21" sqref="H21"/>
    </sheetView>
  </sheetViews>
  <sheetFormatPr defaultRowHeight="15"/>
  <cols>
    <col min="2" max="2" width="9.7109375" bestFit="1" customWidth="1"/>
    <col min="3" max="3" width="10.5703125" bestFit="1" customWidth="1"/>
    <col min="5" max="5" width="13.5703125" bestFit="1" customWidth="1"/>
    <col min="6" max="6" width="9.7109375" bestFit="1" customWidth="1"/>
  </cols>
  <sheetData>
    <row r="2" spans="2:6">
      <c r="B2" s="97" t="s">
        <v>236</v>
      </c>
      <c r="C2" s="97" t="s">
        <v>370</v>
      </c>
    </row>
    <row r="3" spans="2:6">
      <c r="B3" s="70">
        <v>42175</v>
      </c>
      <c r="C3" s="102">
        <v>843.77</v>
      </c>
    </row>
    <row r="4" spans="2:6">
      <c r="B4" s="70">
        <f>B3+1</f>
        <v>42176</v>
      </c>
      <c r="C4" s="102">
        <v>400.6</v>
      </c>
      <c r="E4" t="s">
        <v>221</v>
      </c>
      <c r="F4" s="70">
        <v>42178</v>
      </c>
    </row>
    <row r="5" spans="2:6">
      <c r="B5" s="70">
        <f>B4+1</f>
        <v>42177</v>
      </c>
      <c r="C5" s="102">
        <v>396.54</v>
      </c>
      <c r="E5" t="s">
        <v>220</v>
      </c>
      <c r="F5" s="70">
        <v>42184</v>
      </c>
    </row>
    <row r="6" spans="2:6">
      <c r="B6" s="70">
        <f>B5+1</f>
        <v>42178</v>
      </c>
      <c r="C6" s="102">
        <v>656.56</v>
      </c>
    </row>
    <row r="7" spans="2:6">
      <c r="B7" s="70">
        <f>B6+1</f>
        <v>42179</v>
      </c>
      <c r="C7" s="102">
        <v>249.77</v>
      </c>
      <c r="E7" t="s">
        <v>369</v>
      </c>
      <c r="F7" s="102">
        <f>SUMIF(B3:B20,"&lt;="&amp;F5,C3:C20)-SUMIF(B3:B20,"&lt;"&amp;F4,C3:C20)</f>
        <v>4321.4199999999992</v>
      </c>
    </row>
    <row r="8" spans="2:6">
      <c r="B8" s="70">
        <f>B7+1</f>
        <v>42180</v>
      </c>
      <c r="C8" s="102">
        <v>318.04000000000002</v>
      </c>
    </row>
    <row r="9" spans="2:6">
      <c r="B9" s="70">
        <f>B8+1</f>
        <v>42181</v>
      </c>
      <c r="C9" s="102">
        <v>935.37</v>
      </c>
      <c r="E9" t="s">
        <v>368</v>
      </c>
      <c r="F9" s="102">
        <f>SUMIFS(C3:C20,B3:B20,"&lt;="&amp;F5,B3:B20,"&gt;="&amp;F4)</f>
        <v>4321.42</v>
      </c>
    </row>
    <row r="10" spans="2:6">
      <c r="B10" s="70">
        <f>B9+1</f>
        <v>42182</v>
      </c>
      <c r="C10" s="102">
        <v>828.11</v>
      </c>
      <c r="E10" t="s">
        <v>367</v>
      </c>
      <c r="F10" s="102">
        <f>SUMPRODUCT((B3:B20&lt;=F5)*(B3:B20&gt;=F4)*(C3:C20))</f>
        <v>4321.42</v>
      </c>
    </row>
    <row r="11" spans="2:6">
      <c r="B11" s="70">
        <f>B10+1</f>
        <v>42183</v>
      </c>
      <c r="C11" s="102">
        <v>686.07</v>
      </c>
      <c r="E11" t="s">
        <v>366</v>
      </c>
      <c r="F11" s="102">
        <f>SUMIF(B3:B20,"&gt;="&amp;F4,C3:C20)-SUMIF(B3:B20,"&gt;"&amp;F5,C3:C20)</f>
        <v>4321.42</v>
      </c>
    </row>
    <row r="12" spans="2:6">
      <c r="B12" s="70">
        <f>B11+1</f>
        <v>42184</v>
      </c>
      <c r="C12" s="102">
        <v>647.5</v>
      </c>
    </row>
    <row r="13" spans="2:6">
      <c r="B13" s="70">
        <f>B12+1</f>
        <v>42185</v>
      </c>
      <c r="C13" s="102">
        <v>375</v>
      </c>
    </row>
    <row r="14" spans="2:6">
      <c r="B14" s="70">
        <f>B13+1</f>
        <v>42186</v>
      </c>
      <c r="C14" s="102">
        <v>991.02</v>
      </c>
    </row>
    <row r="15" spans="2:6">
      <c r="B15" s="70">
        <f>B14+1</f>
        <v>42187</v>
      </c>
      <c r="C15" s="102">
        <v>344.75</v>
      </c>
    </row>
    <row r="16" spans="2:6">
      <c r="B16" s="70">
        <f>B15+1</f>
        <v>42188</v>
      </c>
      <c r="C16" s="102">
        <v>485.97</v>
      </c>
    </row>
    <row r="17" spans="2:3">
      <c r="B17" s="70">
        <f>B16+1</f>
        <v>42189</v>
      </c>
      <c r="C17" s="102">
        <v>580.79999999999995</v>
      </c>
    </row>
    <row r="18" spans="2:3">
      <c r="B18" s="70">
        <f>B17+1</f>
        <v>42190</v>
      </c>
      <c r="C18" s="102">
        <v>703.13</v>
      </c>
    </row>
    <row r="19" spans="2:3">
      <c r="B19" s="70">
        <f>B18+1</f>
        <v>42191</v>
      </c>
      <c r="C19" s="102">
        <v>504.85</v>
      </c>
    </row>
    <row r="20" spans="2:3">
      <c r="B20" s="70">
        <f>B19+1</f>
        <v>42192</v>
      </c>
      <c r="C20" s="102">
        <v>596.05999999999995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G212"/>
  <sheetViews>
    <sheetView workbookViewId="0">
      <selection activeCell="H21" sqref="H21"/>
    </sheetView>
  </sheetViews>
  <sheetFormatPr defaultRowHeight="15"/>
  <cols>
    <col min="2" max="2" width="15.42578125" bestFit="1" customWidth="1"/>
    <col min="3" max="3" width="5" bestFit="1" customWidth="1"/>
    <col min="4" max="4" width="10.140625" bestFit="1" customWidth="1"/>
    <col min="6" max="6" width="13.5703125" bestFit="1" customWidth="1"/>
  </cols>
  <sheetData>
    <row r="2" spans="2:7">
      <c r="B2" s="97" t="s">
        <v>363</v>
      </c>
      <c r="C2" s="106" t="s">
        <v>365</v>
      </c>
      <c r="D2" s="106" t="s">
        <v>364</v>
      </c>
    </row>
    <row r="3" spans="2:7">
      <c r="B3" t="s">
        <v>358</v>
      </c>
      <c r="C3" s="104">
        <v>2000</v>
      </c>
      <c r="D3" s="103">
        <v>399594</v>
      </c>
      <c r="F3" t="s">
        <v>374</v>
      </c>
      <c r="G3" t="str">
        <f>"&gt;="&amp;10^6</f>
        <v>&gt;=1000000</v>
      </c>
    </row>
    <row r="4" spans="2:7">
      <c r="B4" t="s">
        <v>358</v>
      </c>
      <c r="C4" s="104">
        <v>2001</v>
      </c>
      <c r="D4" s="103">
        <v>377207</v>
      </c>
    </row>
    <row r="5" spans="2:7">
      <c r="B5" t="s">
        <v>358</v>
      </c>
      <c r="C5" s="104">
        <v>2002</v>
      </c>
      <c r="D5" s="103">
        <v>423676</v>
      </c>
      <c r="F5" t="s">
        <v>371</v>
      </c>
      <c r="G5">
        <f>COUNTIF(D3:D212,G3)</f>
        <v>96</v>
      </c>
    </row>
    <row r="6" spans="2:7">
      <c r="B6" t="s">
        <v>358</v>
      </c>
      <c r="C6" s="104">
        <v>2003</v>
      </c>
      <c r="D6" s="103">
        <v>539162</v>
      </c>
    </row>
    <row r="7" spans="2:7">
      <c r="B7" t="s">
        <v>358</v>
      </c>
      <c r="C7" s="104">
        <v>2004</v>
      </c>
      <c r="D7" s="103">
        <v>654968</v>
      </c>
      <c r="F7" t="s">
        <v>373</v>
      </c>
      <c r="G7">
        <f>5*10^5</f>
        <v>500000</v>
      </c>
    </row>
    <row r="8" spans="2:7">
      <c r="B8" t="s">
        <v>358</v>
      </c>
      <c r="C8" s="104">
        <v>2005</v>
      </c>
      <c r="D8" s="103">
        <v>730729</v>
      </c>
      <c r="F8" t="s">
        <v>372</v>
      </c>
      <c r="G8">
        <f>10^6</f>
        <v>1000000</v>
      </c>
    </row>
    <row r="9" spans="2:7">
      <c r="B9" t="s">
        <v>358</v>
      </c>
      <c r="C9" s="104">
        <v>2006</v>
      </c>
      <c r="D9" s="103">
        <v>777933</v>
      </c>
    </row>
    <row r="10" spans="2:7">
      <c r="B10" t="s">
        <v>358</v>
      </c>
      <c r="C10" s="104">
        <v>2007</v>
      </c>
      <c r="D10" s="103">
        <v>945364</v>
      </c>
      <c r="F10" t="s">
        <v>371</v>
      </c>
      <c r="G10" s="103">
        <f>COUNTIF(D3:D212,"&lt;="&amp;G8)-COUNTIF(D3:D212,"&lt;"&amp;G7)</f>
        <v>62</v>
      </c>
    </row>
    <row r="11" spans="2:7">
      <c r="B11" t="s">
        <v>358</v>
      </c>
      <c r="C11" s="104">
        <v>2008</v>
      </c>
      <c r="D11" s="103">
        <v>1051261</v>
      </c>
    </row>
    <row r="12" spans="2:7">
      <c r="B12" t="s">
        <v>358</v>
      </c>
      <c r="C12" s="104">
        <v>2009</v>
      </c>
      <c r="D12" s="103">
        <v>993349</v>
      </c>
      <c r="F12" t="s">
        <v>367</v>
      </c>
      <c r="G12">
        <f>SUMPRODUCT(--(D3:D212&gt;10^6))</f>
        <v>96</v>
      </c>
    </row>
    <row r="13" spans="2:7">
      <c r="B13" t="s">
        <v>357</v>
      </c>
      <c r="C13" s="104">
        <v>2000</v>
      </c>
      <c r="D13" s="103">
        <v>233354</v>
      </c>
    </row>
    <row r="14" spans="2:7">
      <c r="B14" t="s">
        <v>357</v>
      </c>
      <c r="C14" s="104">
        <v>2001</v>
      </c>
      <c r="D14" s="103">
        <v>232686</v>
      </c>
    </row>
    <row r="15" spans="2:7">
      <c r="B15" t="s">
        <v>357</v>
      </c>
      <c r="C15" s="104">
        <v>2002</v>
      </c>
      <c r="D15" s="103">
        <v>253689</v>
      </c>
    </row>
    <row r="16" spans="2:7">
      <c r="B16" t="s">
        <v>357</v>
      </c>
      <c r="C16" s="104">
        <v>2003</v>
      </c>
      <c r="D16" s="103">
        <v>312285</v>
      </c>
    </row>
    <row r="17" spans="2:4">
      <c r="B17" t="s">
        <v>357</v>
      </c>
      <c r="C17" s="104">
        <v>2004</v>
      </c>
      <c r="D17" s="103">
        <v>362160</v>
      </c>
    </row>
    <row r="18" spans="2:4">
      <c r="B18" t="s">
        <v>357</v>
      </c>
      <c r="C18" s="104">
        <v>2005</v>
      </c>
      <c r="D18" s="103">
        <v>378006</v>
      </c>
    </row>
    <row r="19" spans="2:4">
      <c r="B19" t="s">
        <v>357</v>
      </c>
      <c r="C19" s="104">
        <v>2006</v>
      </c>
      <c r="D19" s="103">
        <v>400337</v>
      </c>
    </row>
    <row r="20" spans="2:4">
      <c r="B20" t="s">
        <v>357</v>
      </c>
      <c r="C20" s="104">
        <v>2007</v>
      </c>
      <c r="D20" s="103">
        <v>460280</v>
      </c>
    </row>
    <row r="21" spans="2:4">
      <c r="B21" t="s">
        <v>357</v>
      </c>
      <c r="C21" s="104">
        <v>2008</v>
      </c>
      <c r="D21" s="103">
        <v>509765</v>
      </c>
    </row>
    <row r="22" spans="2:4">
      <c r="B22" t="s">
        <v>357</v>
      </c>
      <c r="C22" s="104">
        <v>2009</v>
      </c>
      <c r="D22" s="103">
        <v>474580</v>
      </c>
    </row>
    <row r="23" spans="2:4">
      <c r="B23" t="s">
        <v>356</v>
      </c>
      <c r="C23" s="104">
        <v>2000</v>
      </c>
      <c r="D23" s="103">
        <v>644734</v>
      </c>
    </row>
    <row r="24" spans="2:4">
      <c r="B24" t="s">
        <v>356</v>
      </c>
      <c r="C24" s="104">
        <v>2001</v>
      </c>
      <c r="D24" s="103">
        <v>554185</v>
      </c>
    </row>
    <row r="25" spans="2:4">
      <c r="B25" t="s">
        <v>356</v>
      </c>
      <c r="C25" s="104">
        <v>2002</v>
      </c>
      <c r="D25" s="103">
        <v>506043</v>
      </c>
    </row>
    <row r="26" spans="2:4">
      <c r="B26" t="s">
        <v>356</v>
      </c>
      <c r="C26" s="104">
        <v>2003</v>
      </c>
      <c r="D26" s="103">
        <v>552383</v>
      </c>
    </row>
    <row r="27" spans="2:4">
      <c r="B27" t="s">
        <v>356</v>
      </c>
      <c r="C27" s="104">
        <v>2004</v>
      </c>
      <c r="D27" s="103">
        <v>663734</v>
      </c>
    </row>
    <row r="28" spans="2:4">
      <c r="B28" t="s">
        <v>356</v>
      </c>
      <c r="C28" s="104">
        <v>2005</v>
      </c>
      <c r="D28" s="103">
        <v>882043</v>
      </c>
    </row>
    <row r="29" spans="2:4">
      <c r="B29" t="s">
        <v>356</v>
      </c>
      <c r="C29" s="104">
        <v>2006</v>
      </c>
      <c r="D29" s="103">
        <v>1089255</v>
      </c>
    </row>
    <row r="30" spans="2:4">
      <c r="B30" t="s">
        <v>356</v>
      </c>
      <c r="C30" s="104">
        <v>2007</v>
      </c>
      <c r="D30" s="103">
        <v>1366854</v>
      </c>
    </row>
    <row r="31" spans="2:4">
      <c r="B31" t="s">
        <v>356</v>
      </c>
      <c r="C31" s="104">
        <v>2008</v>
      </c>
      <c r="D31" s="103">
        <v>1653538</v>
      </c>
    </row>
    <row r="32" spans="2:4">
      <c r="B32" t="s">
        <v>356</v>
      </c>
      <c r="C32" s="104">
        <v>2009</v>
      </c>
      <c r="D32" s="103">
        <v>1622311</v>
      </c>
    </row>
    <row r="33" spans="2:4">
      <c r="B33" t="s">
        <v>355</v>
      </c>
      <c r="C33" s="104">
        <v>2000</v>
      </c>
      <c r="D33" s="103">
        <v>739451</v>
      </c>
    </row>
    <row r="34" spans="2:4">
      <c r="B34" t="s">
        <v>355</v>
      </c>
      <c r="C34" s="104">
        <v>2001</v>
      </c>
      <c r="D34" s="103">
        <v>732735</v>
      </c>
    </row>
    <row r="35" spans="2:4">
      <c r="B35" t="s">
        <v>355</v>
      </c>
      <c r="C35" s="104">
        <v>2002</v>
      </c>
      <c r="D35" s="103">
        <v>752523</v>
      </c>
    </row>
    <row r="36" spans="2:4">
      <c r="B36" t="s">
        <v>355</v>
      </c>
      <c r="C36" s="104">
        <v>2003</v>
      </c>
      <c r="D36" s="103">
        <v>887782</v>
      </c>
    </row>
    <row r="37" spans="2:4">
      <c r="B37" t="s">
        <v>355</v>
      </c>
      <c r="C37" s="104">
        <v>2004</v>
      </c>
      <c r="D37" s="103">
        <v>1018386</v>
      </c>
    </row>
    <row r="38" spans="2:4">
      <c r="B38" t="s">
        <v>355</v>
      </c>
      <c r="C38" s="104">
        <v>2005</v>
      </c>
      <c r="D38" s="103">
        <v>1164179</v>
      </c>
    </row>
    <row r="39" spans="2:4">
      <c r="B39" t="s">
        <v>355</v>
      </c>
      <c r="C39" s="104">
        <v>2006</v>
      </c>
      <c r="D39" s="103">
        <v>1310795</v>
      </c>
    </row>
    <row r="40" spans="2:4">
      <c r="B40" t="s">
        <v>355</v>
      </c>
      <c r="C40" s="104">
        <v>2007</v>
      </c>
      <c r="D40" s="103">
        <v>1457873</v>
      </c>
    </row>
    <row r="41" spans="2:4">
      <c r="B41" t="s">
        <v>355</v>
      </c>
      <c r="C41" s="104">
        <v>2008</v>
      </c>
      <c r="D41" s="103">
        <v>1542561</v>
      </c>
    </row>
    <row r="42" spans="2:4">
      <c r="B42" t="s">
        <v>355</v>
      </c>
      <c r="C42" s="104">
        <v>2009</v>
      </c>
      <c r="D42" s="103">
        <v>1370839</v>
      </c>
    </row>
    <row r="43" spans="2:4">
      <c r="B43" t="s">
        <v>354</v>
      </c>
      <c r="C43" s="104">
        <v>2000</v>
      </c>
      <c r="D43" s="103">
        <v>1198477</v>
      </c>
    </row>
    <row r="44" spans="2:4">
      <c r="B44" t="s">
        <v>354</v>
      </c>
      <c r="C44" s="104">
        <v>2001</v>
      </c>
      <c r="D44" s="103">
        <v>1324814</v>
      </c>
    </row>
    <row r="45" spans="2:4">
      <c r="B45" t="s">
        <v>354</v>
      </c>
      <c r="C45" s="104">
        <v>2002</v>
      </c>
      <c r="D45" s="103">
        <v>1453833</v>
      </c>
    </row>
    <row r="46" spans="2:4">
      <c r="B46" t="s">
        <v>354</v>
      </c>
      <c r="C46" s="104">
        <v>2003</v>
      </c>
      <c r="D46" s="103">
        <v>1640961</v>
      </c>
    </row>
    <row r="47" spans="2:4">
      <c r="B47" t="s">
        <v>354</v>
      </c>
      <c r="C47" s="104">
        <v>2004</v>
      </c>
      <c r="D47" s="103">
        <v>1931646</v>
      </c>
    </row>
    <row r="48" spans="2:4">
      <c r="B48" t="s">
        <v>354</v>
      </c>
      <c r="C48" s="104">
        <v>2005</v>
      </c>
      <c r="D48" s="103">
        <v>2256919</v>
      </c>
    </row>
    <row r="49" spans="2:4">
      <c r="B49" t="s">
        <v>354</v>
      </c>
      <c r="C49" s="104">
        <v>2006</v>
      </c>
      <c r="D49" s="103">
        <v>2712917</v>
      </c>
    </row>
    <row r="50" spans="2:4">
      <c r="B50" t="s">
        <v>354</v>
      </c>
      <c r="C50" s="104">
        <v>2007</v>
      </c>
      <c r="D50" s="103">
        <v>3494235</v>
      </c>
    </row>
    <row r="51" spans="2:4">
      <c r="B51" t="s">
        <v>354</v>
      </c>
      <c r="C51" s="104">
        <v>2008</v>
      </c>
      <c r="D51" s="103">
        <v>4519951</v>
      </c>
    </row>
    <row r="52" spans="2:4">
      <c r="B52" t="s">
        <v>354</v>
      </c>
      <c r="C52" s="104">
        <v>2009</v>
      </c>
      <c r="D52" s="103">
        <v>4990526</v>
      </c>
    </row>
    <row r="53" spans="2:4">
      <c r="B53" t="s">
        <v>353</v>
      </c>
      <c r="C53" s="104">
        <v>2000</v>
      </c>
      <c r="D53" s="103">
        <v>1330224</v>
      </c>
    </row>
    <row r="54" spans="2:4">
      <c r="B54" t="s">
        <v>353</v>
      </c>
      <c r="C54" s="104">
        <v>2001</v>
      </c>
      <c r="D54" s="103">
        <v>1339453</v>
      </c>
    </row>
    <row r="55" spans="2:4">
      <c r="B55" t="s">
        <v>353</v>
      </c>
      <c r="C55" s="104">
        <v>2002</v>
      </c>
      <c r="D55" s="103">
        <v>1457171</v>
      </c>
    </row>
    <row r="56" spans="2:4">
      <c r="B56" t="s">
        <v>353</v>
      </c>
      <c r="C56" s="104">
        <v>2003</v>
      </c>
      <c r="D56" s="103">
        <v>1795644</v>
      </c>
    </row>
    <row r="57" spans="2:4">
      <c r="B57" t="s">
        <v>353</v>
      </c>
      <c r="C57" s="104">
        <v>2004</v>
      </c>
      <c r="D57" s="103">
        <v>2058380</v>
      </c>
    </row>
    <row r="58" spans="2:4">
      <c r="B58" t="s">
        <v>353</v>
      </c>
      <c r="C58" s="104">
        <v>2005</v>
      </c>
      <c r="D58" s="103">
        <v>2140266</v>
      </c>
    </row>
    <row r="59" spans="2:4">
      <c r="B59" t="s">
        <v>353</v>
      </c>
      <c r="C59" s="104">
        <v>2006</v>
      </c>
      <c r="D59" s="103">
        <v>2257802</v>
      </c>
    </row>
    <row r="60" spans="2:4">
      <c r="B60" t="s">
        <v>353</v>
      </c>
      <c r="C60" s="104">
        <v>2007</v>
      </c>
      <c r="D60" s="103">
        <v>2586104</v>
      </c>
    </row>
    <row r="61" spans="2:4">
      <c r="B61" t="s">
        <v>353</v>
      </c>
      <c r="C61" s="104">
        <v>2008</v>
      </c>
      <c r="D61" s="103">
        <v>2845111</v>
      </c>
    </row>
    <row r="62" spans="2:4">
      <c r="B62" t="s">
        <v>353</v>
      </c>
      <c r="C62" s="104">
        <v>2009</v>
      </c>
      <c r="D62" s="103">
        <v>2626486</v>
      </c>
    </row>
    <row r="63" spans="2:4">
      <c r="B63" t="s">
        <v>352</v>
      </c>
      <c r="C63" s="104">
        <v>2000</v>
      </c>
      <c r="D63" s="103">
        <v>1891934</v>
      </c>
    </row>
    <row r="64" spans="2:4">
      <c r="B64" t="s">
        <v>352</v>
      </c>
      <c r="C64" s="104">
        <v>2001</v>
      </c>
      <c r="D64" s="103">
        <v>1882511</v>
      </c>
    </row>
    <row r="65" spans="2:4">
      <c r="B65" t="s">
        <v>352</v>
      </c>
      <c r="C65" s="104">
        <v>2002</v>
      </c>
      <c r="D65" s="103">
        <v>2013691</v>
      </c>
    </row>
    <row r="66" spans="2:4">
      <c r="B66" t="s">
        <v>352</v>
      </c>
      <c r="C66" s="104">
        <v>2003</v>
      </c>
      <c r="D66" s="103">
        <v>2428452</v>
      </c>
    </row>
    <row r="67" spans="2:4">
      <c r="B67" t="s">
        <v>352</v>
      </c>
      <c r="C67" s="104">
        <v>2004</v>
      </c>
      <c r="D67" s="103">
        <v>2729923</v>
      </c>
    </row>
    <row r="68" spans="2:4">
      <c r="B68" t="s">
        <v>352</v>
      </c>
      <c r="C68" s="104">
        <v>2005</v>
      </c>
      <c r="D68" s="103">
        <v>2771057</v>
      </c>
    </row>
    <row r="69" spans="2:4">
      <c r="B69" t="s">
        <v>352</v>
      </c>
      <c r="C69" s="104">
        <v>2006</v>
      </c>
      <c r="D69" s="103">
        <v>2905445</v>
      </c>
    </row>
    <row r="70" spans="2:4">
      <c r="B70" t="s">
        <v>352</v>
      </c>
      <c r="C70" s="104">
        <v>2007</v>
      </c>
      <c r="D70" s="103">
        <v>3328589</v>
      </c>
    </row>
    <row r="71" spans="2:4">
      <c r="B71" t="s">
        <v>352</v>
      </c>
      <c r="C71" s="104">
        <v>2008</v>
      </c>
      <c r="D71" s="103">
        <v>3640727</v>
      </c>
    </row>
    <row r="72" spans="2:4">
      <c r="B72" t="s">
        <v>352</v>
      </c>
      <c r="C72" s="104">
        <v>2009</v>
      </c>
      <c r="D72" s="103">
        <v>3306780</v>
      </c>
    </row>
    <row r="73" spans="2:4">
      <c r="B73" t="s">
        <v>351</v>
      </c>
      <c r="C73" s="104">
        <v>2000</v>
      </c>
      <c r="D73" s="103">
        <v>474570</v>
      </c>
    </row>
    <row r="74" spans="2:4">
      <c r="B74" t="s">
        <v>351</v>
      </c>
      <c r="C74" s="104">
        <v>2001</v>
      </c>
      <c r="D74" s="103">
        <v>492736</v>
      </c>
    </row>
    <row r="75" spans="2:4">
      <c r="B75" t="s">
        <v>351</v>
      </c>
      <c r="C75" s="104">
        <v>2002</v>
      </c>
      <c r="D75" s="103">
        <v>522715</v>
      </c>
    </row>
    <row r="76" spans="2:4">
      <c r="B76" t="s">
        <v>351</v>
      </c>
      <c r="C76" s="104">
        <v>2003</v>
      </c>
      <c r="D76" s="103">
        <v>618186</v>
      </c>
    </row>
    <row r="77" spans="2:4">
      <c r="B77" t="s">
        <v>351</v>
      </c>
      <c r="C77" s="104">
        <v>2004</v>
      </c>
      <c r="D77" s="103">
        <v>721589</v>
      </c>
    </row>
    <row r="78" spans="2:4">
      <c r="B78" t="s">
        <v>351</v>
      </c>
      <c r="C78" s="104">
        <v>2005</v>
      </c>
      <c r="D78" s="103">
        <v>834218</v>
      </c>
    </row>
    <row r="79" spans="2:4">
      <c r="B79" t="s">
        <v>351</v>
      </c>
      <c r="C79" s="104">
        <v>2006</v>
      </c>
      <c r="D79" s="103">
        <v>949117</v>
      </c>
    </row>
    <row r="80" spans="2:4">
      <c r="B80" t="s">
        <v>351</v>
      </c>
      <c r="C80" s="104">
        <v>2007</v>
      </c>
      <c r="D80" s="103">
        <v>1238478</v>
      </c>
    </row>
    <row r="81" spans="2:4">
      <c r="B81" t="s">
        <v>351</v>
      </c>
      <c r="C81" s="104">
        <v>2008</v>
      </c>
      <c r="D81" s="103">
        <v>1223206</v>
      </c>
    </row>
    <row r="82" spans="2:4">
      <c r="B82" t="s">
        <v>351</v>
      </c>
      <c r="C82" s="104">
        <v>2009</v>
      </c>
      <c r="D82" s="103">
        <v>1365343</v>
      </c>
    </row>
    <row r="83" spans="2:4">
      <c r="B83" t="s">
        <v>350</v>
      </c>
      <c r="C83" s="104">
        <v>2000</v>
      </c>
      <c r="D83" s="103">
        <v>165021</v>
      </c>
    </row>
    <row r="84" spans="2:4">
      <c r="B84" t="s">
        <v>350</v>
      </c>
      <c r="C84" s="104">
        <v>2001</v>
      </c>
      <c r="D84" s="103">
        <v>160447</v>
      </c>
    </row>
    <row r="85" spans="2:4">
      <c r="B85" t="s">
        <v>350</v>
      </c>
      <c r="C85" s="104">
        <v>2002</v>
      </c>
      <c r="D85" s="103">
        <v>195661</v>
      </c>
    </row>
    <row r="86" spans="2:4">
      <c r="B86" t="s">
        <v>350</v>
      </c>
      <c r="C86" s="104">
        <v>2003</v>
      </c>
      <c r="D86" s="103">
        <v>234848</v>
      </c>
    </row>
    <row r="87" spans="2:4">
      <c r="B87" t="s">
        <v>350</v>
      </c>
      <c r="C87" s="104">
        <v>2004</v>
      </c>
      <c r="D87" s="103">
        <v>257032</v>
      </c>
    </row>
    <row r="88" spans="2:4">
      <c r="B88" t="s">
        <v>350</v>
      </c>
      <c r="C88" s="104">
        <v>2005</v>
      </c>
      <c r="D88" s="103">
        <v>285773</v>
      </c>
    </row>
    <row r="89" spans="2:4">
      <c r="B89" t="s">
        <v>350</v>
      </c>
      <c r="C89" s="104">
        <v>2006</v>
      </c>
      <c r="D89" s="103">
        <v>364362</v>
      </c>
    </row>
    <row r="90" spans="2:4">
      <c r="B90" t="s">
        <v>350</v>
      </c>
      <c r="C90" s="104">
        <v>2007</v>
      </c>
      <c r="D90" s="103">
        <v>432183</v>
      </c>
    </row>
    <row r="91" spans="2:4">
      <c r="B91" t="s">
        <v>350</v>
      </c>
      <c r="C91" s="104">
        <v>2008</v>
      </c>
      <c r="D91" s="103">
        <v>510839</v>
      </c>
    </row>
    <row r="92" spans="2:4">
      <c r="B92" t="s">
        <v>350</v>
      </c>
      <c r="C92" s="104">
        <v>2009</v>
      </c>
      <c r="D92" s="103">
        <v>538803</v>
      </c>
    </row>
    <row r="93" spans="2:4">
      <c r="B93" t="s">
        <v>349</v>
      </c>
      <c r="C93" s="104">
        <v>2000</v>
      </c>
      <c r="D93" s="103">
        <v>1107248</v>
      </c>
    </row>
    <row r="94" spans="2:4">
      <c r="B94" t="s">
        <v>349</v>
      </c>
      <c r="C94" s="104">
        <v>2001</v>
      </c>
      <c r="D94" s="103">
        <v>1124668</v>
      </c>
    </row>
    <row r="95" spans="2:4">
      <c r="B95" t="s">
        <v>349</v>
      </c>
      <c r="C95" s="104">
        <v>2002</v>
      </c>
      <c r="D95" s="103">
        <v>1229515</v>
      </c>
    </row>
    <row r="96" spans="2:4">
      <c r="B96" t="s">
        <v>349</v>
      </c>
      <c r="C96" s="104">
        <v>2003</v>
      </c>
      <c r="D96" s="103">
        <v>1517402</v>
      </c>
    </row>
    <row r="97" spans="2:4">
      <c r="B97" t="s">
        <v>349</v>
      </c>
      <c r="C97" s="104">
        <v>2004</v>
      </c>
      <c r="D97" s="103">
        <v>1737800</v>
      </c>
    </row>
    <row r="98" spans="2:4">
      <c r="B98" t="s">
        <v>349</v>
      </c>
      <c r="C98" s="104">
        <v>2005</v>
      </c>
      <c r="D98" s="103">
        <v>1789378</v>
      </c>
    </row>
    <row r="99" spans="2:4">
      <c r="B99" t="s">
        <v>349</v>
      </c>
      <c r="C99" s="104">
        <v>2006</v>
      </c>
      <c r="D99" s="103">
        <v>1874722</v>
      </c>
    </row>
    <row r="100" spans="2:4">
      <c r="B100" t="s">
        <v>349</v>
      </c>
      <c r="C100" s="104">
        <v>2007</v>
      </c>
      <c r="D100" s="103">
        <v>2130241</v>
      </c>
    </row>
    <row r="101" spans="2:4">
      <c r="B101" t="s">
        <v>349</v>
      </c>
      <c r="C101" s="104">
        <v>2008</v>
      </c>
      <c r="D101" s="103">
        <v>2318162</v>
      </c>
    </row>
    <row r="102" spans="2:4">
      <c r="B102" t="s">
        <v>349</v>
      </c>
      <c r="C102" s="104">
        <v>2009</v>
      </c>
      <c r="D102" s="103">
        <v>2116627</v>
      </c>
    </row>
    <row r="103" spans="2:4">
      <c r="B103" t="s">
        <v>348</v>
      </c>
      <c r="C103" s="104">
        <v>2000</v>
      </c>
      <c r="D103" s="103">
        <v>4731199</v>
      </c>
    </row>
    <row r="104" spans="2:4">
      <c r="B104" t="s">
        <v>348</v>
      </c>
      <c r="C104" s="104">
        <v>2001</v>
      </c>
      <c r="D104" s="103">
        <v>4159859</v>
      </c>
    </row>
    <row r="105" spans="2:4">
      <c r="B105" t="s">
        <v>348</v>
      </c>
      <c r="C105" s="104">
        <v>2002</v>
      </c>
      <c r="D105" s="103">
        <v>3980819</v>
      </c>
    </row>
    <row r="106" spans="2:4">
      <c r="B106" t="s">
        <v>348</v>
      </c>
      <c r="C106" s="104">
        <v>2003</v>
      </c>
      <c r="D106" s="103">
        <v>4302940</v>
      </c>
    </row>
    <row r="107" spans="2:4">
      <c r="B107" t="s">
        <v>348</v>
      </c>
      <c r="C107" s="104">
        <v>2004</v>
      </c>
      <c r="D107" s="103">
        <v>4655823</v>
      </c>
    </row>
    <row r="108" spans="2:4">
      <c r="B108" t="s">
        <v>348</v>
      </c>
      <c r="C108" s="104">
        <v>2005</v>
      </c>
      <c r="D108" s="103">
        <v>4571867</v>
      </c>
    </row>
    <row r="109" spans="2:4">
      <c r="B109" t="s">
        <v>348</v>
      </c>
      <c r="C109" s="104">
        <v>2006</v>
      </c>
      <c r="D109" s="103">
        <v>4356750</v>
      </c>
    </row>
    <row r="110" spans="2:4">
      <c r="B110" t="s">
        <v>348</v>
      </c>
      <c r="C110" s="104">
        <v>2007</v>
      </c>
      <c r="D110" s="103">
        <v>4356347</v>
      </c>
    </row>
    <row r="111" spans="2:4">
      <c r="B111" t="s">
        <v>348</v>
      </c>
      <c r="C111" s="104">
        <v>2008</v>
      </c>
      <c r="D111" s="103">
        <v>4849185</v>
      </c>
    </row>
    <row r="112" spans="2:4">
      <c r="B112" t="s">
        <v>348</v>
      </c>
      <c r="C112" s="104">
        <v>2009</v>
      </c>
      <c r="D112" s="103">
        <v>5035141</v>
      </c>
    </row>
    <row r="113" spans="2:4">
      <c r="B113" t="s">
        <v>347</v>
      </c>
      <c r="C113" s="104">
        <v>2000</v>
      </c>
      <c r="D113" s="103">
        <v>692029</v>
      </c>
    </row>
    <row r="114" spans="2:4">
      <c r="B114" t="s">
        <v>347</v>
      </c>
      <c r="C114" s="104">
        <v>2001</v>
      </c>
      <c r="D114" s="103">
        <v>733453</v>
      </c>
    </row>
    <row r="115" spans="2:4">
      <c r="B115" t="s">
        <v>347</v>
      </c>
      <c r="C115" s="104">
        <v>2002</v>
      </c>
      <c r="D115" s="103">
        <v>750450</v>
      </c>
    </row>
    <row r="116" spans="2:4">
      <c r="B116" t="s">
        <v>347</v>
      </c>
      <c r="C116" s="104">
        <v>2003</v>
      </c>
      <c r="D116" s="103">
        <v>722182</v>
      </c>
    </row>
    <row r="117" spans="2:4">
      <c r="B117" t="s">
        <v>347</v>
      </c>
      <c r="C117" s="104">
        <v>2004</v>
      </c>
      <c r="D117" s="103">
        <v>774591</v>
      </c>
    </row>
    <row r="118" spans="2:4">
      <c r="B118" t="s">
        <v>347</v>
      </c>
      <c r="C118" s="104">
        <v>2005</v>
      </c>
      <c r="D118" s="103">
        <v>869718</v>
      </c>
    </row>
    <row r="119" spans="2:4">
      <c r="B119" t="s">
        <v>347</v>
      </c>
      <c r="C119" s="104">
        <v>2006</v>
      </c>
      <c r="D119" s="103">
        <v>965774</v>
      </c>
    </row>
    <row r="120" spans="2:4">
      <c r="B120" t="s">
        <v>347</v>
      </c>
      <c r="C120" s="104">
        <v>2007</v>
      </c>
      <c r="D120" s="103">
        <v>1042687</v>
      </c>
    </row>
    <row r="121" spans="2:4">
      <c r="B121" t="s">
        <v>347</v>
      </c>
      <c r="C121" s="104">
        <v>2008</v>
      </c>
      <c r="D121" s="103">
        <v>1100673</v>
      </c>
    </row>
    <row r="122" spans="2:4">
      <c r="B122" t="s">
        <v>347</v>
      </c>
      <c r="C122" s="104">
        <v>2009</v>
      </c>
      <c r="D122" s="103">
        <v>894566</v>
      </c>
    </row>
    <row r="123" spans="2:4">
      <c r="B123" t="s">
        <v>346</v>
      </c>
      <c r="C123" s="104">
        <v>2000</v>
      </c>
      <c r="D123" s="103">
        <v>386204</v>
      </c>
    </row>
    <row r="124" spans="2:4">
      <c r="B124" t="s">
        <v>346</v>
      </c>
      <c r="C124" s="104">
        <v>2001</v>
      </c>
      <c r="D124" s="103">
        <v>400998</v>
      </c>
    </row>
    <row r="125" spans="2:4">
      <c r="B125" t="s">
        <v>346</v>
      </c>
      <c r="C125" s="104">
        <v>2002</v>
      </c>
      <c r="D125" s="103">
        <v>439357</v>
      </c>
    </row>
    <row r="126" spans="2:4">
      <c r="B126" t="s">
        <v>346</v>
      </c>
      <c r="C126" s="104">
        <v>2003</v>
      </c>
      <c r="D126" s="103">
        <v>539343</v>
      </c>
    </row>
    <row r="127" spans="2:4">
      <c r="B127" t="s">
        <v>346</v>
      </c>
      <c r="C127" s="104">
        <v>2004</v>
      </c>
      <c r="D127" s="103">
        <v>610691</v>
      </c>
    </row>
    <row r="128" spans="2:4">
      <c r="B128" t="s">
        <v>346</v>
      </c>
      <c r="C128" s="104">
        <v>2005</v>
      </c>
      <c r="D128" s="103">
        <v>639579</v>
      </c>
    </row>
    <row r="129" spans="2:4">
      <c r="B129" t="s">
        <v>346</v>
      </c>
      <c r="C129" s="104">
        <v>2006</v>
      </c>
      <c r="D129" s="103">
        <v>678321</v>
      </c>
    </row>
    <row r="130" spans="2:4">
      <c r="B130" t="s">
        <v>346</v>
      </c>
      <c r="C130" s="104">
        <v>2007</v>
      </c>
      <c r="D130" s="103">
        <v>783692</v>
      </c>
    </row>
    <row r="131" spans="2:4">
      <c r="B131" t="s">
        <v>346</v>
      </c>
      <c r="C131" s="104">
        <v>2008</v>
      </c>
      <c r="D131" s="103">
        <v>874906</v>
      </c>
    </row>
    <row r="132" spans="2:4">
      <c r="B132" t="s">
        <v>346</v>
      </c>
      <c r="C132" s="104">
        <v>2009</v>
      </c>
      <c r="D132" s="103">
        <v>798400</v>
      </c>
    </row>
    <row r="133" spans="2:4">
      <c r="B133" t="s">
        <v>345</v>
      </c>
      <c r="C133" s="104">
        <v>2000</v>
      </c>
      <c r="D133" s="103">
        <v>171263</v>
      </c>
    </row>
    <row r="134" spans="2:4">
      <c r="B134" t="s">
        <v>345</v>
      </c>
      <c r="C134" s="104">
        <v>2001</v>
      </c>
      <c r="D134" s="103">
        <v>190421</v>
      </c>
    </row>
    <row r="135" spans="2:4">
      <c r="B135" t="s">
        <v>345</v>
      </c>
      <c r="C135" s="104">
        <v>2002</v>
      </c>
      <c r="D135" s="103">
        <v>198205</v>
      </c>
    </row>
    <row r="136" spans="2:4">
      <c r="B136" t="s">
        <v>345</v>
      </c>
      <c r="C136" s="104">
        <v>2003</v>
      </c>
      <c r="D136" s="103">
        <v>216811</v>
      </c>
    </row>
    <row r="137" spans="2:4">
      <c r="B137" t="s">
        <v>345</v>
      </c>
      <c r="C137" s="104">
        <v>2004</v>
      </c>
      <c r="D137" s="103">
        <v>253021</v>
      </c>
    </row>
    <row r="138" spans="2:4">
      <c r="B138" t="s">
        <v>345</v>
      </c>
      <c r="C138" s="104">
        <v>2005</v>
      </c>
      <c r="D138" s="103">
        <v>303976</v>
      </c>
    </row>
    <row r="139" spans="2:4">
      <c r="B139" t="s">
        <v>345</v>
      </c>
      <c r="C139" s="104">
        <v>2006</v>
      </c>
      <c r="D139" s="103">
        <v>341670</v>
      </c>
    </row>
    <row r="140" spans="2:4">
      <c r="B140" t="s">
        <v>345</v>
      </c>
      <c r="C140" s="104">
        <v>2007</v>
      </c>
      <c r="D140" s="103">
        <v>425321</v>
      </c>
    </row>
    <row r="141" spans="2:4">
      <c r="B141" t="s">
        <v>345</v>
      </c>
      <c r="C141" s="104">
        <v>2008</v>
      </c>
      <c r="D141" s="103">
        <v>529432</v>
      </c>
    </row>
    <row r="142" spans="2:4">
      <c r="B142" t="s">
        <v>345</v>
      </c>
      <c r="C142" s="104">
        <v>2009</v>
      </c>
      <c r="D142" s="103">
        <v>431457</v>
      </c>
    </row>
    <row r="143" spans="2:4">
      <c r="B143" t="s">
        <v>344</v>
      </c>
      <c r="C143" s="104">
        <v>2000</v>
      </c>
      <c r="D143" s="103">
        <v>259702</v>
      </c>
    </row>
    <row r="144" spans="2:4">
      <c r="B144" t="s">
        <v>344</v>
      </c>
      <c r="C144" s="104">
        <v>2001</v>
      </c>
      <c r="D144" s="103">
        <v>306583</v>
      </c>
    </row>
    <row r="145" spans="2:4">
      <c r="B145" t="s">
        <v>344</v>
      </c>
      <c r="C145" s="104">
        <v>2002</v>
      </c>
      <c r="D145" s="103">
        <v>345125</v>
      </c>
    </row>
    <row r="146" spans="2:4">
      <c r="B146" t="s">
        <v>344</v>
      </c>
      <c r="C146" s="104">
        <v>2003</v>
      </c>
      <c r="D146" s="103">
        <v>430289</v>
      </c>
    </row>
    <row r="147" spans="2:4">
      <c r="B147" t="s">
        <v>344</v>
      </c>
      <c r="C147" s="104">
        <v>2004</v>
      </c>
      <c r="D147" s="103">
        <v>591177</v>
      </c>
    </row>
    <row r="148" spans="2:4">
      <c r="B148" t="s">
        <v>344</v>
      </c>
      <c r="C148" s="104">
        <v>2005</v>
      </c>
      <c r="D148" s="103">
        <v>763704</v>
      </c>
    </row>
    <row r="149" spans="2:4">
      <c r="B149" t="s">
        <v>344</v>
      </c>
      <c r="C149" s="104">
        <v>2006</v>
      </c>
      <c r="D149" s="103">
        <v>989932</v>
      </c>
    </row>
    <row r="150" spans="2:4">
      <c r="B150" t="s">
        <v>344</v>
      </c>
      <c r="C150" s="104">
        <v>2007</v>
      </c>
      <c r="D150" s="103">
        <v>1299703</v>
      </c>
    </row>
    <row r="151" spans="2:4">
      <c r="B151" t="s">
        <v>344</v>
      </c>
      <c r="C151" s="104">
        <v>2008</v>
      </c>
      <c r="D151" s="103">
        <v>1660846</v>
      </c>
    </row>
    <row r="152" spans="2:4">
      <c r="B152" t="s">
        <v>344</v>
      </c>
      <c r="C152" s="104">
        <v>2009</v>
      </c>
      <c r="D152" s="103">
        <v>1222645</v>
      </c>
    </row>
    <row r="153" spans="2:4">
      <c r="B153" t="s">
        <v>343</v>
      </c>
      <c r="C153" s="104">
        <v>2000</v>
      </c>
      <c r="D153" s="103">
        <v>533385</v>
      </c>
    </row>
    <row r="154" spans="2:4">
      <c r="B154" t="s">
        <v>343</v>
      </c>
      <c r="C154" s="104">
        <v>2001</v>
      </c>
      <c r="D154" s="103">
        <v>504584</v>
      </c>
    </row>
    <row r="155" spans="2:4">
      <c r="B155" t="s">
        <v>343</v>
      </c>
      <c r="C155" s="104">
        <v>2002</v>
      </c>
      <c r="D155" s="103">
        <v>575930</v>
      </c>
    </row>
    <row r="156" spans="2:4">
      <c r="B156" t="s">
        <v>343</v>
      </c>
      <c r="C156" s="104">
        <v>2003</v>
      </c>
      <c r="D156" s="103">
        <v>643760</v>
      </c>
    </row>
    <row r="157" spans="2:4">
      <c r="B157" t="s">
        <v>343</v>
      </c>
      <c r="C157" s="104">
        <v>2004</v>
      </c>
      <c r="D157" s="103">
        <v>721976</v>
      </c>
    </row>
    <row r="158" spans="2:4">
      <c r="B158" t="s">
        <v>343</v>
      </c>
      <c r="C158" s="104">
        <v>2005</v>
      </c>
      <c r="D158" s="103">
        <v>844866</v>
      </c>
    </row>
    <row r="159" spans="2:4">
      <c r="B159" t="s">
        <v>343</v>
      </c>
      <c r="C159" s="104">
        <v>2006</v>
      </c>
      <c r="D159" s="103">
        <v>951773</v>
      </c>
    </row>
    <row r="160" spans="2:4">
      <c r="B160" t="s">
        <v>343</v>
      </c>
      <c r="C160" s="104">
        <v>2007</v>
      </c>
      <c r="D160" s="103">
        <v>1049239</v>
      </c>
    </row>
    <row r="161" spans="2:4">
      <c r="B161" t="s">
        <v>343</v>
      </c>
      <c r="C161" s="104">
        <v>2008</v>
      </c>
      <c r="D161" s="103">
        <v>931405</v>
      </c>
    </row>
    <row r="162" spans="2:4">
      <c r="B162" t="s">
        <v>343</v>
      </c>
      <c r="C162" s="104">
        <v>2009</v>
      </c>
      <c r="D162" s="103">
        <v>834060</v>
      </c>
    </row>
    <row r="163" spans="2:4">
      <c r="B163" t="s">
        <v>342</v>
      </c>
      <c r="C163" s="104">
        <v>2000</v>
      </c>
      <c r="D163" s="103">
        <v>582048</v>
      </c>
    </row>
    <row r="164" spans="2:4">
      <c r="B164" t="s">
        <v>342</v>
      </c>
      <c r="C164" s="104">
        <v>2001</v>
      </c>
      <c r="D164" s="103">
        <v>609379</v>
      </c>
    </row>
    <row r="165" spans="2:4">
      <c r="B165" t="s">
        <v>342</v>
      </c>
      <c r="C165" s="104">
        <v>2002</v>
      </c>
      <c r="D165" s="103">
        <v>688725</v>
      </c>
    </row>
    <row r="166" spans="2:4">
      <c r="B166" t="s">
        <v>342</v>
      </c>
      <c r="C166" s="104">
        <v>2003</v>
      </c>
      <c r="D166" s="103">
        <v>885531</v>
      </c>
    </row>
    <row r="167" spans="2:4">
      <c r="B167" t="s">
        <v>342</v>
      </c>
      <c r="C167" s="104">
        <v>2004</v>
      </c>
      <c r="D167" s="103">
        <v>1045984</v>
      </c>
    </row>
    <row r="168" spans="2:4">
      <c r="B168" t="s">
        <v>342</v>
      </c>
      <c r="C168" s="104">
        <v>2005</v>
      </c>
      <c r="D168" s="103">
        <v>1132763</v>
      </c>
    </row>
    <row r="169" spans="2:4">
      <c r="B169" t="s">
        <v>342</v>
      </c>
      <c r="C169" s="104">
        <v>2006</v>
      </c>
      <c r="D169" s="103">
        <v>1237501</v>
      </c>
    </row>
    <row r="170" spans="2:4">
      <c r="B170" t="s">
        <v>342</v>
      </c>
      <c r="C170" s="104">
        <v>2007</v>
      </c>
      <c r="D170" s="103">
        <v>1443500</v>
      </c>
    </row>
    <row r="171" spans="2:4">
      <c r="B171" t="s">
        <v>342</v>
      </c>
      <c r="C171" s="104">
        <v>2008</v>
      </c>
      <c r="D171" s="103">
        <v>1600913</v>
      </c>
    </row>
    <row r="172" spans="2:4">
      <c r="B172" t="s">
        <v>342</v>
      </c>
      <c r="C172" s="104">
        <v>2009</v>
      </c>
      <c r="D172" s="103">
        <v>1458111</v>
      </c>
    </row>
    <row r="173" spans="2:4">
      <c r="B173" t="s">
        <v>341</v>
      </c>
      <c r="C173" s="104">
        <v>2000</v>
      </c>
      <c r="D173" s="103">
        <v>256036</v>
      </c>
    </row>
    <row r="174" spans="2:4">
      <c r="B174" t="s">
        <v>341</v>
      </c>
      <c r="C174" s="104">
        <v>2001</v>
      </c>
      <c r="D174" s="103">
        <v>262645</v>
      </c>
    </row>
    <row r="175" spans="2:4">
      <c r="B175" t="s">
        <v>341</v>
      </c>
      <c r="C175" s="104">
        <v>2002</v>
      </c>
      <c r="D175" s="103">
        <v>286657</v>
      </c>
    </row>
    <row r="176" spans="2:4">
      <c r="B176" t="s">
        <v>341</v>
      </c>
      <c r="C176" s="104">
        <v>2003</v>
      </c>
      <c r="D176" s="103">
        <v>334587</v>
      </c>
    </row>
    <row r="177" spans="2:4">
      <c r="B177" t="s">
        <v>341</v>
      </c>
      <c r="C177" s="104">
        <v>2004</v>
      </c>
      <c r="D177" s="103">
        <v>374226</v>
      </c>
    </row>
    <row r="178" spans="2:4">
      <c r="B178" t="s">
        <v>341</v>
      </c>
      <c r="C178" s="104">
        <v>2005</v>
      </c>
      <c r="D178" s="103">
        <v>384755</v>
      </c>
    </row>
    <row r="179" spans="2:4">
      <c r="B179" t="s">
        <v>341</v>
      </c>
      <c r="C179" s="104">
        <v>2006</v>
      </c>
      <c r="D179" s="103">
        <v>405183</v>
      </c>
    </row>
    <row r="180" spans="2:4">
      <c r="B180" t="s">
        <v>341</v>
      </c>
      <c r="C180" s="104">
        <v>2007</v>
      </c>
      <c r="D180" s="103">
        <v>450530</v>
      </c>
    </row>
    <row r="181" spans="2:4">
      <c r="B181" t="s">
        <v>341</v>
      </c>
      <c r="C181" s="104">
        <v>2008</v>
      </c>
      <c r="D181" s="103">
        <v>524289</v>
      </c>
    </row>
    <row r="182" spans="2:4">
      <c r="B182" t="s">
        <v>341</v>
      </c>
      <c r="C182" s="104">
        <v>2009</v>
      </c>
      <c r="D182" s="103">
        <v>509466</v>
      </c>
    </row>
    <row r="183" spans="2:4">
      <c r="B183" t="s">
        <v>340</v>
      </c>
      <c r="C183" s="104">
        <v>2000</v>
      </c>
      <c r="D183" s="103">
        <v>266560</v>
      </c>
    </row>
    <row r="184" spans="2:4">
      <c r="B184" t="s">
        <v>340</v>
      </c>
      <c r="C184" s="104">
        <v>2001</v>
      </c>
      <c r="D184" s="103">
        <v>196007</v>
      </c>
    </row>
    <row r="185" spans="2:4">
      <c r="B185" t="s">
        <v>340</v>
      </c>
      <c r="C185" s="104">
        <v>2002</v>
      </c>
      <c r="D185" s="103">
        <v>232530</v>
      </c>
    </row>
    <row r="186" spans="2:4">
      <c r="B186" t="s">
        <v>340</v>
      </c>
      <c r="C186" s="104">
        <v>2003</v>
      </c>
      <c r="D186" s="103">
        <v>303008</v>
      </c>
    </row>
    <row r="187" spans="2:4">
      <c r="B187" t="s">
        <v>340</v>
      </c>
      <c r="C187" s="104">
        <v>2004</v>
      </c>
      <c r="D187" s="103">
        <v>392156</v>
      </c>
    </row>
    <row r="188" spans="2:4">
      <c r="B188" t="s">
        <v>340</v>
      </c>
      <c r="C188" s="104">
        <v>2005</v>
      </c>
      <c r="D188" s="103">
        <v>482986</v>
      </c>
    </row>
    <row r="189" spans="2:4">
      <c r="B189" t="s">
        <v>340</v>
      </c>
      <c r="C189" s="104">
        <v>2006</v>
      </c>
      <c r="D189" s="103">
        <v>530917</v>
      </c>
    </row>
    <row r="190" spans="2:4">
      <c r="B190" t="s">
        <v>340</v>
      </c>
      <c r="C190" s="104">
        <v>2007</v>
      </c>
      <c r="D190" s="103">
        <v>647140</v>
      </c>
    </row>
    <row r="191" spans="2:4">
      <c r="B191" t="s">
        <v>340</v>
      </c>
      <c r="C191" s="104">
        <v>2008</v>
      </c>
      <c r="D191" s="103">
        <v>730325</v>
      </c>
    </row>
    <row r="192" spans="2:4">
      <c r="B192" t="s">
        <v>340</v>
      </c>
      <c r="C192" s="104">
        <v>2009</v>
      </c>
      <c r="D192" s="103">
        <v>614570</v>
      </c>
    </row>
    <row r="193" spans="2:4">
      <c r="B193" t="s">
        <v>339</v>
      </c>
      <c r="C193" s="104">
        <v>2000</v>
      </c>
      <c r="D193" s="103">
        <v>1496606</v>
      </c>
    </row>
    <row r="194" spans="2:4">
      <c r="B194" t="s">
        <v>339</v>
      </c>
      <c r="C194" s="104">
        <v>2001</v>
      </c>
      <c r="D194" s="103">
        <v>1485657</v>
      </c>
    </row>
    <row r="195" spans="2:4">
      <c r="B195" t="s">
        <v>339</v>
      </c>
      <c r="C195" s="104">
        <v>2002</v>
      </c>
      <c r="D195" s="103">
        <v>1623558</v>
      </c>
    </row>
    <row r="196" spans="2:4">
      <c r="B196" t="s">
        <v>339</v>
      </c>
      <c r="C196" s="104">
        <v>2003</v>
      </c>
      <c r="D196" s="103">
        <v>1877117</v>
      </c>
    </row>
    <row r="197" spans="2:4">
      <c r="B197" t="s">
        <v>339</v>
      </c>
      <c r="C197" s="104">
        <v>2004</v>
      </c>
      <c r="D197" s="103">
        <v>2221915</v>
      </c>
    </row>
    <row r="198" spans="2:4">
      <c r="B198" t="s">
        <v>339</v>
      </c>
      <c r="C198" s="104">
        <v>2005</v>
      </c>
      <c r="D198" s="103">
        <v>2324184</v>
      </c>
    </row>
    <row r="199" spans="2:4">
      <c r="B199" t="s">
        <v>339</v>
      </c>
      <c r="C199" s="104">
        <v>2006</v>
      </c>
      <c r="D199" s="103">
        <v>2486598</v>
      </c>
    </row>
    <row r="200" spans="2:4">
      <c r="B200" t="s">
        <v>339</v>
      </c>
      <c r="C200" s="104">
        <v>2007</v>
      </c>
      <c r="D200" s="103">
        <v>2858176</v>
      </c>
    </row>
    <row r="201" spans="2:4">
      <c r="B201" t="s">
        <v>339</v>
      </c>
      <c r="C201" s="104">
        <v>2008</v>
      </c>
      <c r="D201" s="103">
        <v>2709573</v>
      </c>
    </row>
    <row r="202" spans="2:4">
      <c r="B202" t="s">
        <v>339</v>
      </c>
      <c r="C202" s="104">
        <v>2009</v>
      </c>
      <c r="D202" s="103">
        <v>2217427</v>
      </c>
    </row>
    <row r="203" spans="2:4">
      <c r="B203" t="s">
        <v>338</v>
      </c>
      <c r="C203" s="104">
        <v>2000</v>
      </c>
      <c r="D203" s="103">
        <v>10289725</v>
      </c>
    </row>
    <row r="204" spans="2:4">
      <c r="B204" t="s">
        <v>338</v>
      </c>
      <c r="C204" s="104">
        <v>2001</v>
      </c>
      <c r="D204" s="103">
        <v>10625275</v>
      </c>
    </row>
    <row r="205" spans="2:4">
      <c r="B205" t="s">
        <v>338</v>
      </c>
      <c r="C205" s="104">
        <v>2002</v>
      </c>
      <c r="D205" s="103">
        <v>10980200</v>
      </c>
    </row>
    <row r="206" spans="2:4">
      <c r="B206" t="s">
        <v>338</v>
      </c>
      <c r="C206" s="104">
        <v>2003</v>
      </c>
      <c r="D206" s="103">
        <v>11512275</v>
      </c>
    </row>
    <row r="207" spans="2:4">
      <c r="B207" t="s">
        <v>338</v>
      </c>
      <c r="C207" s="104">
        <v>2004</v>
      </c>
      <c r="D207" s="103">
        <v>12277025</v>
      </c>
    </row>
    <row r="208" spans="2:4">
      <c r="B208" t="s">
        <v>338</v>
      </c>
      <c r="C208" s="104">
        <v>2005</v>
      </c>
      <c r="D208" s="103">
        <v>13095425</v>
      </c>
    </row>
    <row r="209" spans="2:4">
      <c r="B209" t="s">
        <v>338</v>
      </c>
      <c r="C209" s="104">
        <v>2006</v>
      </c>
      <c r="D209" s="103">
        <v>13857900</v>
      </c>
    </row>
    <row r="210" spans="2:4">
      <c r="B210" t="s">
        <v>338</v>
      </c>
      <c r="C210" s="104">
        <v>2007</v>
      </c>
      <c r="D210" s="103">
        <v>14480350</v>
      </c>
    </row>
    <row r="211" spans="2:4">
      <c r="B211" t="s">
        <v>338</v>
      </c>
      <c r="C211" s="104">
        <v>2008</v>
      </c>
      <c r="D211" s="103">
        <v>14720250</v>
      </c>
    </row>
    <row r="212" spans="2:4">
      <c r="B212" t="s">
        <v>338</v>
      </c>
      <c r="C212" s="104">
        <v>2009</v>
      </c>
      <c r="D212" s="103">
        <v>14417950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H21" sqref="H21"/>
    </sheetView>
  </sheetViews>
  <sheetFormatPr defaultRowHeight="15"/>
  <cols>
    <col min="1" max="1" width="5.140625" customWidth="1"/>
    <col min="2" max="2" width="20.28515625" bestFit="1" customWidth="1"/>
    <col min="3" max="3" width="22.5703125" bestFit="1" customWidth="1"/>
    <col min="4" max="4" width="8.42578125" bestFit="1" customWidth="1"/>
    <col min="5" max="5" width="11.7109375" customWidth="1"/>
    <col min="6" max="6" width="8.140625" bestFit="1" customWidth="1"/>
    <col min="8" max="8" width="16.5703125" bestFit="1" customWidth="1"/>
  </cols>
  <sheetData>
    <row r="2" spans="2:9">
      <c r="B2" s="97" t="s">
        <v>412</v>
      </c>
      <c r="C2" s="97" t="s">
        <v>411</v>
      </c>
      <c r="D2" s="97" t="s">
        <v>410</v>
      </c>
      <c r="E2" s="97" t="s">
        <v>409</v>
      </c>
      <c r="F2" s="97" t="s">
        <v>408</v>
      </c>
    </row>
    <row r="3" spans="2:9">
      <c r="B3" t="s">
        <v>402</v>
      </c>
      <c r="C3" t="s">
        <v>407</v>
      </c>
      <c r="D3" t="s">
        <v>382</v>
      </c>
      <c r="E3" s="107">
        <v>1.289699074074074E-3</v>
      </c>
      <c r="F3" t="s">
        <v>381</v>
      </c>
      <c r="H3" t="s">
        <v>406</v>
      </c>
      <c r="I3" s="108" t="s">
        <v>405</v>
      </c>
    </row>
    <row r="4" spans="2:9">
      <c r="B4" t="s">
        <v>402</v>
      </c>
      <c r="C4" t="s">
        <v>404</v>
      </c>
      <c r="D4" t="s">
        <v>382</v>
      </c>
      <c r="E4" s="107">
        <v>1.2971064814814815E-3</v>
      </c>
      <c r="F4" t="s">
        <v>379</v>
      </c>
      <c r="H4" t="s">
        <v>403</v>
      </c>
      <c r="I4" s="108" t="s">
        <v>379</v>
      </c>
    </row>
    <row r="5" spans="2:9">
      <c r="B5" t="s">
        <v>402</v>
      </c>
      <c r="C5" t="s">
        <v>401</v>
      </c>
      <c r="D5" t="s">
        <v>376</v>
      </c>
      <c r="E5" s="107">
        <v>1.3009259259259259E-3</v>
      </c>
      <c r="F5" t="s">
        <v>375</v>
      </c>
      <c r="H5" t="s">
        <v>371</v>
      </c>
      <c r="I5">
        <f>COUNTIFS(C3:C20,"*"&amp;I3&amp;"*",F3:F20,I4)</f>
        <v>3</v>
      </c>
    </row>
    <row r="6" spans="2:9">
      <c r="B6" t="s">
        <v>398</v>
      </c>
      <c r="C6" t="s">
        <v>400</v>
      </c>
      <c r="D6" t="s">
        <v>399</v>
      </c>
      <c r="E6" s="107">
        <v>1.2646990740740741E-3</v>
      </c>
      <c r="F6" t="s">
        <v>381</v>
      </c>
      <c r="H6" t="s">
        <v>367</v>
      </c>
      <c r="I6">
        <f>SUMPRODUCT((NOT(ISERR(FIND(I3,C3:C20))))*(F3:F20=I4))</f>
        <v>3</v>
      </c>
    </row>
    <row r="7" spans="2:9">
      <c r="B7" t="s">
        <v>398</v>
      </c>
      <c r="C7" t="s">
        <v>396</v>
      </c>
      <c r="D7" t="s">
        <v>395</v>
      </c>
      <c r="E7" s="107">
        <v>1.276388888888889E-3</v>
      </c>
      <c r="F7" t="s">
        <v>379</v>
      </c>
    </row>
    <row r="8" spans="2:9">
      <c r="B8" t="s">
        <v>398</v>
      </c>
      <c r="C8" t="s">
        <v>397</v>
      </c>
      <c r="D8" t="s">
        <v>395</v>
      </c>
      <c r="E8" s="107">
        <v>1.2766203703703705E-3</v>
      </c>
      <c r="F8" t="s">
        <v>375</v>
      </c>
      <c r="H8" t="str">
        <f>MID($C$8,ROW(),1)</f>
        <v>T</v>
      </c>
      <c r="I8">
        <f>CODE(H8)</f>
        <v>84</v>
      </c>
    </row>
    <row r="9" spans="2:9">
      <c r="B9" t="s">
        <v>393</v>
      </c>
      <c r="C9" t="s">
        <v>396</v>
      </c>
      <c r="D9" t="s">
        <v>395</v>
      </c>
      <c r="E9" s="107">
        <v>2.1946759259259259E-3</v>
      </c>
      <c r="F9" t="s">
        <v>381</v>
      </c>
      <c r="H9" t="str">
        <f>MID($C$8,ROW(),1)</f>
        <v>h</v>
      </c>
      <c r="I9">
        <f>CODE(H9)</f>
        <v>104</v>
      </c>
    </row>
    <row r="10" spans="2:9">
      <c r="B10" t="s">
        <v>393</v>
      </c>
      <c r="C10" t="s">
        <v>394</v>
      </c>
      <c r="D10" t="s">
        <v>382</v>
      </c>
      <c r="E10" s="107">
        <v>2.2077546296296294E-3</v>
      </c>
      <c r="F10" t="s">
        <v>379</v>
      </c>
      <c r="H10" t="str">
        <f>MID($C$8,ROW(),1)</f>
        <v>ö</v>
      </c>
      <c r="I10">
        <f>CODE(H10)</f>
        <v>246</v>
      </c>
    </row>
    <row r="11" spans="2:9">
      <c r="B11" t="s">
        <v>393</v>
      </c>
      <c r="C11" t="s">
        <v>392</v>
      </c>
      <c r="D11" t="s">
        <v>382</v>
      </c>
      <c r="E11" s="107">
        <v>2.2105324074074072E-3</v>
      </c>
      <c r="F11" t="s">
        <v>375</v>
      </c>
      <c r="H11" t="str">
        <f>MID($C$8,ROW(),1)</f>
        <v>n</v>
      </c>
      <c r="I11">
        <f>CODE(H11)</f>
        <v>110</v>
      </c>
    </row>
    <row r="12" spans="2:9">
      <c r="B12" t="s">
        <v>391</v>
      </c>
      <c r="C12" t="s">
        <v>383</v>
      </c>
      <c r="D12" t="s">
        <v>382</v>
      </c>
      <c r="E12" s="107">
        <v>1.1189814814814814E-3</v>
      </c>
      <c r="F12" t="s">
        <v>381</v>
      </c>
      <c r="H12" t="str">
        <f>MID($C$8,ROW(),1)</f>
        <v>i</v>
      </c>
      <c r="I12">
        <f>CODE(H12)</f>
        <v>105</v>
      </c>
    </row>
    <row r="13" spans="2:9">
      <c r="B13" t="s">
        <v>391</v>
      </c>
      <c r="C13" t="s">
        <v>380</v>
      </c>
      <c r="D13" t="s">
        <v>376</v>
      </c>
      <c r="E13" s="107">
        <v>1.1226851851851851E-3</v>
      </c>
      <c r="F13" t="s">
        <v>379</v>
      </c>
      <c r="H13" t="str">
        <f>MID($C$8,ROW(),1)</f>
        <v/>
      </c>
    </row>
    <row r="14" spans="2:9">
      <c r="B14" t="s">
        <v>391</v>
      </c>
      <c r="C14" t="s">
        <v>390</v>
      </c>
      <c r="D14" t="s">
        <v>388</v>
      </c>
      <c r="E14" s="107">
        <v>1.1305555555555557E-3</v>
      </c>
      <c r="F14" t="s">
        <v>375</v>
      </c>
    </row>
    <row r="15" spans="2:9">
      <c r="B15" t="s">
        <v>386</v>
      </c>
      <c r="C15" t="s">
        <v>389</v>
      </c>
      <c r="D15" t="s">
        <v>388</v>
      </c>
      <c r="E15" s="107">
        <v>1.0560185185185184E-3</v>
      </c>
      <c r="F15" t="s">
        <v>381</v>
      </c>
    </row>
    <row r="16" spans="2:9">
      <c r="B16" t="s">
        <v>386</v>
      </c>
      <c r="C16" t="s">
        <v>387</v>
      </c>
      <c r="D16" t="s">
        <v>384</v>
      </c>
      <c r="E16" s="107">
        <v>1.0562499999999999E-3</v>
      </c>
      <c r="F16" t="s">
        <v>379</v>
      </c>
    </row>
    <row r="17" spans="2:6">
      <c r="B17" t="s">
        <v>386</v>
      </c>
      <c r="C17" t="s">
        <v>385</v>
      </c>
      <c r="D17" t="s">
        <v>384</v>
      </c>
      <c r="E17" s="107">
        <v>1.0728009259259258E-3</v>
      </c>
      <c r="F17" t="s">
        <v>375</v>
      </c>
    </row>
    <row r="18" spans="2:6">
      <c r="B18" t="s">
        <v>378</v>
      </c>
      <c r="C18" t="s">
        <v>383</v>
      </c>
      <c r="D18" t="s">
        <v>382</v>
      </c>
      <c r="E18" s="107">
        <v>1.0405092592592593E-3</v>
      </c>
      <c r="F18" t="s">
        <v>381</v>
      </c>
    </row>
    <row r="19" spans="2:6">
      <c r="B19" t="s">
        <v>378</v>
      </c>
      <c r="C19" t="s">
        <v>380</v>
      </c>
      <c r="D19" t="s">
        <v>376</v>
      </c>
      <c r="E19" s="107">
        <v>1.0503472222222223E-3</v>
      </c>
      <c r="F19" t="s">
        <v>379</v>
      </c>
    </row>
    <row r="20" spans="2:6">
      <c r="B20" t="s">
        <v>378</v>
      </c>
      <c r="C20" t="s">
        <v>377</v>
      </c>
      <c r="D20" t="s">
        <v>376</v>
      </c>
      <c r="E20" s="107">
        <v>1.0688657407407407E-3</v>
      </c>
      <c r="F20" t="s">
        <v>375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H21" sqref="H21"/>
    </sheetView>
  </sheetViews>
  <sheetFormatPr defaultRowHeight="15"/>
  <cols>
    <col min="1" max="1" width="5.140625" customWidth="1"/>
    <col min="2" max="2" width="20.28515625" bestFit="1" customWidth="1"/>
    <col min="3" max="3" width="22.5703125" bestFit="1" customWidth="1"/>
    <col min="4" max="4" width="8.42578125" bestFit="1" customWidth="1"/>
    <col min="5" max="5" width="11.28515625" customWidth="1"/>
    <col min="6" max="6" width="8.140625" bestFit="1" customWidth="1"/>
    <col min="8" max="8" width="18.85546875" bestFit="1" customWidth="1"/>
  </cols>
  <sheetData>
    <row r="2" spans="2:9">
      <c r="B2" s="97" t="s">
        <v>412</v>
      </c>
      <c r="C2" s="97" t="s">
        <v>411</v>
      </c>
      <c r="D2" s="97" t="s">
        <v>410</v>
      </c>
      <c r="E2" s="97" t="s">
        <v>409</v>
      </c>
      <c r="F2" s="97" t="s">
        <v>408</v>
      </c>
    </row>
    <row r="3" spans="2:9">
      <c r="B3" t="s">
        <v>402</v>
      </c>
      <c r="C3" t="s">
        <v>407</v>
      </c>
      <c r="D3" t="s">
        <v>382</v>
      </c>
      <c r="E3" s="107">
        <v>1.289699074074074E-3</v>
      </c>
      <c r="F3" t="s">
        <v>381</v>
      </c>
      <c r="H3" t="s">
        <v>363</v>
      </c>
      <c r="I3" s="108" t="s">
        <v>382</v>
      </c>
    </row>
    <row r="4" spans="2:9">
      <c r="B4" t="s">
        <v>402</v>
      </c>
      <c r="C4" t="s">
        <v>404</v>
      </c>
      <c r="D4" t="s">
        <v>382</v>
      </c>
      <c r="E4" s="107">
        <v>1.2971064814814815E-3</v>
      </c>
      <c r="F4" t="s">
        <v>379</v>
      </c>
      <c r="I4" s="12"/>
    </row>
    <row r="5" spans="2:9">
      <c r="B5" t="s">
        <v>402</v>
      </c>
      <c r="C5" t="s">
        <v>401</v>
      </c>
      <c r="D5" t="s">
        <v>376</v>
      </c>
      <c r="E5" s="107">
        <v>1.3009259259259259E-3</v>
      </c>
      <c r="F5" t="s">
        <v>375</v>
      </c>
      <c r="H5" t="s">
        <v>414</v>
      </c>
      <c r="I5" s="109">
        <f>AVERAGEIF(D3:D20,I3,E3:E20)</f>
        <v>1.5274305555555555E-3</v>
      </c>
    </row>
    <row r="6" spans="2:9">
      <c r="B6" t="s">
        <v>398</v>
      </c>
      <c r="C6" t="s">
        <v>400</v>
      </c>
      <c r="D6" t="s">
        <v>399</v>
      </c>
      <c r="E6" s="107">
        <v>1.2646990740740741E-3</v>
      </c>
      <c r="F6" t="s">
        <v>381</v>
      </c>
      <c r="H6" t="s">
        <v>413</v>
      </c>
      <c r="I6" s="109">
        <f>SUMIF(D3:D20,I3,E3:E20)/COUNTIF(D3:D20,I3)</f>
        <v>1.5274305555555555E-3</v>
      </c>
    </row>
    <row r="7" spans="2:9">
      <c r="B7" t="s">
        <v>398</v>
      </c>
      <c r="C7" t="s">
        <v>396</v>
      </c>
      <c r="D7" t="s">
        <v>395</v>
      </c>
      <c r="E7" s="107">
        <v>1.276388888888889E-3</v>
      </c>
      <c r="F7" t="s">
        <v>379</v>
      </c>
    </row>
    <row r="8" spans="2:9">
      <c r="B8" t="s">
        <v>398</v>
      </c>
      <c r="C8" t="s">
        <v>397</v>
      </c>
      <c r="D8" t="s">
        <v>395</v>
      </c>
      <c r="E8" s="107">
        <v>1.2766203703703705E-3</v>
      </c>
      <c r="F8" t="s">
        <v>375</v>
      </c>
    </row>
    <row r="9" spans="2:9">
      <c r="B9" t="s">
        <v>393</v>
      </c>
      <c r="C9" t="s">
        <v>396</v>
      </c>
      <c r="D9" t="s">
        <v>395</v>
      </c>
      <c r="E9" s="107">
        <v>2.1946759259259259E-3</v>
      </c>
      <c r="F9" t="s">
        <v>381</v>
      </c>
    </row>
    <row r="10" spans="2:9">
      <c r="B10" t="s">
        <v>393</v>
      </c>
      <c r="C10" t="s">
        <v>394</v>
      </c>
      <c r="D10" t="s">
        <v>382</v>
      </c>
      <c r="E10" s="107">
        <v>2.2077546296296294E-3</v>
      </c>
      <c r="F10" t="s">
        <v>379</v>
      </c>
    </row>
    <row r="11" spans="2:9">
      <c r="B11" t="s">
        <v>393</v>
      </c>
      <c r="C11" t="s">
        <v>392</v>
      </c>
      <c r="D11" t="s">
        <v>382</v>
      </c>
      <c r="E11" s="107">
        <v>2.2105324074074072E-3</v>
      </c>
      <c r="F11" t="s">
        <v>375</v>
      </c>
    </row>
    <row r="12" spans="2:9">
      <c r="B12" t="s">
        <v>391</v>
      </c>
      <c r="C12" t="s">
        <v>383</v>
      </c>
      <c r="D12" t="s">
        <v>382</v>
      </c>
      <c r="E12" s="107">
        <v>1.1189814814814814E-3</v>
      </c>
      <c r="F12" t="s">
        <v>381</v>
      </c>
    </row>
    <row r="13" spans="2:9">
      <c r="B13" t="s">
        <v>391</v>
      </c>
      <c r="C13" t="s">
        <v>380</v>
      </c>
      <c r="D13" t="s">
        <v>376</v>
      </c>
      <c r="E13" s="107">
        <v>1.1226851851851851E-3</v>
      </c>
      <c r="F13" t="s">
        <v>379</v>
      </c>
    </row>
    <row r="14" spans="2:9">
      <c r="B14" t="s">
        <v>391</v>
      </c>
      <c r="C14" t="s">
        <v>390</v>
      </c>
      <c r="D14" t="s">
        <v>388</v>
      </c>
      <c r="E14" s="107">
        <v>1.1305555555555557E-3</v>
      </c>
      <c r="F14" t="s">
        <v>375</v>
      </c>
    </row>
    <row r="15" spans="2:9">
      <c r="B15" t="s">
        <v>386</v>
      </c>
      <c r="C15" t="s">
        <v>389</v>
      </c>
      <c r="D15" t="s">
        <v>388</v>
      </c>
      <c r="E15" s="107">
        <v>1.0560185185185184E-3</v>
      </c>
      <c r="F15" t="s">
        <v>381</v>
      </c>
    </row>
    <row r="16" spans="2:9">
      <c r="B16" t="s">
        <v>386</v>
      </c>
      <c r="C16" t="s">
        <v>387</v>
      </c>
      <c r="D16" t="s">
        <v>384</v>
      </c>
      <c r="E16" s="107">
        <v>1.0562499999999999E-3</v>
      </c>
      <c r="F16" t="s">
        <v>379</v>
      </c>
    </row>
    <row r="17" spans="2:6">
      <c r="B17" t="s">
        <v>386</v>
      </c>
      <c r="C17" t="s">
        <v>385</v>
      </c>
      <c r="D17" t="s">
        <v>384</v>
      </c>
      <c r="E17" s="107">
        <v>1.0728009259259258E-3</v>
      </c>
      <c r="F17" t="s">
        <v>375</v>
      </c>
    </row>
    <row r="18" spans="2:6">
      <c r="B18" t="s">
        <v>378</v>
      </c>
      <c r="C18" t="s">
        <v>383</v>
      </c>
      <c r="D18" t="s">
        <v>382</v>
      </c>
      <c r="E18" s="107">
        <v>1.0405092592592593E-3</v>
      </c>
      <c r="F18" t="s">
        <v>381</v>
      </c>
    </row>
    <row r="19" spans="2:6">
      <c r="B19" t="s">
        <v>378</v>
      </c>
      <c r="C19" t="s">
        <v>380</v>
      </c>
      <c r="D19" t="s">
        <v>376</v>
      </c>
      <c r="E19" s="107">
        <v>1.0503472222222223E-3</v>
      </c>
      <c r="F19" t="s">
        <v>379</v>
      </c>
    </row>
    <row r="20" spans="2:6">
      <c r="B20" t="s">
        <v>378</v>
      </c>
      <c r="C20" t="s">
        <v>377</v>
      </c>
      <c r="D20" t="s">
        <v>376</v>
      </c>
      <c r="E20" s="107">
        <v>1.0688657407407407E-3</v>
      </c>
      <c r="F20" t="s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I20"/>
  <sheetViews>
    <sheetView workbookViewId="0">
      <selection activeCell="H21" sqref="H21"/>
    </sheetView>
  </sheetViews>
  <sheetFormatPr defaultRowHeight="15"/>
  <cols>
    <col min="1" max="1" width="5.140625" customWidth="1"/>
    <col min="2" max="2" width="20.28515625" bestFit="1" customWidth="1"/>
    <col min="3" max="3" width="22.5703125" bestFit="1" customWidth="1"/>
    <col min="4" max="4" width="8.42578125" bestFit="1" customWidth="1"/>
    <col min="5" max="5" width="10.5703125" customWidth="1"/>
    <col min="6" max="6" width="8.140625" bestFit="1" customWidth="1"/>
    <col min="8" max="8" width="18.85546875" bestFit="1" customWidth="1"/>
  </cols>
  <sheetData>
    <row r="2" spans="2:9">
      <c r="B2" s="97" t="s">
        <v>412</v>
      </c>
      <c r="C2" s="97" t="s">
        <v>411</v>
      </c>
      <c r="D2" s="97" t="s">
        <v>410</v>
      </c>
      <c r="E2" s="97" t="s">
        <v>409</v>
      </c>
      <c r="F2" s="97" t="s">
        <v>408</v>
      </c>
    </row>
    <row r="3" spans="2:9">
      <c r="B3" t="s">
        <v>402</v>
      </c>
      <c r="C3" t="s">
        <v>407</v>
      </c>
      <c r="D3" t="s">
        <v>382</v>
      </c>
      <c r="E3" s="107">
        <v>1.289699074074074E-3</v>
      </c>
      <c r="F3" t="s">
        <v>381</v>
      </c>
      <c r="H3" t="s">
        <v>363</v>
      </c>
      <c r="I3" s="108" t="s">
        <v>382</v>
      </c>
    </row>
    <row r="4" spans="2:9">
      <c r="B4" t="s">
        <v>402</v>
      </c>
      <c r="C4" t="s">
        <v>404</v>
      </c>
      <c r="D4" t="s">
        <v>382</v>
      </c>
      <c r="E4" s="107">
        <v>1.2971064814814815E-3</v>
      </c>
      <c r="F4" t="s">
        <v>379</v>
      </c>
      <c r="H4" t="s">
        <v>416</v>
      </c>
      <c r="I4" s="108" t="s">
        <v>415</v>
      </c>
    </row>
    <row r="5" spans="2:9">
      <c r="B5" t="s">
        <v>402</v>
      </c>
      <c r="C5" t="s">
        <v>401</v>
      </c>
      <c r="D5" t="s">
        <v>376</v>
      </c>
      <c r="E5" s="107">
        <v>1.3009259259259259E-3</v>
      </c>
      <c r="F5" t="s">
        <v>375</v>
      </c>
      <c r="H5" t="s">
        <v>408</v>
      </c>
      <c r="I5" s="108" t="s">
        <v>381</v>
      </c>
    </row>
    <row r="6" spans="2:9">
      <c r="B6" t="s">
        <v>398</v>
      </c>
      <c r="C6" t="s">
        <v>400</v>
      </c>
      <c r="D6" t="s">
        <v>399</v>
      </c>
      <c r="E6" s="107">
        <v>1.2646990740740741E-3</v>
      </c>
      <c r="F6" t="s">
        <v>381</v>
      </c>
      <c r="H6" t="s">
        <v>414</v>
      </c>
      <c r="I6" s="109">
        <f>AVERAGEIFS(E3:E20,D3:D20,I3,B3:B20,"*"&amp;I4,F3:F20,I5)</f>
        <v>1.0797453703703702E-3</v>
      </c>
    </row>
    <row r="7" spans="2:9">
      <c r="B7" t="s">
        <v>398</v>
      </c>
      <c r="C7" t="s">
        <v>396</v>
      </c>
      <c r="D7" t="s">
        <v>395</v>
      </c>
      <c r="E7" s="107">
        <v>1.276388888888889E-3</v>
      </c>
      <c r="F7" t="s">
        <v>379</v>
      </c>
      <c r="H7" t="s">
        <v>413</v>
      </c>
      <c r="I7" s="109">
        <f>SUMIFS(E3:E20,D3:D20,I3,B3:B20,"*"&amp;I4,F3:F20,I5)/COUNTIFS(D3:D20,I3,B3:B20,"*"&amp;I4,F3:F20,I5)</f>
        <v>1.0797453703703702E-3</v>
      </c>
    </row>
    <row r="8" spans="2:9">
      <c r="B8" t="s">
        <v>398</v>
      </c>
      <c r="C8" t="s">
        <v>397</v>
      </c>
      <c r="D8" t="s">
        <v>395</v>
      </c>
      <c r="E8" s="107">
        <v>1.2766203703703705E-3</v>
      </c>
      <c r="F8" t="s">
        <v>375</v>
      </c>
    </row>
    <row r="9" spans="2:9">
      <c r="B9" t="s">
        <v>393</v>
      </c>
      <c r="C9" t="s">
        <v>396</v>
      </c>
      <c r="D9" t="s">
        <v>395</v>
      </c>
      <c r="E9" s="107">
        <v>2.1946759259259259E-3</v>
      </c>
      <c r="F9" t="s">
        <v>381</v>
      </c>
    </row>
    <row r="10" spans="2:9">
      <c r="B10" t="s">
        <v>393</v>
      </c>
      <c r="C10" t="s">
        <v>394</v>
      </c>
      <c r="D10" t="s">
        <v>382</v>
      </c>
      <c r="E10" s="107">
        <v>2.2077546296296294E-3</v>
      </c>
      <c r="F10" t="s">
        <v>379</v>
      </c>
    </row>
    <row r="11" spans="2:9">
      <c r="B11" t="s">
        <v>393</v>
      </c>
      <c r="C11" t="s">
        <v>392</v>
      </c>
      <c r="D11" t="s">
        <v>382</v>
      </c>
      <c r="E11" s="107">
        <v>2.2105324074074072E-3</v>
      </c>
      <c r="F11" t="s">
        <v>375</v>
      </c>
    </row>
    <row r="12" spans="2:9">
      <c r="B12" t="s">
        <v>391</v>
      </c>
      <c r="C12" t="s">
        <v>383</v>
      </c>
      <c r="D12" t="s">
        <v>382</v>
      </c>
      <c r="E12" s="107">
        <v>1.1189814814814814E-3</v>
      </c>
      <c r="F12" t="s">
        <v>381</v>
      </c>
    </row>
    <row r="13" spans="2:9">
      <c r="B13" t="s">
        <v>391</v>
      </c>
      <c r="C13" t="s">
        <v>380</v>
      </c>
      <c r="D13" t="s">
        <v>376</v>
      </c>
      <c r="E13" s="107">
        <v>1.1226851851851851E-3</v>
      </c>
      <c r="F13" t="s">
        <v>379</v>
      </c>
    </row>
    <row r="14" spans="2:9">
      <c r="B14" t="s">
        <v>391</v>
      </c>
      <c r="C14" t="s">
        <v>390</v>
      </c>
      <c r="D14" t="s">
        <v>388</v>
      </c>
      <c r="E14" s="107">
        <v>1.1305555555555557E-3</v>
      </c>
      <c r="F14" t="s">
        <v>375</v>
      </c>
    </row>
    <row r="15" spans="2:9">
      <c r="B15" t="s">
        <v>386</v>
      </c>
      <c r="C15" t="s">
        <v>389</v>
      </c>
      <c r="D15" t="s">
        <v>388</v>
      </c>
      <c r="E15" s="107">
        <v>1.0560185185185184E-3</v>
      </c>
      <c r="F15" t="s">
        <v>381</v>
      </c>
    </row>
    <row r="16" spans="2:9">
      <c r="B16" t="s">
        <v>386</v>
      </c>
      <c r="C16" t="s">
        <v>387</v>
      </c>
      <c r="D16" t="s">
        <v>384</v>
      </c>
      <c r="E16" s="107">
        <v>1.0562499999999999E-3</v>
      </c>
      <c r="F16" t="s">
        <v>379</v>
      </c>
    </row>
    <row r="17" spans="2:6">
      <c r="B17" t="s">
        <v>386</v>
      </c>
      <c r="C17" t="s">
        <v>385</v>
      </c>
      <c r="D17" t="s">
        <v>384</v>
      </c>
      <c r="E17" s="107">
        <v>1.0728009259259258E-3</v>
      </c>
      <c r="F17" t="s">
        <v>375</v>
      </c>
    </row>
    <row r="18" spans="2:6">
      <c r="B18" t="s">
        <v>378</v>
      </c>
      <c r="C18" t="s">
        <v>383</v>
      </c>
      <c r="D18" t="s">
        <v>382</v>
      </c>
      <c r="E18" s="107">
        <v>1.0405092592592593E-3</v>
      </c>
      <c r="F18" t="s">
        <v>381</v>
      </c>
    </row>
    <row r="19" spans="2:6">
      <c r="B19" t="s">
        <v>378</v>
      </c>
      <c r="C19" t="s">
        <v>380</v>
      </c>
      <c r="D19" t="s">
        <v>376</v>
      </c>
      <c r="E19" s="107">
        <v>1.0503472222222223E-3</v>
      </c>
      <c r="F19" t="s">
        <v>379</v>
      </c>
    </row>
    <row r="20" spans="2:6">
      <c r="B20" t="s">
        <v>378</v>
      </c>
      <c r="C20" t="s">
        <v>377</v>
      </c>
      <c r="D20" t="s">
        <v>376</v>
      </c>
      <c r="E20" s="107">
        <v>1.0688657407407407E-3</v>
      </c>
      <c r="F20" t="s">
        <v>375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O13"/>
  <sheetViews>
    <sheetView workbookViewId="0">
      <selection activeCell="B3" sqref="B3"/>
    </sheetView>
  </sheetViews>
  <sheetFormatPr defaultRowHeight="15"/>
  <cols>
    <col min="1" max="1" width="4.42578125" customWidth="1"/>
    <col min="2" max="2" width="4" bestFit="1" customWidth="1"/>
    <col min="3" max="3" width="17.42578125" bestFit="1" customWidth="1"/>
    <col min="4" max="4" width="28.42578125" customWidth="1"/>
    <col min="5" max="5" width="10.28515625" bestFit="1" customWidth="1"/>
    <col min="6" max="6" width="10.5703125" bestFit="1" customWidth="1"/>
    <col min="7" max="7" width="8.42578125" bestFit="1" customWidth="1"/>
    <col min="8" max="9" width="8.42578125" customWidth="1"/>
    <col min="11" max="11" width="4.140625" customWidth="1"/>
    <col min="12" max="12" width="12.140625" customWidth="1"/>
    <col min="13" max="15" width="17.85546875" customWidth="1"/>
  </cols>
  <sheetData>
    <row r="2" spans="2:15">
      <c r="B2" s="97" t="s">
        <v>452</v>
      </c>
      <c r="C2" s="97" t="s">
        <v>445</v>
      </c>
      <c r="D2" s="97" t="s">
        <v>451</v>
      </c>
      <c r="E2" s="97" t="s">
        <v>450</v>
      </c>
      <c r="F2" s="97" t="s">
        <v>449</v>
      </c>
      <c r="G2" s="97" t="s">
        <v>448</v>
      </c>
      <c r="H2" s="97" t="s">
        <v>426</v>
      </c>
      <c r="I2" s="97" t="s">
        <v>447</v>
      </c>
      <c r="L2" s="131" t="s">
        <v>446</v>
      </c>
      <c r="M2" s="131" t="s">
        <v>445</v>
      </c>
      <c r="N2" s="131" t="s">
        <v>444</v>
      </c>
      <c r="O2" s="131" t="s">
        <v>443</v>
      </c>
    </row>
    <row r="3" spans="2:15">
      <c r="B3">
        <v>154</v>
      </c>
      <c r="C3" t="s">
        <v>442</v>
      </c>
      <c r="D3" s="55" t="s">
        <v>441</v>
      </c>
      <c r="E3" s="100">
        <v>26</v>
      </c>
      <c r="F3" s="102">
        <v>42900</v>
      </c>
      <c r="G3" s="111">
        <v>0.15</v>
      </c>
      <c r="H3" s="102">
        <v>100</v>
      </c>
      <c r="I3" s="111">
        <v>0.08</v>
      </c>
      <c r="L3" s="130">
        <v>319</v>
      </c>
      <c r="M3" s="130" t="str">
        <f>VLOOKUP($L$3,$B$3:$I$12,2,FALSE)</f>
        <v>Elizabeth Marshall</v>
      </c>
      <c r="N3" s="130">
        <v>164</v>
      </c>
      <c r="O3" s="129">
        <f>M7-O11</f>
        <v>796.99153846153854</v>
      </c>
    </row>
    <row r="4" spans="2:15" ht="15" customHeight="1">
      <c r="B4">
        <v>240</v>
      </c>
      <c r="C4" t="s">
        <v>440</v>
      </c>
      <c r="D4" s="55" t="s">
        <v>439</v>
      </c>
      <c r="E4" s="100">
        <v>26</v>
      </c>
      <c r="F4" s="102">
        <v>64600</v>
      </c>
      <c r="G4" s="111">
        <v>0.16</v>
      </c>
      <c r="H4" s="102">
        <v>200</v>
      </c>
      <c r="I4" s="111">
        <v>7.0000000000000007E-2</v>
      </c>
      <c r="L4" s="128" t="s">
        <v>438</v>
      </c>
      <c r="M4" s="127"/>
      <c r="N4" s="126"/>
      <c r="O4" s="125"/>
    </row>
    <row r="5" spans="2:15">
      <c r="B5">
        <v>319</v>
      </c>
      <c r="C5" t="s">
        <v>437</v>
      </c>
      <c r="D5" s="55" t="s">
        <v>436</v>
      </c>
      <c r="E5" s="100">
        <v>52</v>
      </c>
      <c r="F5" s="102">
        <v>72300</v>
      </c>
      <c r="G5" s="111">
        <v>0.24</v>
      </c>
      <c r="H5" s="102">
        <v>300</v>
      </c>
      <c r="I5" s="111">
        <v>0.03</v>
      </c>
      <c r="L5" s="114" t="str">
        <f>VLOOKUP($L$3,$B$3:$I$12,3,FALSE)</f>
        <v>530 Dodge Street Anytown, USA 12345</v>
      </c>
      <c r="M5" s="124"/>
      <c r="N5" s="123"/>
      <c r="O5" s="122"/>
    </row>
    <row r="6" spans="2:15" ht="13.5" customHeight="1">
      <c r="B6">
        <v>331</v>
      </c>
      <c r="C6" t="s">
        <v>435</v>
      </c>
      <c r="D6" s="55" t="s">
        <v>434</v>
      </c>
      <c r="E6" s="100">
        <v>12</v>
      </c>
      <c r="F6" s="102">
        <v>99700</v>
      </c>
      <c r="G6" s="111">
        <v>0.2</v>
      </c>
      <c r="H6" s="102">
        <v>300</v>
      </c>
      <c r="I6" s="111">
        <v>0.05</v>
      </c>
      <c r="L6" s="119"/>
      <c r="M6" s="121" t="s">
        <v>433</v>
      </c>
      <c r="N6" s="120" t="s">
        <v>432</v>
      </c>
      <c r="O6" s="113"/>
    </row>
    <row r="7" spans="2:15">
      <c r="B7">
        <v>428</v>
      </c>
      <c r="C7" t="s">
        <v>431</v>
      </c>
      <c r="D7" s="55" t="s">
        <v>430</v>
      </c>
      <c r="E7" s="100">
        <v>26</v>
      </c>
      <c r="F7" s="102">
        <v>57600</v>
      </c>
      <c r="G7" s="111">
        <v>0.25</v>
      </c>
      <c r="H7" s="102">
        <v>100</v>
      </c>
      <c r="I7" s="111">
        <v>0.05</v>
      </c>
      <c r="L7" s="116"/>
      <c r="M7" s="118">
        <f>VLOOKUP($L$3,$B$3:$I$12,5,FALSE)/VLOOKUP($L$3,$B$3:$I$12,4,FALSE)</f>
        <v>1390.3846153846155</v>
      </c>
      <c r="N7" s="119" t="s">
        <v>429</v>
      </c>
      <c r="O7" s="118">
        <f>(M7-O8-O9)*VLOOKUP($L$3,$B$3:$I$12,6,FALSE)</f>
        <v>251.68153846153845</v>
      </c>
    </row>
    <row r="8" spans="2:15">
      <c r="B8">
        <v>451</v>
      </c>
      <c r="C8" t="s">
        <v>428</v>
      </c>
      <c r="D8" s="55" t="s">
        <v>427</v>
      </c>
      <c r="E8" s="100">
        <v>12</v>
      </c>
      <c r="F8" s="102">
        <v>82800</v>
      </c>
      <c r="G8" s="111">
        <v>0.23</v>
      </c>
      <c r="H8" s="102">
        <v>200</v>
      </c>
      <c r="I8" s="111">
        <v>7.0000000000000007E-2</v>
      </c>
      <c r="L8" s="116"/>
      <c r="M8" s="116"/>
      <c r="N8" s="116" t="s">
        <v>426</v>
      </c>
      <c r="O8" s="117">
        <f>VLOOKUP($L$3,$B$3:$I$12,7,FALSE)</f>
        <v>300</v>
      </c>
    </row>
    <row r="9" spans="2:15">
      <c r="B9">
        <v>527</v>
      </c>
      <c r="C9" t="s">
        <v>425</v>
      </c>
      <c r="D9" s="55" t="s">
        <v>424</v>
      </c>
      <c r="E9" s="100">
        <v>12</v>
      </c>
      <c r="F9" s="102">
        <v>41700</v>
      </c>
      <c r="G9" s="111">
        <v>0.17</v>
      </c>
      <c r="H9" s="102">
        <v>300</v>
      </c>
      <c r="I9" s="111">
        <v>0.04</v>
      </c>
      <c r="L9" s="116"/>
      <c r="M9" s="116"/>
      <c r="N9" s="116" t="s">
        <v>423</v>
      </c>
      <c r="O9" s="117">
        <f>M7*VLOOKUP($L$3,$B$3:$I$12,8,FALSE)</f>
        <v>41.71153846153846</v>
      </c>
    </row>
    <row r="10" spans="2:15">
      <c r="B10">
        <v>540</v>
      </c>
      <c r="C10" t="s">
        <v>422</v>
      </c>
      <c r="D10" s="55" t="s">
        <v>421</v>
      </c>
      <c r="E10" s="100">
        <v>52</v>
      </c>
      <c r="F10" s="102">
        <v>83100</v>
      </c>
      <c r="G10" s="111">
        <v>0.18</v>
      </c>
      <c r="H10" s="102">
        <v>200</v>
      </c>
      <c r="I10" s="111">
        <v>0.05</v>
      </c>
      <c r="L10" s="116"/>
      <c r="M10" s="114"/>
      <c r="N10" s="114"/>
      <c r="O10" s="115"/>
    </row>
    <row r="11" spans="2:15">
      <c r="B11">
        <v>665</v>
      </c>
      <c r="C11" t="s">
        <v>420</v>
      </c>
      <c r="D11" s="55" t="s">
        <v>419</v>
      </c>
      <c r="E11" s="100">
        <v>26</v>
      </c>
      <c r="F11" s="102">
        <v>70400</v>
      </c>
      <c r="G11" s="111">
        <v>0.21</v>
      </c>
      <c r="H11" s="102">
        <v>100</v>
      </c>
      <c r="I11" s="111">
        <v>0.01</v>
      </c>
      <c r="L11" s="114"/>
      <c r="M11" s="113"/>
      <c r="N11" s="113" t="s">
        <v>6</v>
      </c>
      <c r="O11" s="112">
        <f>SUM(O7:O10)</f>
        <v>593.39307692307693</v>
      </c>
    </row>
    <row r="12" spans="2:15">
      <c r="B12">
        <v>981</v>
      </c>
      <c r="C12" t="s">
        <v>418</v>
      </c>
      <c r="D12" s="55" t="s">
        <v>417</v>
      </c>
      <c r="E12" s="100">
        <v>52</v>
      </c>
      <c r="F12" s="102">
        <v>50200</v>
      </c>
      <c r="G12" s="111">
        <v>0.18</v>
      </c>
      <c r="H12" s="102">
        <v>100</v>
      </c>
      <c r="I12" s="111">
        <v>0.08</v>
      </c>
      <c r="O12" s="110"/>
    </row>
    <row r="13" spans="2:15">
      <c r="O13" s="110"/>
    </row>
  </sheetData>
  <dataValidations count="1">
    <dataValidation type="list" allowBlank="1" showInputMessage="1" showErrorMessage="1" sqref="L3">
      <formula1>$B$3:$B$12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G25"/>
  <sheetViews>
    <sheetView workbookViewId="0">
      <selection activeCell="B3" sqref="B3"/>
    </sheetView>
  </sheetViews>
  <sheetFormatPr defaultRowHeight="15"/>
  <cols>
    <col min="1" max="1" width="4.140625" customWidth="1"/>
    <col min="2" max="2" width="16.85546875" bestFit="1" customWidth="1"/>
    <col min="5" max="5" width="4.85546875" customWidth="1"/>
    <col min="6" max="6" width="15.42578125" bestFit="1" customWidth="1"/>
    <col min="7" max="7" width="17.28515625" customWidth="1"/>
  </cols>
  <sheetData>
    <row r="2" spans="2:7">
      <c r="B2" s="97" t="s">
        <v>505</v>
      </c>
      <c r="C2" s="97" t="s">
        <v>278</v>
      </c>
      <c r="D2" s="97" t="s">
        <v>504</v>
      </c>
    </row>
    <row r="3" spans="2:7">
      <c r="B3" t="s">
        <v>503</v>
      </c>
      <c r="C3" t="s">
        <v>502</v>
      </c>
      <c r="D3">
        <v>6493</v>
      </c>
    </row>
    <row r="4" spans="2:7">
      <c r="B4" t="s">
        <v>501</v>
      </c>
      <c r="C4" t="s">
        <v>500</v>
      </c>
      <c r="D4">
        <v>4369</v>
      </c>
      <c r="F4" s="134" t="s">
        <v>499</v>
      </c>
      <c r="G4" s="135" t="s">
        <v>475</v>
      </c>
    </row>
    <row r="5" spans="2:7">
      <c r="B5" t="s">
        <v>498</v>
      </c>
      <c r="C5" t="s">
        <v>497</v>
      </c>
      <c r="D5">
        <v>4505</v>
      </c>
      <c r="F5" s="134" t="s">
        <v>496</v>
      </c>
      <c r="G5" s="132" t="str">
        <f>INDEX(B3:D25,MATCH(G4,C3:C25,FALSE),1)</f>
        <v>Manchester</v>
      </c>
    </row>
    <row r="6" spans="2:7">
      <c r="B6" t="s">
        <v>495</v>
      </c>
      <c r="C6" t="s">
        <v>494</v>
      </c>
      <c r="D6">
        <v>8745</v>
      </c>
      <c r="F6" s="134" t="s">
        <v>493</v>
      </c>
      <c r="G6" s="132">
        <f>INDEX(B3:D25,MATCH(G4,C3:C25,FALSE),3)</f>
        <v>2608</v>
      </c>
    </row>
    <row r="7" spans="2:7">
      <c r="B7" t="s">
        <v>492</v>
      </c>
      <c r="C7" t="s">
        <v>491</v>
      </c>
      <c r="D7">
        <v>6273</v>
      </c>
    </row>
    <row r="8" spans="2:7">
      <c r="B8" t="s">
        <v>490</v>
      </c>
      <c r="C8" t="s">
        <v>489</v>
      </c>
      <c r="D8">
        <v>9384</v>
      </c>
      <c r="F8" s="133" t="s">
        <v>488</v>
      </c>
      <c r="G8" s="132" t="str">
        <f>LOOKUP(G4,C3:C25,B3:B25)</f>
        <v>Manchester</v>
      </c>
    </row>
    <row r="9" spans="2:7">
      <c r="B9" t="s">
        <v>487</v>
      </c>
      <c r="C9" t="s">
        <v>486</v>
      </c>
      <c r="D9">
        <v>5654</v>
      </c>
      <c r="F9" s="133" t="s">
        <v>485</v>
      </c>
      <c r="G9" s="132">
        <f>LOOKUP(G4,C3:C25,D3:D25)</f>
        <v>2608</v>
      </c>
    </row>
    <row r="10" spans="2:7">
      <c r="B10" t="s">
        <v>484</v>
      </c>
      <c r="C10" t="s">
        <v>483</v>
      </c>
      <c r="D10">
        <v>3972</v>
      </c>
    </row>
    <row r="11" spans="2:7">
      <c r="B11" t="s">
        <v>482</v>
      </c>
      <c r="C11" t="s">
        <v>481</v>
      </c>
      <c r="D11">
        <v>8816</v>
      </c>
    </row>
    <row r="12" spans="2:7">
      <c r="B12" t="s">
        <v>480</v>
      </c>
      <c r="C12" t="s">
        <v>479</v>
      </c>
      <c r="D12">
        <v>3331</v>
      </c>
    </row>
    <row r="13" spans="2:7">
      <c r="B13" t="s">
        <v>478</v>
      </c>
      <c r="C13" t="s">
        <v>477</v>
      </c>
      <c r="D13">
        <v>3335</v>
      </c>
    </row>
    <row r="14" spans="2:7">
      <c r="B14" t="s">
        <v>476</v>
      </c>
      <c r="C14" t="s">
        <v>475</v>
      </c>
      <c r="D14">
        <v>2608</v>
      </c>
    </row>
    <row r="15" spans="2:7">
      <c r="B15" t="s">
        <v>474</v>
      </c>
      <c r="C15" t="s">
        <v>473</v>
      </c>
      <c r="D15">
        <v>4122</v>
      </c>
    </row>
    <row r="16" spans="2:7">
      <c r="B16" t="s">
        <v>472</v>
      </c>
      <c r="C16" t="s">
        <v>471</v>
      </c>
      <c r="D16">
        <v>1022</v>
      </c>
    </row>
    <row r="17" spans="2:4">
      <c r="B17" t="s">
        <v>470</v>
      </c>
      <c r="C17" t="s">
        <v>469</v>
      </c>
      <c r="D17">
        <v>7681</v>
      </c>
    </row>
    <row r="18" spans="2:4">
      <c r="B18" t="s">
        <v>468</v>
      </c>
      <c r="C18" t="s">
        <v>467</v>
      </c>
      <c r="D18">
        <v>8567</v>
      </c>
    </row>
    <row r="19" spans="2:4">
      <c r="B19" t="s">
        <v>466</v>
      </c>
      <c r="C19" t="s">
        <v>465</v>
      </c>
      <c r="D19">
        <v>3507</v>
      </c>
    </row>
    <row r="20" spans="2:4">
      <c r="B20" t="s">
        <v>464</v>
      </c>
      <c r="C20" t="s">
        <v>463</v>
      </c>
      <c r="D20">
        <v>7326</v>
      </c>
    </row>
    <row r="21" spans="2:4">
      <c r="B21" t="s">
        <v>462</v>
      </c>
      <c r="C21" t="s">
        <v>461</v>
      </c>
      <c r="D21">
        <v>4643</v>
      </c>
    </row>
    <row r="22" spans="2:4">
      <c r="B22" t="s">
        <v>460</v>
      </c>
      <c r="C22" t="s">
        <v>459</v>
      </c>
      <c r="D22">
        <v>8304</v>
      </c>
    </row>
    <row r="23" spans="2:4">
      <c r="B23" t="s">
        <v>458</v>
      </c>
      <c r="C23" t="s">
        <v>457</v>
      </c>
      <c r="D23">
        <v>7676</v>
      </c>
    </row>
    <row r="24" spans="2:4">
      <c r="B24" t="s">
        <v>456</v>
      </c>
      <c r="C24" t="s">
        <v>455</v>
      </c>
      <c r="D24">
        <v>4938</v>
      </c>
    </row>
    <row r="25" spans="2:4">
      <c r="B25" t="s">
        <v>454</v>
      </c>
      <c r="C25" t="s">
        <v>453</v>
      </c>
      <c r="D25">
        <v>1701</v>
      </c>
    </row>
  </sheetData>
  <dataValidations count="1">
    <dataValidation type="list" allowBlank="1" showInputMessage="1" showErrorMessage="1" sqref="G4">
      <formula1>$C$3:$C$25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L8"/>
  <sheetViews>
    <sheetView workbookViewId="0">
      <selection activeCell="B3" sqref="B3"/>
    </sheetView>
  </sheetViews>
  <sheetFormatPr defaultRowHeight="15"/>
  <cols>
    <col min="2" max="2" width="12.42578125" bestFit="1" customWidth="1"/>
    <col min="3" max="12" width="11.28515625" customWidth="1"/>
  </cols>
  <sheetData>
    <row r="2" spans="2:12">
      <c r="B2" s="137" t="s">
        <v>505</v>
      </c>
      <c r="C2" s="137" t="s">
        <v>519</v>
      </c>
      <c r="D2" s="137" t="s">
        <v>518</v>
      </c>
      <c r="E2" s="137" t="s">
        <v>517</v>
      </c>
      <c r="F2" s="137" t="s">
        <v>508</v>
      </c>
      <c r="G2" s="137" t="s">
        <v>516</v>
      </c>
      <c r="H2" s="137" t="s">
        <v>515</v>
      </c>
      <c r="I2" s="137" t="s">
        <v>514</v>
      </c>
      <c r="J2" s="137" t="s">
        <v>513</v>
      </c>
      <c r="K2" s="137" t="s">
        <v>512</v>
      </c>
      <c r="L2" s="137" t="s">
        <v>511</v>
      </c>
    </row>
    <row r="3" spans="2:12">
      <c r="B3" t="s">
        <v>510</v>
      </c>
      <c r="C3" s="12">
        <v>50</v>
      </c>
      <c r="D3" s="12">
        <v>73</v>
      </c>
      <c r="E3" s="12">
        <v>48</v>
      </c>
      <c r="F3" s="12">
        <v>55</v>
      </c>
      <c r="G3" s="12">
        <v>48</v>
      </c>
      <c r="H3" s="12">
        <v>73</v>
      </c>
      <c r="I3" s="12">
        <v>82</v>
      </c>
      <c r="J3" s="12">
        <v>12</v>
      </c>
      <c r="K3" s="12">
        <v>41</v>
      </c>
      <c r="L3" s="12">
        <v>39</v>
      </c>
    </row>
    <row r="5" spans="2:12">
      <c r="B5" s="136" t="s">
        <v>509</v>
      </c>
      <c r="C5" s="10" t="s">
        <v>508</v>
      </c>
    </row>
    <row r="6" spans="2:12">
      <c r="B6" s="136" t="s">
        <v>507</v>
      </c>
      <c r="C6" s="10">
        <f>HLOOKUP(C5,C2:L3,2,FALSE)</f>
        <v>55</v>
      </c>
    </row>
    <row r="7" spans="2:12">
      <c r="B7" s="136"/>
      <c r="C7" s="12"/>
    </row>
    <row r="8" spans="2:12">
      <c r="B8" s="136" t="s">
        <v>506</v>
      </c>
      <c r="C8" s="10">
        <f>INDEX(C2:L3,2,MATCH(C5,C2:L2,FALSE))</f>
        <v>55</v>
      </c>
    </row>
  </sheetData>
  <dataValidations count="1">
    <dataValidation type="list" allowBlank="1" showInputMessage="1" showErrorMessage="1" sqref="C5">
      <formula1>$C$2:$L$2</formula1>
    </dataValidation>
  </dataValidation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G24"/>
  <sheetViews>
    <sheetView workbookViewId="0">
      <selection activeCell="B3" sqref="B3"/>
    </sheetView>
  </sheetViews>
  <sheetFormatPr defaultRowHeight="15"/>
  <cols>
    <col min="1" max="1" width="4.42578125" customWidth="1"/>
    <col min="2" max="2" width="33.140625" bestFit="1" customWidth="1"/>
    <col min="3" max="3" width="20.140625" bestFit="1" customWidth="1"/>
    <col min="4" max="4" width="14.28515625" bestFit="1" customWidth="1"/>
    <col min="5" max="5" width="4.5703125" customWidth="1"/>
    <col min="6" max="6" width="20.140625" bestFit="1" customWidth="1"/>
    <col min="7" max="7" width="14.28515625" bestFit="1" customWidth="1"/>
  </cols>
  <sheetData>
    <row r="2" spans="2:7">
      <c r="B2" s="97" t="s">
        <v>179</v>
      </c>
      <c r="C2" s="97" t="s">
        <v>566</v>
      </c>
      <c r="D2" s="97" t="s">
        <v>449</v>
      </c>
      <c r="F2" s="97" t="s">
        <v>565</v>
      </c>
      <c r="G2" s="97" t="s">
        <v>564</v>
      </c>
    </row>
    <row r="3" spans="2:7">
      <c r="B3" t="s">
        <v>563</v>
      </c>
      <c r="C3" t="s">
        <v>562</v>
      </c>
      <c r="D3" s="100" t="e">
        <f>VLOOKUP(C3,$F$3:$G$11,2,FALSE)</f>
        <v>#N/A</v>
      </c>
      <c r="F3" t="s">
        <v>544</v>
      </c>
      <c r="G3" s="100">
        <v>33247178</v>
      </c>
    </row>
    <row r="4" spans="2:7">
      <c r="B4" t="s">
        <v>561</v>
      </c>
      <c r="C4" t="s">
        <v>556</v>
      </c>
      <c r="D4" s="100">
        <f>VLOOKUP(C4,$F$3:$G$11,2,FALSE)</f>
        <v>62157026</v>
      </c>
      <c r="F4" t="s">
        <v>538</v>
      </c>
      <c r="G4" s="100">
        <v>45302040</v>
      </c>
    </row>
    <row r="5" spans="2:7">
      <c r="B5" t="s">
        <v>560</v>
      </c>
      <c r="C5" t="s">
        <v>559</v>
      </c>
      <c r="D5" s="100" t="e">
        <f>VLOOKUP(C5,$F$3:$G$11,2,FALSE)</f>
        <v>#N/A</v>
      </c>
      <c r="F5" t="s">
        <v>536</v>
      </c>
      <c r="G5" s="100">
        <v>51744999</v>
      </c>
    </row>
    <row r="6" spans="2:7">
      <c r="B6" t="s">
        <v>558</v>
      </c>
      <c r="C6" t="s">
        <v>557</v>
      </c>
      <c r="D6" s="100" t="e">
        <f>VLOOKUP(C6,$F$3:$G$11,2,FALSE)</f>
        <v>#N/A</v>
      </c>
      <c r="F6" t="s">
        <v>556</v>
      </c>
      <c r="G6" s="100">
        <v>62157026</v>
      </c>
    </row>
    <row r="7" spans="2:7">
      <c r="B7" t="s">
        <v>555</v>
      </c>
      <c r="C7" t="s">
        <v>554</v>
      </c>
      <c r="D7" s="100" t="e">
        <f>VLOOKUP(C7,$F$3:$G$11,2,FALSE)</f>
        <v>#N/A</v>
      </c>
      <c r="F7" t="s">
        <v>549</v>
      </c>
      <c r="G7" s="100">
        <v>68970486</v>
      </c>
    </row>
    <row r="8" spans="2:7">
      <c r="B8" t="s">
        <v>553</v>
      </c>
      <c r="C8" t="s">
        <v>552</v>
      </c>
      <c r="D8" s="100" t="e">
        <f>VLOOKUP(C8,$F$3:$G$11,2,FALSE)</f>
        <v>#N/A</v>
      </c>
      <c r="F8" t="s">
        <v>520</v>
      </c>
      <c r="G8" s="100">
        <v>36615404</v>
      </c>
    </row>
    <row r="9" spans="2:7">
      <c r="B9" t="s">
        <v>551</v>
      </c>
      <c r="C9" t="s">
        <v>548</v>
      </c>
      <c r="D9" s="100">
        <f>VLOOKUP(C9,$F$3:$G$11,2,FALSE)</f>
        <v>40266501</v>
      </c>
      <c r="F9" t="s">
        <v>534</v>
      </c>
      <c r="G9" s="100">
        <v>35212678</v>
      </c>
    </row>
    <row r="10" spans="2:7">
      <c r="B10" t="s">
        <v>550</v>
      </c>
      <c r="C10" t="s">
        <v>549</v>
      </c>
      <c r="D10" s="100">
        <f>VLOOKUP(C10,$F$3:$G$11,2,FALSE)</f>
        <v>68970486</v>
      </c>
      <c r="F10" t="s">
        <v>548</v>
      </c>
      <c r="G10" s="100">
        <v>40266501</v>
      </c>
    </row>
    <row r="11" spans="2:7">
      <c r="B11" t="s">
        <v>547</v>
      </c>
      <c r="C11" t="s">
        <v>546</v>
      </c>
      <c r="D11" s="100" t="e">
        <f>VLOOKUP(C11,$F$3:$G$11,2,FALSE)</f>
        <v>#N/A</v>
      </c>
      <c r="F11" t="s">
        <v>526</v>
      </c>
      <c r="G11" s="100">
        <v>36325782</v>
      </c>
    </row>
    <row r="12" spans="2:7">
      <c r="B12" t="s">
        <v>545</v>
      </c>
      <c r="C12" t="s">
        <v>544</v>
      </c>
      <c r="D12" s="100">
        <f>VLOOKUP(C12,$F$3:$G$11,2,FALSE)</f>
        <v>33247178</v>
      </c>
      <c r="G12" s="100"/>
    </row>
    <row r="13" spans="2:7">
      <c r="B13" t="s">
        <v>543</v>
      </c>
      <c r="C13" t="s">
        <v>542</v>
      </c>
      <c r="D13" s="100" t="e">
        <f>VLOOKUP(C13,$F$3:$G$11,2,FALSE)</f>
        <v>#N/A</v>
      </c>
      <c r="G13" s="100"/>
    </row>
    <row r="14" spans="2:7">
      <c r="B14" t="s">
        <v>541</v>
      </c>
      <c r="C14" t="s">
        <v>540</v>
      </c>
      <c r="D14" s="100" t="e">
        <f>VLOOKUP(C14,$F$3:$G$11,2,FALSE)</f>
        <v>#N/A</v>
      </c>
      <c r="G14" s="100"/>
    </row>
    <row r="15" spans="2:7">
      <c r="B15" t="s">
        <v>539</v>
      </c>
      <c r="C15" t="s">
        <v>538</v>
      </c>
      <c r="D15" s="100">
        <f>VLOOKUP(C15,$F$3:$G$11,2,FALSE)</f>
        <v>45302040</v>
      </c>
      <c r="G15" s="100"/>
    </row>
    <row r="16" spans="2:7">
      <c r="B16" t="s">
        <v>537</v>
      </c>
      <c r="C16" t="s">
        <v>536</v>
      </c>
      <c r="D16" s="100">
        <f>VLOOKUP(C16,$F$3:$G$11,2,FALSE)</f>
        <v>51744999</v>
      </c>
      <c r="G16" s="100"/>
    </row>
    <row r="17" spans="2:7">
      <c r="B17" t="s">
        <v>535</v>
      </c>
      <c r="C17" t="s">
        <v>534</v>
      </c>
      <c r="D17" s="100">
        <f>VLOOKUP(C17,$F$3:$G$11,2,FALSE)</f>
        <v>35212678</v>
      </c>
      <c r="G17" s="100"/>
    </row>
    <row r="18" spans="2:7">
      <c r="B18" t="s">
        <v>533</v>
      </c>
      <c r="C18" t="s">
        <v>532</v>
      </c>
      <c r="D18" s="100" t="e">
        <f>VLOOKUP(C18,$F$3:$G$11,2,FALSE)</f>
        <v>#N/A</v>
      </c>
      <c r="G18" s="100"/>
    </row>
    <row r="19" spans="2:7">
      <c r="B19" t="s">
        <v>531</v>
      </c>
      <c r="C19" t="s">
        <v>530</v>
      </c>
      <c r="D19" s="100" t="e">
        <f>VLOOKUP(C19,$F$3:$G$11,2,FALSE)</f>
        <v>#N/A</v>
      </c>
      <c r="G19" s="100"/>
    </row>
    <row r="20" spans="2:7">
      <c r="B20" t="s">
        <v>529</v>
      </c>
      <c r="C20" t="s">
        <v>528</v>
      </c>
      <c r="D20" s="100" t="e">
        <f>VLOOKUP(C20,$F$3:$G$11,2,FALSE)</f>
        <v>#N/A</v>
      </c>
      <c r="G20" s="100"/>
    </row>
    <row r="21" spans="2:7">
      <c r="B21" t="s">
        <v>527</v>
      </c>
      <c r="C21" t="s">
        <v>526</v>
      </c>
      <c r="D21" s="100">
        <f>VLOOKUP(C21,$F$3:$G$11,2,FALSE)</f>
        <v>36325782</v>
      </c>
      <c r="G21" s="100"/>
    </row>
    <row r="22" spans="2:7">
      <c r="B22" t="s">
        <v>525</v>
      </c>
      <c r="C22" t="s">
        <v>524</v>
      </c>
      <c r="D22" s="100" t="e">
        <f>VLOOKUP(C22,$F$3:$G$11,2,FALSE)</f>
        <v>#N/A</v>
      </c>
      <c r="G22" s="100"/>
    </row>
    <row r="23" spans="2:7">
      <c r="B23" t="s">
        <v>523</v>
      </c>
      <c r="C23" t="s">
        <v>522</v>
      </c>
      <c r="D23" s="100" t="e">
        <f>VLOOKUP(C23,$F$3:$G$11,2,FALSE)</f>
        <v>#N/A</v>
      </c>
      <c r="G23" s="100"/>
    </row>
    <row r="24" spans="2:7">
      <c r="B24" t="s">
        <v>521</v>
      </c>
      <c r="C24" t="s">
        <v>520</v>
      </c>
      <c r="D24" s="100">
        <f>VLOOKUP(C24,$F$3:$G$11,2,FALSE)</f>
        <v>36615404</v>
      </c>
      <c r="G24" s="100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G24"/>
  <sheetViews>
    <sheetView workbookViewId="0">
      <selection activeCell="B3" sqref="B3"/>
    </sheetView>
  </sheetViews>
  <sheetFormatPr defaultRowHeight="15"/>
  <cols>
    <col min="1" max="1" width="4.42578125" customWidth="1"/>
    <col min="2" max="2" width="33.140625" bestFit="1" customWidth="1"/>
    <col min="3" max="3" width="20.140625" bestFit="1" customWidth="1"/>
    <col min="4" max="4" width="24.85546875" bestFit="1" customWidth="1"/>
    <col min="5" max="5" width="3.5703125" customWidth="1"/>
    <col min="6" max="6" width="20.140625" bestFit="1" customWidth="1"/>
    <col min="7" max="7" width="14.28515625" bestFit="1" customWidth="1"/>
  </cols>
  <sheetData>
    <row r="2" spans="2:7">
      <c r="B2" s="97" t="s">
        <v>179</v>
      </c>
      <c r="C2" s="97" t="s">
        <v>566</v>
      </c>
      <c r="D2" s="97" t="s">
        <v>449</v>
      </c>
      <c r="F2" s="97" t="s">
        <v>565</v>
      </c>
      <c r="G2" s="97" t="s">
        <v>564</v>
      </c>
    </row>
    <row r="3" spans="2:7">
      <c r="B3" t="s">
        <v>563</v>
      </c>
      <c r="C3" t="s">
        <v>562</v>
      </c>
      <c r="D3" s="100" t="str">
        <f>IF(ISNA(VLOOKUP(C3,$F$3:$G$11,2,FALSE)),"",VLOOKUP(C3,$F$3:$G$11,2,FALSE))</f>
        <v/>
      </c>
      <c r="F3" t="s">
        <v>544</v>
      </c>
      <c r="G3" s="100">
        <v>33247178</v>
      </c>
    </row>
    <row r="4" spans="2:7">
      <c r="B4" t="s">
        <v>561</v>
      </c>
      <c r="C4" t="s">
        <v>556</v>
      </c>
      <c r="D4" s="100">
        <f>IFERROR(VLOOKUP(C4,$F$3:$G$11,2,FALSE),"")</f>
        <v>62157026</v>
      </c>
      <c r="F4" t="s">
        <v>538</v>
      </c>
      <c r="G4" s="100">
        <v>45302040</v>
      </c>
    </row>
    <row r="5" spans="2:7">
      <c r="B5" t="s">
        <v>560</v>
      </c>
      <c r="C5" t="s">
        <v>559</v>
      </c>
      <c r="D5" s="100" t="str">
        <f>IFERROR(VLOOKUP(C5,$F$3:$G$11,2,FALSE),"")</f>
        <v/>
      </c>
      <c r="F5" t="s">
        <v>536</v>
      </c>
      <c r="G5" s="100">
        <v>51744999</v>
      </c>
    </row>
    <row r="6" spans="2:7">
      <c r="B6" t="s">
        <v>558</v>
      </c>
      <c r="C6" t="s">
        <v>557</v>
      </c>
      <c r="D6" s="100" t="str">
        <f>IFERROR(VLOOKUP(C6,$F$3:$G$11,2,FALSE),"")</f>
        <v/>
      </c>
      <c r="F6" t="s">
        <v>556</v>
      </c>
      <c r="G6" s="100">
        <v>62157026</v>
      </c>
    </row>
    <row r="7" spans="2:7">
      <c r="B7" t="s">
        <v>555</v>
      </c>
      <c r="C7" t="s">
        <v>554</v>
      </c>
      <c r="D7" s="100" t="str">
        <f>IFERROR(VLOOKUP(C7,$F$3:$G$11,2,FALSE),"")</f>
        <v/>
      </c>
      <c r="F7" t="s">
        <v>549</v>
      </c>
      <c r="G7" s="100">
        <v>68970486</v>
      </c>
    </row>
    <row r="8" spans="2:7">
      <c r="B8" t="s">
        <v>553</v>
      </c>
      <c r="C8" t="s">
        <v>552</v>
      </c>
      <c r="D8" s="100" t="str">
        <f>IFERROR(VLOOKUP(C8,$F$3:$G$11,2,FALSE),"")</f>
        <v/>
      </c>
      <c r="F8" t="s">
        <v>520</v>
      </c>
      <c r="G8" s="100">
        <v>36615404</v>
      </c>
    </row>
    <row r="9" spans="2:7">
      <c r="B9" t="s">
        <v>551</v>
      </c>
      <c r="C9" t="s">
        <v>548</v>
      </c>
      <c r="D9" s="100">
        <f>IFERROR(VLOOKUP(C9,$F$3:$G$11,2,FALSE),"")</f>
        <v>40266501</v>
      </c>
      <c r="F9" t="s">
        <v>534</v>
      </c>
      <c r="G9" s="100">
        <v>35212678</v>
      </c>
    </row>
    <row r="10" spans="2:7">
      <c r="B10" t="s">
        <v>550</v>
      </c>
      <c r="C10" t="s">
        <v>549</v>
      </c>
      <c r="D10" s="100">
        <f>IFERROR(VLOOKUP(C10,$F$3:$G$11,2,FALSE),"")</f>
        <v>68970486</v>
      </c>
      <c r="F10" t="s">
        <v>548</v>
      </c>
      <c r="G10" s="100">
        <v>40266501</v>
      </c>
    </row>
    <row r="11" spans="2:7">
      <c r="B11" t="s">
        <v>547</v>
      </c>
      <c r="C11" t="s">
        <v>546</v>
      </c>
      <c r="D11" s="100" t="str">
        <f>IFERROR(VLOOKUP(C11,$F$3:$G$11,2,FALSE),"")</f>
        <v/>
      </c>
      <c r="F11" t="s">
        <v>526</v>
      </c>
      <c r="G11" s="100">
        <v>36325782</v>
      </c>
    </row>
    <row r="12" spans="2:7">
      <c r="B12" t="s">
        <v>545</v>
      </c>
      <c r="C12" t="s">
        <v>544</v>
      </c>
      <c r="D12" s="100">
        <f>IFERROR(VLOOKUP(C12,$F$3:$G$11,2,FALSE),"")</f>
        <v>33247178</v>
      </c>
      <c r="G12" s="100"/>
    </row>
    <row r="13" spans="2:7">
      <c r="B13" t="s">
        <v>543</v>
      </c>
      <c r="C13" t="s">
        <v>542</v>
      </c>
      <c r="D13" s="100" t="str">
        <f>IFERROR(VLOOKUP(C13,$F$3:$G$11,2,FALSE),"")</f>
        <v/>
      </c>
      <c r="G13" s="100"/>
    </row>
    <row r="14" spans="2:7">
      <c r="B14" t="s">
        <v>541</v>
      </c>
      <c r="C14" t="s">
        <v>540</v>
      </c>
      <c r="D14" s="100" t="str">
        <f>IFERROR(VLOOKUP(C14,$F$3:$G$11,2,FALSE),"")</f>
        <v/>
      </c>
      <c r="G14" s="100"/>
    </row>
    <row r="15" spans="2:7">
      <c r="B15" t="s">
        <v>539</v>
      </c>
      <c r="C15" t="s">
        <v>538</v>
      </c>
      <c r="D15" s="100">
        <f>IFERROR(VLOOKUP(C15,$F$3:$G$11,2,FALSE),"")</f>
        <v>45302040</v>
      </c>
      <c r="G15" s="100"/>
    </row>
    <row r="16" spans="2:7">
      <c r="B16" t="s">
        <v>537</v>
      </c>
      <c r="C16" t="s">
        <v>536</v>
      </c>
      <c r="D16" s="100">
        <f>IFERROR(VLOOKUP(C16,$F$3:$G$11,2,FALSE),"")</f>
        <v>51744999</v>
      </c>
      <c r="G16" s="100"/>
    </row>
    <row r="17" spans="2:7">
      <c r="B17" t="s">
        <v>535</v>
      </c>
      <c r="C17" t="s">
        <v>534</v>
      </c>
      <c r="D17" s="100">
        <f>IFERROR(VLOOKUP(C17,$F$3:$G$11,2,FALSE),"")</f>
        <v>35212678</v>
      </c>
      <c r="G17" s="100"/>
    </row>
    <row r="18" spans="2:7">
      <c r="B18" t="s">
        <v>533</v>
      </c>
      <c r="C18" t="s">
        <v>532</v>
      </c>
      <c r="D18" s="100" t="str">
        <f>IFERROR(VLOOKUP(C18,$F$3:$G$11,2,FALSE),"")</f>
        <v/>
      </c>
      <c r="G18" s="100"/>
    </row>
    <row r="19" spans="2:7">
      <c r="B19" t="s">
        <v>531</v>
      </c>
      <c r="C19" t="s">
        <v>530</v>
      </c>
      <c r="D19" s="100" t="str">
        <f>IFERROR(VLOOKUP(C19,$F$3:$G$11,2,FALSE),"")</f>
        <v/>
      </c>
      <c r="G19" s="100"/>
    </row>
    <row r="20" spans="2:7">
      <c r="B20" t="s">
        <v>529</v>
      </c>
      <c r="C20" t="s">
        <v>528</v>
      </c>
      <c r="D20" s="100" t="str">
        <f>IFERROR(VLOOKUP(C20,$F$3:$G$11,2,FALSE),"")</f>
        <v/>
      </c>
      <c r="G20" s="100"/>
    </row>
    <row r="21" spans="2:7">
      <c r="B21" t="s">
        <v>527</v>
      </c>
      <c r="C21" t="s">
        <v>526</v>
      </c>
      <c r="D21" s="100">
        <f>IFERROR(VLOOKUP(C21,$F$3:$G$11,2,FALSE),"")</f>
        <v>36325782</v>
      </c>
      <c r="G21" s="100"/>
    </row>
    <row r="22" spans="2:7">
      <c r="B22" t="s">
        <v>525</v>
      </c>
      <c r="C22" t="s">
        <v>524</v>
      </c>
      <c r="D22" s="100" t="str">
        <f>IFERROR(VLOOKUP(C22,$F$3:$G$11,2,FALSE),"")</f>
        <v/>
      </c>
      <c r="G22" s="100"/>
    </row>
    <row r="23" spans="2:7">
      <c r="B23" t="s">
        <v>523</v>
      </c>
      <c r="C23" t="s">
        <v>522</v>
      </c>
      <c r="D23" s="100" t="str">
        <f>IFERROR(VLOOKUP(C23,$F$3:$G$11,2,FALSE),"")</f>
        <v/>
      </c>
      <c r="G23" s="100"/>
    </row>
    <row r="24" spans="2:7">
      <c r="B24" t="s">
        <v>521</v>
      </c>
      <c r="C24" t="s">
        <v>520</v>
      </c>
      <c r="D24" s="100">
        <f>IFERROR(VLOOKUP(C24,$F$3:$G$11,2,FALSE),"")</f>
        <v>36615404</v>
      </c>
      <c r="G24" s="100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B3" sqref="B3"/>
    </sheetView>
  </sheetViews>
  <sheetFormatPr defaultRowHeight="1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>
      <c r="B2" s="97" t="s">
        <v>575</v>
      </c>
      <c r="C2" s="97" t="s">
        <v>574</v>
      </c>
      <c r="D2" s="97" t="s">
        <v>573</v>
      </c>
      <c r="E2" s="97" t="s">
        <v>572</v>
      </c>
    </row>
    <row r="3" spans="2:5">
      <c r="B3" s="139">
        <v>0</v>
      </c>
      <c r="C3" s="139">
        <v>325</v>
      </c>
      <c r="D3" s="139">
        <v>0</v>
      </c>
      <c r="E3" s="140">
        <v>0</v>
      </c>
    </row>
    <row r="4" spans="2:5">
      <c r="B4" s="139">
        <v>325</v>
      </c>
      <c r="C4" s="139">
        <v>1023</v>
      </c>
      <c r="D4" s="139">
        <v>0</v>
      </c>
      <c r="E4" s="140">
        <v>0.1</v>
      </c>
    </row>
    <row r="5" spans="2:5">
      <c r="B5" s="139">
        <v>1023</v>
      </c>
      <c r="C5" s="139">
        <v>3163</v>
      </c>
      <c r="D5" s="110">
        <v>69.8</v>
      </c>
      <c r="E5" s="140">
        <v>0.15</v>
      </c>
    </row>
    <row r="6" spans="2:5">
      <c r="B6" s="139">
        <v>3163</v>
      </c>
      <c r="C6" s="139">
        <v>6050</v>
      </c>
      <c r="D6" s="110">
        <v>390.8</v>
      </c>
      <c r="E6" s="140">
        <v>0.25</v>
      </c>
    </row>
    <row r="7" spans="2:5">
      <c r="B7" s="139">
        <v>6050</v>
      </c>
      <c r="C7" s="139">
        <v>9050</v>
      </c>
      <c r="D7" s="110">
        <v>1112.56</v>
      </c>
      <c r="E7" s="140">
        <v>0.28000000000000003</v>
      </c>
    </row>
    <row r="8" spans="2:5">
      <c r="B8" s="139">
        <v>9050</v>
      </c>
      <c r="C8" s="139">
        <v>15906</v>
      </c>
      <c r="D8" s="110">
        <v>195.56</v>
      </c>
      <c r="E8" s="140">
        <v>0.33</v>
      </c>
    </row>
    <row r="9" spans="2:5">
      <c r="B9" s="139">
        <v>15906</v>
      </c>
      <c r="C9" s="139">
        <v>17925</v>
      </c>
      <c r="D9" s="110">
        <v>4215.03</v>
      </c>
      <c r="E9" s="140">
        <v>0.35</v>
      </c>
    </row>
    <row r="10" spans="2:5">
      <c r="B10" s="139">
        <v>17925</v>
      </c>
      <c r="C10" s="139"/>
      <c r="D10" s="110">
        <v>4921.68</v>
      </c>
      <c r="E10" s="140">
        <v>0.39600000000000002</v>
      </c>
    </row>
    <row r="12" spans="2:5">
      <c r="C12" s="134" t="s">
        <v>571</v>
      </c>
      <c r="D12" s="110">
        <f>ROUND(60000/26,2)</f>
        <v>2307.69</v>
      </c>
    </row>
    <row r="13" spans="2:5">
      <c r="C13" s="134" t="s">
        <v>570</v>
      </c>
      <c r="D13" s="139">
        <v>2</v>
      </c>
    </row>
    <row r="14" spans="2:5">
      <c r="C14" s="134" t="s">
        <v>569</v>
      </c>
      <c r="D14" s="110">
        <f>D13*151.9</f>
        <v>303.8</v>
      </c>
    </row>
    <row r="15" spans="2:5">
      <c r="C15" s="134" t="s">
        <v>568</v>
      </c>
      <c r="D15" s="110">
        <f>D12-D14</f>
        <v>2003.89</v>
      </c>
    </row>
    <row r="16" spans="2:5">
      <c r="C16" s="134" t="s">
        <v>567</v>
      </c>
      <c r="D16" s="138">
        <f>VLOOKUP(D15,B3:E10,3,TRUE)+(D15-VLOOKUP(D15,B3:E10,1,TRUE))*VLOOKUP(D15,B3:E10,4,TRUE)</f>
        <v>216.93349999999998</v>
      </c>
    </row>
    <row r="18" spans="4:4">
      <c r="D18" s="110"/>
    </row>
    <row r="19" spans="4:4">
      <c r="D19" s="110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E19"/>
  <sheetViews>
    <sheetView workbookViewId="0">
      <selection activeCell="B3" sqref="B3"/>
    </sheetView>
  </sheetViews>
  <sheetFormatPr defaultRowHeight="1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>
      <c r="B2" s="97" t="s">
        <v>575</v>
      </c>
      <c r="C2" s="97" t="s">
        <v>574</v>
      </c>
      <c r="D2" s="97" t="s">
        <v>573</v>
      </c>
      <c r="E2" s="97" t="s">
        <v>572</v>
      </c>
    </row>
    <row r="3" spans="2:5">
      <c r="B3" s="139">
        <v>17925</v>
      </c>
      <c r="C3" s="139"/>
      <c r="D3" s="110">
        <v>4921.68</v>
      </c>
      <c r="E3" s="140">
        <v>0.39600000000000002</v>
      </c>
    </row>
    <row r="4" spans="2:5">
      <c r="B4" s="139">
        <v>15906</v>
      </c>
      <c r="C4" s="139">
        <v>17925</v>
      </c>
      <c r="D4" s="110">
        <v>4215.03</v>
      </c>
      <c r="E4" s="140">
        <v>0.35</v>
      </c>
    </row>
    <row r="5" spans="2:5">
      <c r="B5" s="139">
        <v>9050</v>
      </c>
      <c r="C5" s="139">
        <v>15906</v>
      </c>
      <c r="D5" s="110">
        <v>195.56</v>
      </c>
      <c r="E5" s="140">
        <v>0.33</v>
      </c>
    </row>
    <row r="6" spans="2:5">
      <c r="B6" s="139">
        <v>6050</v>
      </c>
      <c r="C6" s="139">
        <v>9050</v>
      </c>
      <c r="D6" s="110">
        <v>1112.56</v>
      </c>
      <c r="E6" s="140">
        <v>0.28000000000000003</v>
      </c>
    </row>
    <row r="7" spans="2:5">
      <c r="B7" s="139">
        <v>3163</v>
      </c>
      <c r="C7" s="139">
        <v>6050</v>
      </c>
      <c r="D7" s="110">
        <v>390.8</v>
      </c>
      <c r="E7" s="140">
        <v>0.25</v>
      </c>
    </row>
    <row r="8" spans="2:5">
      <c r="B8" s="139">
        <v>1023</v>
      </c>
      <c r="C8" s="139">
        <v>3163</v>
      </c>
      <c r="D8" s="110">
        <v>69.8</v>
      </c>
      <c r="E8" s="140">
        <v>0.15</v>
      </c>
    </row>
    <row r="9" spans="2:5">
      <c r="B9" s="139">
        <v>325</v>
      </c>
      <c r="C9" s="139">
        <v>1023</v>
      </c>
      <c r="D9" s="139">
        <v>0</v>
      </c>
      <c r="E9" s="140">
        <v>0.1</v>
      </c>
    </row>
    <row r="10" spans="2:5">
      <c r="B10" s="139">
        <v>0</v>
      </c>
      <c r="C10" s="139">
        <v>325</v>
      </c>
      <c r="D10" s="139">
        <v>0</v>
      </c>
      <c r="E10" s="140">
        <v>0</v>
      </c>
    </row>
    <row r="12" spans="2:5">
      <c r="C12" s="134" t="s">
        <v>571</v>
      </c>
      <c r="D12" s="110">
        <f>ROUND(60000/26,2)</f>
        <v>2307.69</v>
      </c>
    </row>
    <row r="13" spans="2:5">
      <c r="C13" s="134" t="s">
        <v>570</v>
      </c>
      <c r="D13" s="139">
        <v>2</v>
      </c>
    </row>
    <row r="14" spans="2:5">
      <c r="C14" s="134" t="s">
        <v>569</v>
      </c>
      <c r="D14" s="110">
        <f>D13*151.9</f>
        <v>303.8</v>
      </c>
    </row>
    <row r="15" spans="2:5">
      <c r="C15" s="134" t="s">
        <v>568</v>
      </c>
      <c r="D15" s="110">
        <f>D12-D14</f>
        <v>2003.89</v>
      </c>
    </row>
    <row r="16" spans="2:5">
      <c r="C16" s="134" t="s">
        <v>567</v>
      </c>
      <c r="D16" s="138" t="e">
        <f>VLOOKUP(D15,B3:E10,3,TRUE)+(D15-VLOOKUP(D15,B3:E10,1,TRUE))*VLOOKUP(D15,B3:E10,4,TRUE)</f>
        <v>#N/A</v>
      </c>
    </row>
    <row r="18" spans="3:4">
      <c r="C18" s="133" t="s">
        <v>576</v>
      </c>
      <c r="D18" s="138">
        <f>INDEX(B3:E10,MATCH(D15,B3:B10,-1)+1,3)+(D15-INDEX(B3:E10,MATCH(D15,B3:B10,-1)+1,1))*INDEX(B3:E10,MATCH(D15,B3:B10,-1)+1,4)</f>
        <v>216.93349999999998</v>
      </c>
    </row>
    <row r="19" spans="3:4">
      <c r="D19" s="110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E33"/>
  <sheetViews>
    <sheetView workbookViewId="0">
      <selection activeCell="B3" sqref="B3"/>
    </sheetView>
  </sheetViews>
  <sheetFormatPr defaultRowHeight="15"/>
  <cols>
    <col min="2" max="2" width="11.42578125" bestFit="1" customWidth="1"/>
    <col min="3" max="3" width="11.85546875" bestFit="1" customWidth="1"/>
    <col min="4" max="4" width="12.42578125" bestFit="1" customWidth="1"/>
    <col min="5" max="5" width="11" bestFit="1" customWidth="1"/>
  </cols>
  <sheetData>
    <row r="2" spans="2:5">
      <c r="B2" s="141" t="s">
        <v>580</v>
      </c>
    </row>
    <row r="3" spans="2:5">
      <c r="B3" s="97" t="s">
        <v>575</v>
      </c>
      <c r="C3" s="97" t="s">
        <v>574</v>
      </c>
      <c r="D3" s="97" t="s">
        <v>573</v>
      </c>
      <c r="E3" s="97" t="s">
        <v>572</v>
      </c>
    </row>
    <row r="4" spans="2:5">
      <c r="B4" s="139">
        <v>0</v>
      </c>
      <c r="C4" s="139">
        <v>325</v>
      </c>
      <c r="D4" s="139">
        <v>0</v>
      </c>
      <c r="E4" s="140">
        <v>0</v>
      </c>
    </row>
    <row r="5" spans="2:5">
      <c r="B5" s="139">
        <v>325</v>
      </c>
      <c r="C5" s="139">
        <v>1023</v>
      </c>
      <c r="D5" s="139">
        <v>0</v>
      </c>
      <c r="E5" s="140">
        <v>0.1</v>
      </c>
    </row>
    <row r="6" spans="2:5">
      <c r="B6" s="139">
        <v>1023</v>
      </c>
      <c r="C6" s="139">
        <v>3163</v>
      </c>
      <c r="D6" s="110">
        <v>69.8</v>
      </c>
      <c r="E6" s="140">
        <v>0.15</v>
      </c>
    </row>
    <row r="7" spans="2:5">
      <c r="B7" s="139">
        <v>3163</v>
      </c>
      <c r="C7" s="139">
        <v>6050</v>
      </c>
      <c r="D7" s="110">
        <v>390.8</v>
      </c>
      <c r="E7" s="140">
        <v>0.25</v>
      </c>
    </row>
    <row r="8" spans="2:5">
      <c r="B8" s="139">
        <v>6050</v>
      </c>
      <c r="C8" s="139">
        <v>9050</v>
      </c>
      <c r="D8" s="110">
        <v>1112.56</v>
      </c>
      <c r="E8" s="140">
        <v>0.28000000000000003</v>
      </c>
    </row>
    <row r="9" spans="2:5">
      <c r="B9" s="139">
        <v>9050</v>
      </c>
      <c r="C9" s="139">
        <v>15906</v>
      </c>
      <c r="D9" s="110">
        <v>1952.56</v>
      </c>
      <c r="E9" s="140">
        <v>0.33</v>
      </c>
    </row>
    <row r="10" spans="2:5">
      <c r="B10" s="139">
        <v>15906</v>
      </c>
      <c r="C10" s="139">
        <v>17925</v>
      </c>
      <c r="D10" s="110">
        <v>4215.03</v>
      </c>
      <c r="E10" s="140">
        <v>0.35</v>
      </c>
    </row>
    <row r="11" spans="2:5">
      <c r="B11" s="139">
        <v>17925</v>
      </c>
      <c r="C11" s="139"/>
      <c r="D11" s="110">
        <v>4921.68</v>
      </c>
      <c r="E11" s="140">
        <v>0.39600000000000002</v>
      </c>
    </row>
    <row r="13" spans="2:5">
      <c r="B13" s="141" t="s">
        <v>579</v>
      </c>
    </row>
    <row r="14" spans="2:5">
      <c r="B14" s="97" t="s">
        <v>575</v>
      </c>
      <c r="C14" s="97" t="s">
        <v>574</v>
      </c>
      <c r="D14" s="97" t="s">
        <v>573</v>
      </c>
      <c r="E14" s="97" t="s">
        <v>572</v>
      </c>
    </row>
    <row r="15" spans="2:5">
      <c r="B15" s="139">
        <v>0</v>
      </c>
      <c r="C15" s="139">
        <v>87</v>
      </c>
      <c r="D15" s="139">
        <v>0</v>
      </c>
      <c r="E15" s="140">
        <v>0</v>
      </c>
    </row>
    <row r="16" spans="2:5">
      <c r="B16" s="139">
        <v>87</v>
      </c>
      <c r="C16" s="139">
        <v>436</v>
      </c>
      <c r="D16" s="139">
        <v>0</v>
      </c>
      <c r="E16" s="140">
        <v>0.1</v>
      </c>
    </row>
    <row r="17" spans="2:5">
      <c r="B17" s="139">
        <v>436</v>
      </c>
      <c r="C17" s="139">
        <v>1506</v>
      </c>
      <c r="D17" s="110">
        <v>34.9</v>
      </c>
      <c r="E17" s="140">
        <v>0.15</v>
      </c>
    </row>
    <row r="18" spans="2:5">
      <c r="B18" s="139">
        <v>1506</v>
      </c>
      <c r="C18" s="139">
        <v>3523</v>
      </c>
      <c r="D18" s="110">
        <v>195.4</v>
      </c>
      <c r="E18" s="140">
        <v>0.25</v>
      </c>
    </row>
    <row r="19" spans="2:5">
      <c r="B19" s="139">
        <v>3523</v>
      </c>
      <c r="C19" s="139">
        <v>7254</v>
      </c>
      <c r="D19" s="110">
        <v>699.65</v>
      </c>
      <c r="E19" s="140">
        <v>0.28000000000000003</v>
      </c>
    </row>
    <row r="20" spans="2:5">
      <c r="B20" s="139">
        <v>7254</v>
      </c>
      <c r="C20" s="139">
        <v>15667</v>
      </c>
      <c r="D20" s="110">
        <v>1744.33</v>
      </c>
      <c r="E20" s="140">
        <v>0.33</v>
      </c>
    </row>
    <row r="21" spans="2:5">
      <c r="B21" s="139">
        <v>15667</v>
      </c>
      <c r="C21" s="139">
        <v>15731</v>
      </c>
      <c r="D21" s="110">
        <v>4520.62</v>
      </c>
      <c r="E21" s="140">
        <v>0.35</v>
      </c>
    </row>
    <row r="22" spans="2:5">
      <c r="B22" s="139">
        <v>15731</v>
      </c>
      <c r="C22" s="139"/>
      <c r="D22" s="110">
        <v>4543.0200000000004</v>
      </c>
      <c r="E22" s="140">
        <v>0.39600000000000002</v>
      </c>
    </row>
    <row r="25" spans="2:5">
      <c r="C25" s="134" t="s">
        <v>578</v>
      </c>
      <c r="D25" s="12" t="s">
        <v>577</v>
      </c>
    </row>
    <row r="26" spans="2:5">
      <c r="C26" s="134" t="s">
        <v>571</v>
      </c>
      <c r="D26" s="110">
        <f>ROUND(105000/26,2)</f>
        <v>4038.46</v>
      </c>
    </row>
    <row r="27" spans="2:5">
      <c r="C27" s="134" t="s">
        <v>570</v>
      </c>
      <c r="D27" s="139">
        <v>3</v>
      </c>
    </row>
    <row r="28" spans="2:5">
      <c r="C28" s="134" t="s">
        <v>569</v>
      </c>
      <c r="D28" s="110">
        <f>D27*151.9</f>
        <v>455.70000000000005</v>
      </c>
    </row>
    <row r="29" spans="2:5">
      <c r="C29" s="134" t="s">
        <v>568</v>
      </c>
      <c r="D29" s="110">
        <f>D26-D28</f>
        <v>3582.76</v>
      </c>
    </row>
    <row r="30" spans="2:5">
      <c r="C30" s="134" t="s">
        <v>567</v>
      </c>
      <c r="D30" s="138">
        <f ca="1">VLOOKUP(D29,INDIRECT(D25),3,TRUE)+(D29-VLOOKUP(D29,INDIRECT(D25),1,TRUE))*VLOOKUP(D29,INDIRECT(D25),4,TRUE)</f>
        <v>716.38280000000009</v>
      </c>
    </row>
    <row r="32" spans="2:5">
      <c r="D32" s="110"/>
    </row>
    <row r="33" spans="4:4">
      <c r="D33" s="110"/>
    </row>
  </sheetData>
  <dataValidations count="1">
    <dataValidation type="list" allowBlank="1" showInputMessage="1" showErrorMessage="1" sqref="D25">
      <formula1>"Married, Single"</formula1>
    </dataValidation>
  </dataValidation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G15"/>
  <sheetViews>
    <sheetView workbookViewId="0">
      <selection activeCell="B3" sqref="B3"/>
    </sheetView>
  </sheetViews>
  <sheetFormatPr defaultRowHeight="15"/>
  <cols>
    <col min="2" max="6" width="12.7109375" customWidth="1"/>
    <col min="7" max="7" width="11.5703125" bestFit="1" customWidth="1"/>
  </cols>
  <sheetData>
    <row r="2" spans="2:7">
      <c r="B2" s="145" t="s">
        <v>586</v>
      </c>
    </row>
    <row r="3" spans="2:7">
      <c r="B3" s="97" t="s">
        <v>0</v>
      </c>
      <c r="C3" s="97">
        <v>2010</v>
      </c>
      <c r="D3" s="97">
        <v>2011</v>
      </c>
      <c r="E3" s="97">
        <v>2012</v>
      </c>
      <c r="F3" s="97">
        <v>2013</v>
      </c>
      <c r="G3" s="97" t="s">
        <v>6</v>
      </c>
    </row>
    <row r="4" spans="2:7">
      <c r="B4" t="s">
        <v>3</v>
      </c>
      <c r="C4" s="139">
        <v>1525017</v>
      </c>
      <c r="D4" s="139">
        <v>1504678</v>
      </c>
      <c r="E4" s="139">
        <v>1227847</v>
      </c>
      <c r="F4" s="139">
        <v>1019616</v>
      </c>
      <c r="G4" s="139">
        <f>SUM(C4:F4)</f>
        <v>5277158</v>
      </c>
    </row>
    <row r="5" spans="2:7">
      <c r="B5" t="s">
        <v>585</v>
      </c>
      <c r="C5" s="139">
        <v>2704237</v>
      </c>
      <c r="D5" s="139">
        <v>2135564</v>
      </c>
      <c r="E5" s="139">
        <v>1411782</v>
      </c>
      <c r="F5" s="139">
        <v>716535</v>
      </c>
      <c r="G5" s="139">
        <f>SUM(C5:F5)</f>
        <v>6968118</v>
      </c>
    </row>
    <row r="6" spans="2:7">
      <c r="B6" t="s">
        <v>2</v>
      </c>
      <c r="C6" s="139">
        <v>3563687</v>
      </c>
      <c r="D6" s="139">
        <v>4441886</v>
      </c>
      <c r="E6" s="139">
        <v>4805431</v>
      </c>
      <c r="F6" s="139">
        <v>3716674</v>
      </c>
      <c r="G6" s="139">
        <f>SUM(C6:F6)</f>
        <v>16527678</v>
      </c>
    </row>
    <row r="7" spans="2:7">
      <c r="B7" t="s">
        <v>5</v>
      </c>
      <c r="C7" s="139">
        <v>4489700</v>
      </c>
      <c r="D7" s="139">
        <v>2651064</v>
      </c>
      <c r="E7" s="139">
        <v>796330</v>
      </c>
      <c r="F7" s="139">
        <v>2898601</v>
      </c>
      <c r="G7" s="139">
        <f>SUM(C7:F7)</f>
        <v>10835695</v>
      </c>
    </row>
    <row r="8" spans="2:7">
      <c r="B8" t="s">
        <v>584</v>
      </c>
      <c r="C8" s="139">
        <v>2167319</v>
      </c>
      <c r="D8" s="139">
        <v>1357850</v>
      </c>
      <c r="E8" s="139">
        <v>776850</v>
      </c>
      <c r="F8" s="139">
        <v>3024542</v>
      </c>
      <c r="G8" s="139">
        <f>SUM(C8:F8)</f>
        <v>7326561</v>
      </c>
    </row>
    <row r="9" spans="2:7">
      <c r="B9" t="s">
        <v>355</v>
      </c>
      <c r="C9" s="139">
        <v>1861239</v>
      </c>
      <c r="D9" s="139">
        <v>3578280</v>
      </c>
      <c r="E9" s="139">
        <v>4069389</v>
      </c>
      <c r="F9" s="139">
        <v>1475301</v>
      </c>
      <c r="G9" s="139">
        <f>SUM(C9:F9)</f>
        <v>10984209</v>
      </c>
    </row>
    <row r="10" spans="2:7" ht="15.75" thickBot="1">
      <c r="B10" t="s">
        <v>6</v>
      </c>
      <c r="C10" s="144">
        <f>SUM(C4:C9)</f>
        <v>16311199</v>
      </c>
      <c r="D10" s="144">
        <f>SUM(D4:D9)</f>
        <v>15669322</v>
      </c>
      <c r="E10" s="144">
        <f>SUM(E4:E9)</f>
        <v>13087629</v>
      </c>
      <c r="F10" s="144">
        <f>SUM(F4:F9)</f>
        <v>12851269</v>
      </c>
      <c r="G10" s="144">
        <f>SUM(G4:G9)</f>
        <v>57919419</v>
      </c>
    </row>
    <row r="11" spans="2:7" ht="15.75" thickTop="1">
      <c r="C11" s="139"/>
      <c r="D11" s="139"/>
      <c r="E11" s="139"/>
      <c r="F11" s="139"/>
    </row>
    <row r="13" spans="2:7">
      <c r="B13" s="143" t="s">
        <v>583</v>
      </c>
      <c r="C13" s="108" t="s">
        <v>2</v>
      </c>
    </row>
    <row r="14" spans="2:7">
      <c r="B14" s="143" t="s">
        <v>582</v>
      </c>
      <c r="C14" s="108">
        <v>2011</v>
      </c>
    </row>
    <row r="15" spans="2:7">
      <c r="B15" s="143" t="s">
        <v>581</v>
      </c>
      <c r="C15" s="142">
        <f>INDEX(C4:F9,MATCH(C13,B4:B9,FALSE),MATCH(C14,C3:F3,FALSE))</f>
        <v>4441886</v>
      </c>
    </row>
  </sheetData>
  <dataValidations count="2">
    <dataValidation type="list" allowBlank="1" showInputMessage="1" showErrorMessage="1" sqref="C14">
      <formula1>$C$3:$F$3</formula1>
    </dataValidation>
    <dataValidation type="list" allowBlank="1" showInputMessage="1" showErrorMessage="1" sqref="C13">
      <formula1>$B$4:$B$9</formula1>
    </dataValidation>
  </dataValidation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G15"/>
  <sheetViews>
    <sheetView workbookViewId="0">
      <selection activeCell="B3" sqref="B3"/>
    </sheetView>
  </sheetViews>
  <sheetFormatPr defaultRowHeight="15"/>
  <cols>
    <col min="2" max="6" width="12.7109375" customWidth="1"/>
    <col min="7" max="7" width="11.5703125" bestFit="1" customWidth="1"/>
  </cols>
  <sheetData>
    <row r="2" spans="2:7">
      <c r="B2" s="145" t="s">
        <v>586</v>
      </c>
    </row>
    <row r="3" spans="2:7">
      <c r="B3" s="97" t="s">
        <v>0</v>
      </c>
      <c r="C3" s="97">
        <v>2010</v>
      </c>
      <c r="D3" s="97">
        <v>2011</v>
      </c>
      <c r="E3" s="97">
        <v>2012</v>
      </c>
      <c r="F3" s="97">
        <v>2013</v>
      </c>
      <c r="G3" s="97" t="s">
        <v>6</v>
      </c>
    </row>
    <row r="4" spans="2:7">
      <c r="B4" t="s">
        <v>3</v>
      </c>
      <c r="C4" s="139">
        <v>1525017</v>
      </c>
      <c r="D4" s="139">
        <v>1504678</v>
      </c>
      <c r="E4" s="139">
        <v>1227847</v>
      </c>
      <c r="F4" s="139">
        <v>1019616</v>
      </c>
      <c r="G4" s="139">
        <f>SUM(C4:F4)</f>
        <v>5277158</v>
      </c>
    </row>
    <row r="5" spans="2:7">
      <c r="B5" t="s">
        <v>585</v>
      </c>
      <c r="C5" s="139">
        <v>2704237</v>
      </c>
      <c r="D5" s="139">
        <v>2135564</v>
      </c>
      <c r="E5" s="139">
        <v>1411782</v>
      </c>
      <c r="F5" s="139">
        <v>716535</v>
      </c>
      <c r="G5" s="139">
        <f>SUM(C5:F5)</f>
        <v>6968118</v>
      </c>
    </row>
    <row r="6" spans="2:7">
      <c r="B6" t="s">
        <v>2</v>
      </c>
      <c r="C6" s="139">
        <v>3563687</v>
      </c>
      <c r="D6" s="139">
        <v>4441886</v>
      </c>
      <c r="E6" s="139">
        <v>4805431</v>
      </c>
      <c r="F6" s="139">
        <v>3716674</v>
      </c>
      <c r="G6" s="139">
        <f>SUM(C6:F6)</f>
        <v>16527678</v>
      </c>
    </row>
    <row r="7" spans="2:7">
      <c r="B7" t="s">
        <v>5</v>
      </c>
      <c r="C7" s="139">
        <v>4489700</v>
      </c>
      <c r="D7" s="139">
        <v>2651064</v>
      </c>
      <c r="E7" s="139">
        <v>796330</v>
      </c>
      <c r="F7" s="139">
        <v>2898601</v>
      </c>
      <c r="G7" s="139">
        <f>SUM(C7:F7)</f>
        <v>10835695</v>
      </c>
    </row>
    <row r="8" spans="2:7">
      <c r="B8" t="s">
        <v>584</v>
      </c>
      <c r="C8" s="139">
        <v>2167319</v>
      </c>
      <c r="D8" s="139">
        <v>1357850</v>
      </c>
      <c r="E8" s="139">
        <v>776850</v>
      </c>
      <c r="F8" s="139">
        <v>3024542</v>
      </c>
      <c r="G8" s="139">
        <f>SUM(C8:F8)</f>
        <v>7326561</v>
      </c>
    </row>
    <row r="9" spans="2:7">
      <c r="B9" t="s">
        <v>355</v>
      </c>
      <c r="C9" s="139">
        <v>1861239</v>
      </c>
      <c r="D9" s="139">
        <v>3578280</v>
      </c>
      <c r="E9" s="139">
        <v>4069389</v>
      </c>
      <c r="F9" s="139">
        <v>1475301</v>
      </c>
      <c r="G9" s="139">
        <f>SUM(C9:F9)</f>
        <v>10984209</v>
      </c>
    </row>
    <row r="10" spans="2:7" ht="15.75" thickBot="1">
      <c r="B10" t="s">
        <v>6</v>
      </c>
      <c r="C10" s="144">
        <f>SUM(C4:C9)</f>
        <v>16311199</v>
      </c>
      <c r="D10" s="144">
        <f>SUM(D4:D9)</f>
        <v>15669322</v>
      </c>
      <c r="E10" s="144">
        <f>SUM(E4:E9)</f>
        <v>13087629</v>
      </c>
      <c r="F10" s="144">
        <f>SUM(F4:F9)</f>
        <v>12851269</v>
      </c>
      <c r="G10" s="144">
        <f>SUM(G4:G9)</f>
        <v>57919419</v>
      </c>
    </row>
    <row r="11" spans="2:7" ht="15.75" thickTop="1">
      <c r="C11" s="139"/>
      <c r="D11" s="139"/>
      <c r="E11" s="139"/>
      <c r="F11" s="139"/>
    </row>
    <row r="13" spans="2:7">
      <c r="B13" s="143" t="s">
        <v>583</v>
      </c>
      <c r="C13" s="108" t="s">
        <v>584</v>
      </c>
    </row>
    <row r="14" spans="2:7">
      <c r="B14" s="143" t="s">
        <v>582</v>
      </c>
      <c r="C14" s="108"/>
    </row>
    <row r="15" spans="2:7">
      <c r="B15" s="143" t="s">
        <v>581</v>
      </c>
      <c r="C15" s="142">
        <f>INDEX(C4:G10,IFERROR(MATCH(C13,B4:B10,FALSE),COUNTA(B4:B10)),IFERROR(MATCH(C14,C3:G3,FALSE),COUNTA(C3:G3)))</f>
        <v>7326561</v>
      </c>
    </row>
  </sheetData>
  <dataValidations count="2">
    <dataValidation type="list" allowBlank="1" showInputMessage="1" showErrorMessage="1" sqref="C13">
      <formula1>$B$4:$B$10</formula1>
    </dataValidation>
    <dataValidation type="list" allowBlank="1" showInputMessage="1" showErrorMessage="1" sqref="C14">
      <formula1>$C$3:$G$3</formula1>
    </dataValidation>
  </dataValidation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H45"/>
  <sheetViews>
    <sheetView topLeftCell="A5" workbookViewId="0">
      <selection activeCell="B3" sqref="B3"/>
    </sheetView>
  </sheetViews>
  <sheetFormatPr defaultRowHeight="15"/>
  <cols>
    <col min="1" max="1" width="4.42578125" customWidth="1"/>
    <col min="2" max="2" width="16.7109375" bestFit="1" customWidth="1"/>
    <col min="3" max="3" width="23.85546875" bestFit="1" customWidth="1"/>
    <col min="4" max="4" width="18.7109375" bestFit="1" customWidth="1"/>
    <col min="5" max="5" width="10.5703125" bestFit="1" customWidth="1"/>
    <col min="6" max="6" width="5.5703125" customWidth="1"/>
    <col min="7" max="7" width="13.7109375" bestFit="1" customWidth="1"/>
    <col min="8" max="8" width="17.85546875" customWidth="1"/>
  </cols>
  <sheetData>
    <row r="2" spans="2:8">
      <c r="B2" s="97" t="s">
        <v>0</v>
      </c>
      <c r="C2" s="97" t="s">
        <v>655</v>
      </c>
      <c r="D2" s="97" t="s">
        <v>654</v>
      </c>
      <c r="E2" s="97" t="s">
        <v>13</v>
      </c>
    </row>
    <row r="3" spans="2:8">
      <c r="B3" t="s">
        <v>584</v>
      </c>
      <c r="C3" t="s">
        <v>594</v>
      </c>
      <c r="D3" t="s">
        <v>653</v>
      </c>
      <c r="E3" s="139">
        <v>4406018</v>
      </c>
    </row>
    <row r="4" spans="2:8">
      <c r="B4" t="s">
        <v>355</v>
      </c>
      <c r="C4" t="s">
        <v>594</v>
      </c>
      <c r="D4" t="s">
        <v>652</v>
      </c>
      <c r="E4" s="139">
        <v>2564165</v>
      </c>
    </row>
    <row r="5" spans="2:8">
      <c r="B5" t="s">
        <v>2</v>
      </c>
      <c r="C5" t="s">
        <v>651</v>
      </c>
      <c r="D5" t="s">
        <v>650</v>
      </c>
      <c r="E5" s="139">
        <v>1443535</v>
      </c>
      <c r="G5" s="134" t="s">
        <v>583</v>
      </c>
      <c r="H5" s="108" t="s">
        <v>3</v>
      </c>
    </row>
    <row r="6" spans="2:8">
      <c r="B6" t="s">
        <v>584</v>
      </c>
      <c r="C6" t="s">
        <v>588</v>
      </c>
      <c r="D6" t="s">
        <v>649</v>
      </c>
      <c r="E6" s="139">
        <v>2834014</v>
      </c>
      <c r="G6" s="134" t="s">
        <v>648</v>
      </c>
      <c r="H6" s="108" t="s">
        <v>640</v>
      </c>
    </row>
    <row r="7" spans="2:8">
      <c r="B7" t="s">
        <v>597</v>
      </c>
      <c r="C7" t="s">
        <v>633</v>
      </c>
      <c r="D7" t="s">
        <v>647</v>
      </c>
      <c r="E7" s="139">
        <v>1119596</v>
      </c>
      <c r="G7" s="134" t="s">
        <v>646</v>
      </c>
      <c r="H7" s="142">
        <f>SUMPRODUCT(($B$3:$B$45=H5)*($C$3:$C$45=H6)*($E$3:$E$45))</f>
        <v>697697</v>
      </c>
    </row>
    <row r="8" spans="2:8">
      <c r="B8" t="s">
        <v>584</v>
      </c>
      <c r="C8" t="s">
        <v>592</v>
      </c>
      <c r="D8" t="s">
        <v>645</v>
      </c>
      <c r="E8" s="139">
        <v>2949401</v>
      </c>
      <c r="G8" s="133" t="s">
        <v>644</v>
      </c>
      <c r="H8" s="142" t="str">
        <f>INDEX(D:D,SUMPRODUCT(($B$3:$B$45=H5)*($C$3:$C$45=H6)*(ROW($E$3:$E$45))),1)</f>
        <v>Brooke Bailey</v>
      </c>
    </row>
    <row r="9" spans="2:8">
      <c r="B9" t="s">
        <v>584</v>
      </c>
      <c r="C9" t="s">
        <v>601</v>
      </c>
      <c r="D9" t="s">
        <v>643</v>
      </c>
      <c r="E9" s="139">
        <v>2371246</v>
      </c>
    </row>
    <row r="10" spans="2:8">
      <c r="B10" t="s">
        <v>4</v>
      </c>
      <c r="C10" t="s">
        <v>603</v>
      </c>
      <c r="D10" t="s">
        <v>642</v>
      </c>
      <c r="E10" s="139">
        <v>3043499</v>
      </c>
    </row>
    <row r="11" spans="2:8">
      <c r="B11" t="s">
        <v>584</v>
      </c>
      <c r="C11" t="s">
        <v>609</v>
      </c>
      <c r="D11" t="s">
        <v>641</v>
      </c>
      <c r="E11" s="139">
        <v>1621716</v>
      </c>
    </row>
    <row r="12" spans="2:8">
      <c r="B12" t="s">
        <v>3</v>
      </c>
      <c r="C12" t="s">
        <v>640</v>
      </c>
      <c r="D12" t="s">
        <v>639</v>
      </c>
      <c r="E12" s="139">
        <v>697697</v>
      </c>
    </row>
    <row r="13" spans="2:8">
      <c r="B13" t="s">
        <v>584</v>
      </c>
      <c r="C13" t="s">
        <v>426</v>
      </c>
      <c r="D13" t="s">
        <v>638</v>
      </c>
      <c r="E13" s="139">
        <v>1458914</v>
      </c>
    </row>
    <row r="14" spans="2:8">
      <c r="B14" t="s">
        <v>2</v>
      </c>
      <c r="C14" t="s">
        <v>601</v>
      </c>
      <c r="D14" t="s">
        <v>637</v>
      </c>
      <c r="E14" s="139">
        <v>2922128</v>
      </c>
    </row>
    <row r="15" spans="2:8">
      <c r="B15" t="s">
        <v>2</v>
      </c>
      <c r="C15" t="s">
        <v>599</v>
      </c>
      <c r="D15" t="s">
        <v>636</v>
      </c>
      <c r="E15" s="139">
        <v>3699755</v>
      </c>
    </row>
    <row r="16" spans="2:8">
      <c r="B16" t="s">
        <v>3</v>
      </c>
      <c r="C16" t="s">
        <v>599</v>
      </c>
      <c r="D16" t="s">
        <v>635</v>
      </c>
      <c r="E16" s="139">
        <v>930133</v>
      </c>
    </row>
    <row r="17" spans="2:5">
      <c r="B17" t="s">
        <v>597</v>
      </c>
      <c r="C17" t="s">
        <v>609</v>
      </c>
      <c r="D17" t="s">
        <v>634</v>
      </c>
      <c r="E17" s="139">
        <v>2609312</v>
      </c>
    </row>
    <row r="18" spans="2:5">
      <c r="B18" t="s">
        <v>3</v>
      </c>
      <c r="C18" t="s">
        <v>633</v>
      </c>
      <c r="D18" t="s">
        <v>632</v>
      </c>
      <c r="E18" s="139">
        <v>1660933</v>
      </c>
    </row>
    <row r="19" spans="2:5">
      <c r="B19" t="s">
        <v>584</v>
      </c>
      <c r="C19" t="s">
        <v>599</v>
      </c>
      <c r="D19" t="s">
        <v>631</v>
      </c>
      <c r="E19" s="139">
        <v>644173</v>
      </c>
    </row>
    <row r="20" spans="2:5">
      <c r="B20" t="s">
        <v>597</v>
      </c>
      <c r="C20" t="s">
        <v>588</v>
      </c>
      <c r="D20" t="s">
        <v>630</v>
      </c>
      <c r="E20" s="139">
        <v>4487298</v>
      </c>
    </row>
    <row r="21" spans="2:5">
      <c r="B21" t="s">
        <v>584</v>
      </c>
      <c r="C21" t="s">
        <v>596</v>
      </c>
      <c r="D21" t="s">
        <v>629</v>
      </c>
      <c r="E21" s="139">
        <v>1391005</v>
      </c>
    </row>
    <row r="22" spans="2:5">
      <c r="B22" t="s">
        <v>2</v>
      </c>
      <c r="C22" t="s">
        <v>614</v>
      </c>
      <c r="D22" t="s">
        <v>628</v>
      </c>
      <c r="E22" s="139">
        <v>3660829</v>
      </c>
    </row>
    <row r="23" spans="2:5">
      <c r="B23" t="s">
        <v>4</v>
      </c>
      <c r="C23" t="s">
        <v>627</v>
      </c>
      <c r="D23" t="s">
        <v>626</v>
      </c>
      <c r="E23" s="139">
        <v>2478092</v>
      </c>
    </row>
    <row r="24" spans="2:5">
      <c r="B24" t="s">
        <v>355</v>
      </c>
      <c r="C24" t="s">
        <v>624</v>
      </c>
      <c r="D24" t="s">
        <v>625</v>
      </c>
      <c r="E24" s="139">
        <v>4873822</v>
      </c>
    </row>
    <row r="25" spans="2:5">
      <c r="B25" t="s">
        <v>3</v>
      </c>
      <c r="C25" t="s">
        <v>624</v>
      </c>
      <c r="D25" t="s">
        <v>623</v>
      </c>
      <c r="E25" s="139">
        <v>896582</v>
      </c>
    </row>
    <row r="26" spans="2:5">
      <c r="B26" t="s">
        <v>355</v>
      </c>
      <c r="C26" t="s">
        <v>621</v>
      </c>
      <c r="D26" t="s">
        <v>622</v>
      </c>
      <c r="E26" s="139">
        <v>2069914</v>
      </c>
    </row>
    <row r="27" spans="2:5">
      <c r="B27" t="s">
        <v>584</v>
      </c>
      <c r="C27" t="s">
        <v>621</v>
      </c>
      <c r="D27" t="s">
        <v>620</v>
      </c>
      <c r="E27" s="139">
        <v>3653753</v>
      </c>
    </row>
    <row r="28" spans="2:5">
      <c r="B28" t="s">
        <v>4</v>
      </c>
      <c r="C28" t="s">
        <v>590</v>
      </c>
      <c r="D28" t="s">
        <v>619</v>
      </c>
      <c r="E28" s="139">
        <v>4201604</v>
      </c>
    </row>
    <row r="29" spans="2:5">
      <c r="B29" t="s">
        <v>607</v>
      </c>
      <c r="C29" t="s">
        <v>596</v>
      </c>
      <c r="D29" t="s">
        <v>618</v>
      </c>
      <c r="E29" s="139">
        <v>1767245</v>
      </c>
    </row>
    <row r="30" spans="2:5">
      <c r="B30" t="s">
        <v>607</v>
      </c>
      <c r="C30" t="s">
        <v>617</v>
      </c>
      <c r="D30" t="s">
        <v>616</v>
      </c>
      <c r="E30" s="139">
        <v>694393</v>
      </c>
    </row>
    <row r="31" spans="2:5">
      <c r="B31" t="s">
        <v>4</v>
      </c>
      <c r="C31" t="s">
        <v>614</v>
      </c>
      <c r="D31" t="s">
        <v>615</v>
      </c>
      <c r="E31" s="139">
        <v>759059</v>
      </c>
    </row>
    <row r="32" spans="2:5">
      <c r="B32" t="s">
        <v>597</v>
      </c>
      <c r="C32" t="s">
        <v>614</v>
      </c>
      <c r="D32" t="s">
        <v>613</v>
      </c>
      <c r="E32" s="139">
        <v>3122720</v>
      </c>
    </row>
    <row r="33" spans="2:5">
      <c r="B33" t="s">
        <v>4</v>
      </c>
      <c r="C33" t="s">
        <v>594</v>
      </c>
      <c r="D33" t="s">
        <v>612</v>
      </c>
      <c r="E33" s="139">
        <v>3269238</v>
      </c>
    </row>
    <row r="34" spans="2:5">
      <c r="B34" t="s">
        <v>3</v>
      </c>
      <c r="C34" t="s">
        <v>611</v>
      </c>
      <c r="D34" t="s">
        <v>610</v>
      </c>
      <c r="E34" s="139">
        <v>1189542</v>
      </c>
    </row>
    <row r="35" spans="2:5">
      <c r="B35" t="s">
        <v>607</v>
      </c>
      <c r="C35" t="s">
        <v>609</v>
      </c>
      <c r="D35" t="s">
        <v>608</v>
      </c>
      <c r="E35" s="139">
        <v>2012197</v>
      </c>
    </row>
    <row r="36" spans="2:5">
      <c r="B36" t="s">
        <v>607</v>
      </c>
      <c r="C36" t="s">
        <v>592</v>
      </c>
      <c r="D36" t="s">
        <v>606</v>
      </c>
      <c r="E36" s="139">
        <v>1971418</v>
      </c>
    </row>
    <row r="37" spans="2:5">
      <c r="B37" t="s">
        <v>355</v>
      </c>
      <c r="C37" t="s">
        <v>605</v>
      </c>
      <c r="D37" t="s">
        <v>604</v>
      </c>
      <c r="E37" s="139">
        <v>2189297</v>
      </c>
    </row>
    <row r="38" spans="2:5">
      <c r="B38" t="s">
        <v>597</v>
      </c>
      <c r="C38" t="s">
        <v>603</v>
      </c>
      <c r="D38" t="s">
        <v>602</v>
      </c>
      <c r="E38" s="139">
        <v>4822701</v>
      </c>
    </row>
    <row r="39" spans="2:5">
      <c r="B39" t="s">
        <v>4</v>
      </c>
      <c r="C39" t="s">
        <v>601</v>
      </c>
      <c r="D39" t="s">
        <v>600</v>
      </c>
      <c r="E39" s="139">
        <v>2346810</v>
      </c>
    </row>
    <row r="40" spans="2:5">
      <c r="B40" t="s">
        <v>355</v>
      </c>
      <c r="C40" t="s">
        <v>599</v>
      </c>
      <c r="D40" t="s">
        <v>598</v>
      </c>
      <c r="E40" s="139">
        <v>3443800</v>
      </c>
    </row>
    <row r="41" spans="2:5">
      <c r="B41" t="s">
        <v>597</v>
      </c>
      <c r="C41" t="s">
        <v>596</v>
      </c>
      <c r="D41" t="s">
        <v>595</v>
      </c>
      <c r="E41" s="139">
        <v>1738454</v>
      </c>
    </row>
    <row r="42" spans="2:5">
      <c r="B42" t="s">
        <v>3</v>
      </c>
      <c r="C42" t="s">
        <v>594</v>
      </c>
      <c r="D42" t="s">
        <v>593</v>
      </c>
      <c r="E42" s="139">
        <v>2592508</v>
      </c>
    </row>
    <row r="43" spans="2:5">
      <c r="B43" t="s">
        <v>355</v>
      </c>
      <c r="C43" t="s">
        <v>592</v>
      </c>
      <c r="D43" t="s">
        <v>591</v>
      </c>
      <c r="E43" s="139">
        <v>2581251</v>
      </c>
    </row>
    <row r="44" spans="2:5">
      <c r="B44" t="s">
        <v>2</v>
      </c>
      <c r="C44" t="s">
        <v>590</v>
      </c>
      <c r="D44" t="s">
        <v>589</v>
      </c>
      <c r="E44" s="139">
        <v>3825424</v>
      </c>
    </row>
    <row r="45" spans="2:5">
      <c r="B45" t="s">
        <v>4</v>
      </c>
      <c r="C45" t="s">
        <v>588</v>
      </c>
      <c r="D45" t="s">
        <v>587</v>
      </c>
      <c r="E45" s="139">
        <v>2077279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B3" sqref="B3"/>
    </sheetView>
  </sheetViews>
  <sheetFormatPr defaultRowHeight="15"/>
  <cols>
    <col min="1" max="1" width="4.5703125" customWidth="1"/>
    <col min="2" max="2" width="8.85546875" customWidth="1"/>
    <col min="3" max="3" width="12" bestFit="1" customWidth="1"/>
    <col min="4" max="4" width="9.5703125" customWidth="1"/>
    <col min="5" max="5" width="4.5703125" customWidth="1"/>
    <col min="6" max="6" width="11.28515625" bestFit="1" customWidth="1"/>
    <col min="7" max="7" width="12" bestFit="1" customWidth="1"/>
  </cols>
  <sheetData>
    <row r="2" spans="2:7">
      <c r="B2" s="97" t="s">
        <v>669</v>
      </c>
      <c r="C2" s="97" t="s">
        <v>668</v>
      </c>
      <c r="D2" s="97" t="s">
        <v>370</v>
      </c>
    </row>
    <row r="3" spans="2:7">
      <c r="B3" t="s">
        <v>667</v>
      </c>
      <c r="C3" s="139">
        <v>53</v>
      </c>
      <c r="D3" s="110">
        <v>555.73</v>
      </c>
    </row>
    <row r="4" spans="2:7">
      <c r="B4" t="s">
        <v>666</v>
      </c>
      <c r="C4" s="139">
        <v>160</v>
      </c>
      <c r="D4" s="110">
        <v>940.56</v>
      </c>
      <c r="F4" s="97" t="s">
        <v>665</v>
      </c>
      <c r="G4" s="97" t="s">
        <v>664</v>
      </c>
    </row>
    <row r="5" spans="2:7">
      <c r="B5" t="s">
        <v>663</v>
      </c>
      <c r="C5" s="139">
        <v>40</v>
      </c>
      <c r="D5" s="110">
        <v>3026.1</v>
      </c>
      <c r="F5" t="str">
        <f>INDEX(B:B,COUNTA(B:B)+1)</f>
        <v>IN6513</v>
      </c>
      <c r="G5" s="110">
        <f>LOOKUP(9.99E+307,D:D)</f>
        <v>3326.98</v>
      </c>
    </row>
    <row r="6" spans="2:7">
      <c r="B6" t="s">
        <v>662</v>
      </c>
      <c r="C6" s="139">
        <v>146</v>
      </c>
      <c r="D6" s="110">
        <v>4885.9399999999996</v>
      </c>
    </row>
    <row r="7" spans="2:7">
      <c r="B7" t="s">
        <v>661</v>
      </c>
      <c r="C7" s="139">
        <v>84</v>
      </c>
      <c r="D7" s="110">
        <v>969.46</v>
      </c>
    </row>
    <row r="8" spans="2:7">
      <c r="B8" t="s">
        <v>660</v>
      </c>
      <c r="C8" s="139">
        <v>97</v>
      </c>
      <c r="D8" s="110">
        <v>2979.33</v>
      </c>
    </row>
    <row r="9" spans="2:7">
      <c r="B9" t="s">
        <v>659</v>
      </c>
      <c r="C9" s="139">
        <v>200</v>
      </c>
      <c r="D9" s="110">
        <v>2950.74</v>
      </c>
    </row>
    <row r="10" spans="2:7">
      <c r="B10" t="s">
        <v>658</v>
      </c>
      <c r="C10" s="139">
        <v>40</v>
      </c>
      <c r="D10" s="110">
        <v>3970.5</v>
      </c>
      <c r="F10" s="147"/>
    </row>
    <row r="11" spans="2:7">
      <c r="B11" t="s">
        <v>657</v>
      </c>
      <c r="C11" s="139">
        <v>155</v>
      </c>
      <c r="D11" s="110">
        <v>3332.94</v>
      </c>
    </row>
    <row r="12" spans="2:7">
      <c r="B12" t="s">
        <v>656</v>
      </c>
      <c r="C12" s="139">
        <v>75</v>
      </c>
      <c r="D12" s="110">
        <v>3326.98</v>
      </c>
      <c r="F12" s="147"/>
    </row>
    <row r="14" spans="2:7">
      <c r="F14" s="147"/>
      <c r="G14" s="146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F26"/>
  <sheetViews>
    <sheetView workbookViewId="0">
      <selection activeCell="B3" sqref="B3"/>
    </sheetView>
  </sheetViews>
  <sheetFormatPr defaultRowHeight="15"/>
  <cols>
    <col min="2" max="2" width="8" bestFit="1" customWidth="1"/>
    <col min="3" max="3" width="12.28515625" bestFit="1" customWidth="1"/>
    <col min="5" max="5" width="11.42578125" customWidth="1"/>
  </cols>
  <sheetData>
    <row r="2" spans="2:6">
      <c r="B2" s="97" t="s">
        <v>565</v>
      </c>
      <c r="C2" s="97" t="s">
        <v>675</v>
      </c>
      <c r="E2" s="148" t="s">
        <v>674</v>
      </c>
      <c r="F2" s="98" t="s">
        <v>670</v>
      </c>
    </row>
    <row r="3" spans="2:6">
      <c r="B3" t="s">
        <v>670</v>
      </c>
      <c r="C3" s="110">
        <v>791.78</v>
      </c>
      <c r="E3" t="str">
        <f>IF(COUNTIF($B$3:$B$26,$F$2)&gt;ROW()-3,$F$2,"")</f>
        <v>Carlos</v>
      </c>
      <c r="F3" s="110">
        <f t="array" ref="F3">IF(LEN(E3)&gt;0,INDEX($C$1:$C$26,SMALL(IF(($B$3:$B$26=E3),ROW($B$3:$B$26),""),ROW()-2),1),"")</f>
        <v>791.78</v>
      </c>
    </row>
    <row r="4" spans="2:6">
      <c r="B4" t="s">
        <v>672</v>
      </c>
      <c r="C4" s="110">
        <v>729.87</v>
      </c>
      <c r="E4" t="str">
        <f>IF(COUNTIF($B$3:$B$26,$F$2)&gt;ROW()-3,$F$2,"")</f>
        <v>Carlos</v>
      </c>
      <c r="F4" s="110">
        <f t="array" ref="F4">IF(LEN(E4)&gt;0,INDEX($C$1:$C$26,SMALL(IF(($B$3:$B$26=E4),ROW($B$3:$B$26),""),ROW()-2),1),"")</f>
        <v>136.41</v>
      </c>
    </row>
    <row r="5" spans="2:6">
      <c r="B5" t="s">
        <v>671</v>
      </c>
      <c r="C5" s="110">
        <v>879.54</v>
      </c>
      <c r="E5" t="str">
        <f>IF(COUNTIF($B$3:$B$26,$F$2)&gt;ROW()-3,$F$2,"")</f>
        <v>Carlos</v>
      </c>
      <c r="F5" s="110">
        <f t="array" ref="F5">IF(LEN(E5)&gt;0,INDEX($C$1:$C$26,SMALL(IF(($B$3:$B$26=E5),ROW($B$3:$B$26),""),ROW()-2),1),"")</f>
        <v>233.59</v>
      </c>
    </row>
    <row r="6" spans="2:6">
      <c r="B6" t="s">
        <v>672</v>
      </c>
      <c r="C6" s="110">
        <v>876.7</v>
      </c>
      <c r="E6" t="str">
        <f>IF(COUNTIF($B$3:$B$26,$F$2)&gt;ROW()-3,$F$2,"")</f>
        <v>Carlos</v>
      </c>
      <c r="F6" s="110">
        <f t="array" ref="F6">IF(LEN(E6)&gt;0,INDEX($C$1:$C$26,SMALL(IF(($B$3:$B$26=E6),ROW($B$3:$B$26),""),ROW()-2),1),"")</f>
        <v>661.21</v>
      </c>
    </row>
    <row r="7" spans="2:6">
      <c r="B7" t="s">
        <v>672</v>
      </c>
      <c r="C7" s="110">
        <v>244.33</v>
      </c>
      <c r="E7" t="str">
        <f>IF(COUNTIF($B$3:$B$26,$F$2)&gt;ROW()-3,$F$2,"")</f>
        <v>Carlos</v>
      </c>
      <c r="F7" s="110">
        <f t="array" ref="F7">IF(LEN(E7)&gt;0,INDEX($C$1:$C$26,SMALL(IF(($B$3:$B$26=E7),ROW($B$3:$B$26),""),ROW()-2),1),"")</f>
        <v>603.34</v>
      </c>
    </row>
    <row r="8" spans="2:6">
      <c r="B8" t="s">
        <v>673</v>
      </c>
      <c r="C8" s="110">
        <v>174.47</v>
      </c>
      <c r="E8" t="str">
        <f>IF(COUNTIF($B$3:$B$26,$F$2)&gt;ROW()-3,$F$2,"")</f>
        <v>Carlos</v>
      </c>
      <c r="F8" s="110">
        <f t="array" ref="F8">IF(LEN(E8)&gt;0,INDEX($C$1:$C$26,SMALL(IF(($B$3:$B$26=E8),ROW($B$3:$B$26),""),ROW()-2),1),"")</f>
        <v>583.64</v>
      </c>
    </row>
    <row r="9" spans="2:6">
      <c r="B9" t="s">
        <v>671</v>
      </c>
      <c r="C9" s="110">
        <v>759.46</v>
      </c>
      <c r="E9" t="str">
        <f>IF(COUNTIF($B$3:$B$26,$F$2)&gt;ROW()-3,$F$2,"")</f>
        <v/>
      </c>
      <c r="F9" s="110" t="str">
        <f t="array" ref="F9">IF(LEN(E9)&gt;0,INDEX($C$1:$C$26,SMALL(IF(($B$3:$B$26=E9),ROW($B$3:$B$26),""),ROW()-2),1),"")</f>
        <v/>
      </c>
    </row>
    <row r="10" spans="2:6">
      <c r="B10" t="s">
        <v>672</v>
      </c>
      <c r="C10" s="110">
        <v>439.01</v>
      </c>
      <c r="E10" t="str">
        <f>IF(COUNTIF($B$3:$B$26,$F$2)&gt;ROW()-3,$F$2,"")</f>
        <v/>
      </c>
      <c r="F10" s="110" t="str">
        <f t="array" ref="F10">IF(LEN(E10)&gt;0,INDEX($C$1:$C$26,SMALL(IF(($B$3:$B$26=E10),ROW($B$3:$B$26),""),ROW()-2),1),"")</f>
        <v/>
      </c>
    </row>
    <row r="11" spans="2:6">
      <c r="B11" t="s">
        <v>673</v>
      </c>
      <c r="C11" s="110">
        <v>199.15</v>
      </c>
      <c r="E11" t="str">
        <f>IF(COUNTIF($B$3:$B$26,$F$2)&gt;ROW()-3,$F$2,"")</f>
        <v/>
      </c>
      <c r="F11" s="110" t="str">
        <f t="array" ref="F11">IF(LEN(E11)&gt;0,INDEX($C$1:$C$26,SMALL(IF(($B$3:$B$26=E11),ROW($B$3:$B$26),""),ROW()-2),1),"")</f>
        <v/>
      </c>
    </row>
    <row r="12" spans="2:6">
      <c r="B12" t="s">
        <v>671</v>
      </c>
      <c r="C12" s="110">
        <v>631.77</v>
      </c>
      <c r="E12" t="str">
        <f>IF(COUNTIF($B$3:$B$26,$F$2)&gt;ROW()-3,$F$2,"")</f>
        <v/>
      </c>
      <c r="F12" s="110" t="str">
        <f t="array" ref="F12">IF(LEN(E12)&gt;0,INDEX($C$1:$C$26,SMALL(IF(($B$3:$B$26=E12),ROW($B$3:$B$26),""),ROW()-2),1),"")</f>
        <v/>
      </c>
    </row>
    <row r="13" spans="2:6">
      <c r="B13" t="s">
        <v>670</v>
      </c>
      <c r="C13" s="110">
        <v>136.41</v>
      </c>
      <c r="E13" t="str">
        <f>IF(COUNTIF($B$3:$B$26,$F$2)&gt;ROW()-3,$F$2,"")</f>
        <v/>
      </c>
      <c r="F13" s="110" t="str">
        <f t="array" ref="F13">IF(LEN(E13)&gt;0,INDEX($C$1:$C$26,SMALL(IF(($B$3:$B$26=E13),ROW($B$3:$B$26),""),ROW()-2),1),"")</f>
        <v/>
      </c>
    </row>
    <row r="14" spans="2:6">
      <c r="B14" t="s">
        <v>670</v>
      </c>
      <c r="C14" s="110">
        <v>233.59</v>
      </c>
      <c r="E14" t="str">
        <f>IF(COUNTIF($B$3:$B$26,$F$2)&gt;ROW()-3,$F$2,"")</f>
        <v/>
      </c>
      <c r="F14" s="110" t="str">
        <f t="array" ref="F14">IF(LEN(E14)&gt;0,INDEX($C$1:$C$26,SMALL(IF(($B$3:$B$26=E14),ROW($B$3:$B$26),""),ROW()-2),1),"")</f>
        <v/>
      </c>
    </row>
    <row r="15" spans="2:6">
      <c r="B15" t="s">
        <v>673</v>
      </c>
      <c r="C15" s="110">
        <v>133.56</v>
      </c>
      <c r="E15" t="str">
        <f>IF(COUNTIF($B$3:$B$26,$F$2)&gt;ROW()-3,$F$2,"")</f>
        <v/>
      </c>
      <c r="F15" s="110" t="str">
        <f t="array" ref="F15">IF(LEN(E15)&gt;0,INDEX($C$1:$C$26,SMALL(IF(($B$3:$B$26=E15),ROW($B$3:$B$26),""),ROW()-2),1),"")</f>
        <v/>
      </c>
    </row>
    <row r="16" spans="2:6">
      <c r="B16" t="s">
        <v>673</v>
      </c>
      <c r="C16" s="110">
        <v>893.97</v>
      </c>
      <c r="E16" t="str">
        <f>IF(COUNTIF($B$3:$B$26,$F$2)&gt;ROW()-3,$F$2,"")</f>
        <v/>
      </c>
      <c r="F16" s="110" t="str">
        <f t="array" ref="F16">IF(LEN(E16)&gt;0,INDEX($C$1:$C$26,SMALL(IF(($B$3:$B$26=E16),ROW($B$3:$B$26),""),ROW()-2),1),"")</f>
        <v/>
      </c>
    </row>
    <row r="17" spans="2:6">
      <c r="B17" t="s">
        <v>670</v>
      </c>
      <c r="C17" s="110">
        <v>661.21</v>
      </c>
      <c r="E17" t="str">
        <f>IF(COUNTIF($B$3:$B$26,$F$2)&gt;ROW()-3,$F$2,"")</f>
        <v/>
      </c>
      <c r="F17" s="110" t="str">
        <f t="array" ref="F17">IF(LEN(E17)&gt;0,INDEX($C$1:$C$26,SMALL(IF(($B$3:$B$26=E17),ROW($B$3:$B$26),""),ROW()-2),1),"")</f>
        <v/>
      </c>
    </row>
    <row r="18" spans="2:6">
      <c r="B18" t="s">
        <v>671</v>
      </c>
      <c r="C18" s="110">
        <v>847.75</v>
      </c>
      <c r="E18" t="str">
        <f>IF(COUNTIF($B$3:$B$26,$F$2)&gt;ROW()-3,$F$2,"")</f>
        <v/>
      </c>
      <c r="F18" s="110" t="str">
        <f t="array" ref="F18">IF(LEN(E18)&gt;0,INDEX($C$1:$C$26,SMALL(IF(($B$3:$B$26=E18),ROW($B$3:$B$26),""),ROW()-2),1),"")</f>
        <v/>
      </c>
    </row>
    <row r="19" spans="2:6">
      <c r="B19" t="s">
        <v>673</v>
      </c>
      <c r="C19" s="110">
        <v>478.51</v>
      </c>
      <c r="E19" t="str">
        <f>IF(COUNTIF($B$3:$B$26,$F$2)&gt;ROW()-3,$F$2,"")</f>
        <v/>
      </c>
      <c r="F19" s="110" t="str">
        <f t="array" ref="F19">IF(LEN(E19)&gt;0,INDEX($C$1:$C$26,SMALL(IF(($B$3:$B$26=E19),ROW($B$3:$B$26),""),ROW()-2),1),"")</f>
        <v/>
      </c>
    </row>
    <row r="20" spans="2:6">
      <c r="B20" t="s">
        <v>672</v>
      </c>
      <c r="C20" s="110">
        <v>524.85</v>
      </c>
      <c r="E20" t="str">
        <f>IF(COUNTIF($B$3:$B$26,$F$2)&gt;ROW()-3,$F$2,"")</f>
        <v/>
      </c>
      <c r="F20" s="110" t="str">
        <f t="array" ref="F20">IF(LEN(E20)&gt;0,INDEX($C$1:$C$26,SMALL(IF(($B$3:$B$26=E20),ROW($B$3:$B$26),""),ROW()-2),1),"")</f>
        <v/>
      </c>
    </row>
    <row r="21" spans="2:6">
      <c r="B21" t="s">
        <v>673</v>
      </c>
      <c r="C21" s="110">
        <v>174.3</v>
      </c>
      <c r="E21" t="str">
        <f>IF(COUNTIF($B$3:$B$26,$F$2)&gt;ROW()-3,$F$2,"")</f>
        <v/>
      </c>
      <c r="F21" s="110" t="str">
        <f t="array" ref="F21">IF(LEN(E21)&gt;0,INDEX($C$1:$C$26,SMALL(IF(($B$3:$B$26=E21),ROW($B$3:$B$26),""),ROW()-2),1),"")</f>
        <v/>
      </c>
    </row>
    <row r="22" spans="2:6">
      <c r="B22" t="s">
        <v>671</v>
      </c>
      <c r="C22" s="110">
        <v>414.5</v>
      </c>
      <c r="E22" t="str">
        <f>IF(COUNTIF($B$3:$B$26,$F$2)&gt;ROW()-3,$F$2,"")</f>
        <v/>
      </c>
      <c r="F22" s="110" t="str">
        <f t="array" ref="F22">IF(LEN(E22)&gt;0,INDEX($C$1:$C$26,SMALL(IF(($B$3:$B$26=E22),ROW($B$3:$B$26),""),ROW()-2),1),"")</f>
        <v/>
      </c>
    </row>
    <row r="23" spans="2:6">
      <c r="B23" t="s">
        <v>672</v>
      </c>
      <c r="C23" s="110">
        <v>908.75</v>
      </c>
      <c r="E23" t="str">
        <f>IF(COUNTIF($B$3:$B$26,$F$2)&gt;ROW()-3,$F$2,"")</f>
        <v/>
      </c>
      <c r="F23" s="110" t="str">
        <f t="array" ref="F23">IF(LEN(E23)&gt;0,INDEX($C$1:$C$26,SMALL(IF(($B$3:$B$26=E23),ROW($B$3:$B$26),""),ROW()-2),1),"")</f>
        <v/>
      </c>
    </row>
    <row r="24" spans="2:6">
      <c r="B24" t="s">
        <v>670</v>
      </c>
      <c r="C24" s="110">
        <v>603.34</v>
      </c>
      <c r="E24" t="str">
        <f>IF(COUNTIF($B$3:$B$26,$F$2)&gt;ROW()-3,$F$2,"")</f>
        <v/>
      </c>
      <c r="F24" s="110" t="str">
        <f t="array" ref="F24">IF(LEN(E24)&gt;0,INDEX($C$1:$C$26,SMALL(IF(($B$3:$B$26=E24),ROW($B$3:$B$26),""),ROW()-2),1),"")</f>
        <v/>
      </c>
    </row>
    <row r="25" spans="2:6">
      <c r="B25" t="s">
        <v>671</v>
      </c>
      <c r="C25" s="110">
        <v>457.94</v>
      </c>
      <c r="E25" t="str">
        <f>IF(COUNTIF($B$3:$B$26,$F$2)&gt;ROW()-3,$F$2,"")</f>
        <v/>
      </c>
      <c r="F25" s="110" t="str">
        <f t="array" ref="F25">IF(LEN(E25)&gt;0,INDEX($C$1:$C$26,SMALL(IF(($B$3:$B$26=E25),ROW($B$3:$B$26),""),ROW()-2),1),"")</f>
        <v/>
      </c>
    </row>
    <row r="26" spans="2:6">
      <c r="B26" t="s">
        <v>670</v>
      </c>
      <c r="C26" s="110">
        <v>583.64</v>
      </c>
      <c r="E26" t="str">
        <f>IF(COUNTIF($B$3:$B$26,$F$2)&gt;ROW()-3,$F$2,"")</f>
        <v/>
      </c>
      <c r="F26" s="110" t="str">
        <f t="array" ref="F26">IF(LEN(E26)&gt;0,INDEX($C$1:$C$26,SMALL(IF(($B$3:$B$26=E26),ROW($B$3:$B$26),""),ROW()-2),1),"")</f>
        <v/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F13"/>
  <sheetViews>
    <sheetView workbookViewId="0">
      <selection activeCell="B3" sqref="B3"/>
    </sheetView>
  </sheetViews>
  <sheetFormatPr defaultRowHeight="15"/>
  <cols>
    <col min="2" max="2" width="16.85546875" bestFit="1" customWidth="1"/>
    <col min="3" max="3" width="9.7109375" bestFit="1" customWidth="1"/>
    <col min="5" max="5" width="11.42578125" bestFit="1" customWidth="1"/>
    <col min="6" max="6" width="16.85546875" bestFit="1" customWidth="1"/>
  </cols>
  <sheetData>
    <row r="2" spans="2:6">
      <c r="B2" s="97" t="s">
        <v>690</v>
      </c>
      <c r="C2" s="97" t="s">
        <v>689</v>
      </c>
    </row>
    <row r="3" spans="2:6">
      <c r="B3" s="149" t="s">
        <v>688</v>
      </c>
      <c r="C3" s="70">
        <v>41870</v>
      </c>
    </row>
    <row r="4" spans="2:6">
      <c r="B4" s="149" t="s">
        <v>687</v>
      </c>
      <c r="C4" s="70">
        <v>41857</v>
      </c>
      <c r="E4" s="134" t="s">
        <v>686</v>
      </c>
      <c r="F4" s="149" t="s">
        <v>677</v>
      </c>
    </row>
    <row r="5" spans="2:6">
      <c r="B5" s="149" t="s">
        <v>685</v>
      </c>
      <c r="C5" s="70">
        <v>41880</v>
      </c>
      <c r="E5" s="134" t="s">
        <v>684</v>
      </c>
      <c r="F5" s="70">
        <f>VLOOKUP(F4,B3:C12,2,FALSE)</f>
        <v>41857</v>
      </c>
    </row>
    <row r="6" spans="2:6">
      <c r="B6" s="149" t="s">
        <v>683</v>
      </c>
      <c r="C6" s="70">
        <v>41875</v>
      </c>
      <c r="E6" s="134" t="s">
        <v>682</v>
      </c>
      <c r="F6" s="70">
        <f>INDEX(C1:C12,SUMPRODUCT((EXACT(B3:B12,F4))*(ROW(B3:B12))),1)</f>
        <v>41871</v>
      </c>
    </row>
    <row r="7" spans="2:6">
      <c r="B7" s="149" t="s">
        <v>681</v>
      </c>
      <c r="C7" s="70">
        <v>41857</v>
      </c>
    </row>
    <row r="8" spans="2:6">
      <c r="B8" s="149" t="s">
        <v>680</v>
      </c>
      <c r="C8" s="70">
        <v>41863</v>
      </c>
    </row>
    <row r="9" spans="2:6">
      <c r="B9" s="149" t="s">
        <v>679</v>
      </c>
      <c r="C9" s="70">
        <v>41865</v>
      </c>
    </row>
    <row r="10" spans="2:6">
      <c r="B10" s="149" t="s">
        <v>678</v>
      </c>
      <c r="C10" s="70">
        <v>41855</v>
      </c>
    </row>
    <row r="11" spans="2:6">
      <c r="B11" s="149" t="s">
        <v>677</v>
      </c>
      <c r="C11" s="70">
        <v>41871</v>
      </c>
    </row>
    <row r="12" spans="2:6">
      <c r="B12" s="149" t="s">
        <v>676</v>
      </c>
      <c r="C12" s="70">
        <v>41876</v>
      </c>
    </row>
    <row r="13" spans="2:6">
      <c r="B13" s="149"/>
    </row>
  </sheetData>
  <dataValidations count="1">
    <dataValidation type="list" allowBlank="1" showInputMessage="1" showErrorMessage="1" sqref="F4">
      <formula1>$B$3:$B$12</formula1>
    </dataValidation>
  </dataValidation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G17"/>
  <sheetViews>
    <sheetView workbookViewId="0">
      <selection activeCell="B3" sqref="B3"/>
    </sheetView>
  </sheetViews>
  <sheetFormatPr defaultRowHeight="15"/>
  <cols>
    <col min="1" max="1" width="5.28515625" customWidth="1"/>
    <col min="2" max="2" width="9.7109375" bestFit="1" customWidth="1"/>
    <col min="3" max="3" width="7.7109375" bestFit="1" customWidth="1"/>
    <col min="4" max="4" width="12.28515625" bestFit="1" customWidth="1"/>
    <col min="5" max="5" width="4.140625" customWidth="1"/>
    <col min="6" max="6" width="20.28515625" bestFit="1" customWidth="1"/>
    <col min="7" max="7" width="10.85546875" bestFit="1" customWidth="1"/>
  </cols>
  <sheetData>
    <row r="2" spans="2:7">
      <c r="B2" s="97" t="s">
        <v>236</v>
      </c>
      <c r="C2" s="97" t="s">
        <v>695</v>
      </c>
      <c r="D2" s="97" t="s">
        <v>675</v>
      </c>
      <c r="G2" s="151" t="s">
        <v>694</v>
      </c>
    </row>
    <row r="3" spans="2:7">
      <c r="B3" s="70">
        <v>41854</v>
      </c>
      <c r="C3">
        <v>421</v>
      </c>
      <c r="D3" s="110">
        <v>179.69</v>
      </c>
      <c r="G3" t="s">
        <v>369</v>
      </c>
    </row>
    <row r="4" spans="2:7">
      <c r="B4" s="70">
        <v>41862</v>
      </c>
      <c r="C4">
        <v>352</v>
      </c>
      <c r="D4" s="110">
        <v>445.41</v>
      </c>
      <c r="G4" t="s">
        <v>371</v>
      </c>
    </row>
    <row r="5" spans="2:7">
      <c r="B5" s="70">
        <v>41852</v>
      </c>
      <c r="C5">
        <v>325</v>
      </c>
      <c r="D5" s="110">
        <v>653.09</v>
      </c>
      <c r="G5" t="s">
        <v>692</v>
      </c>
    </row>
    <row r="6" spans="2:7">
      <c r="B6" s="70">
        <v>41862</v>
      </c>
      <c r="C6">
        <v>512</v>
      </c>
      <c r="D6" s="110">
        <v>173.59</v>
      </c>
    </row>
    <row r="7" spans="2:7">
      <c r="B7" s="70">
        <v>41853</v>
      </c>
      <c r="C7">
        <v>666</v>
      </c>
      <c r="D7" s="110">
        <v>136.41999999999999</v>
      </c>
      <c r="F7" s="134" t="s">
        <v>693</v>
      </c>
      <c r="G7" s="98" t="s">
        <v>692</v>
      </c>
    </row>
    <row r="8" spans="2:7">
      <c r="B8" s="70">
        <v>41869</v>
      </c>
      <c r="C8">
        <v>759</v>
      </c>
      <c r="D8" s="110">
        <v>285.48</v>
      </c>
    </row>
    <row r="9" spans="2:7">
      <c r="B9" s="70">
        <v>41863</v>
      </c>
      <c r="C9">
        <v>353</v>
      </c>
      <c r="D9" s="110">
        <v>233.02</v>
      </c>
      <c r="F9" s="134" t="str">
        <f>"The "&amp;G7&amp;" is:"</f>
        <v>The Average is:</v>
      </c>
      <c r="G9" s="150">
        <f>CHOOSE(MATCH(G7,G3:G5,FALSE),SUM(D3:D17),COUNT(D3:D17),AVERAGE(D3:D17))</f>
        <v>409.82533333333339</v>
      </c>
    </row>
    <row r="10" spans="2:7">
      <c r="B10" s="70">
        <v>41879</v>
      </c>
      <c r="C10">
        <v>400</v>
      </c>
      <c r="D10" s="110">
        <v>599.24</v>
      </c>
    </row>
    <row r="11" spans="2:7">
      <c r="B11" s="70">
        <v>41864</v>
      </c>
      <c r="C11">
        <v>539</v>
      </c>
      <c r="D11" s="110">
        <v>564.32000000000005</v>
      </c>
      <c r="F11" s="134" t="s">
        <v>691</v>
      </c>
      <c r="G11" s="150">
        <f>SUBTOTAL(CHOOSE(MATCH(G7,G3:G5,FALSE),9,2,1),D3:D17)</f>
        <v>409.82533333333339</v>
      </c>
    </row>
    <row r="12" spans="2:7">
      <c r="B12" s="70">
        <v>41864</v>
      </c>
      <c r="C12">
        <v>548</v>
      </c>
      <c r="D12" s="110">
        <v>253.34</v>
      </c>
    </row>
    <row r="13" spans="2:7">
      <c r="B13" s="70">
        <v>41880</v>
      </c>
      <c r="C13">
        <v>414</v>
      </c>
      <c r="D13" s="110">
        <v>501.22</v>
      </c>
    </row>
    <row r="14" spans="2:7">
      <c r="B14" s="70">
        <v>41865</v>
      </c>
      <c r="C14">
        <v>411</v>
      </c>
      <c r="D14" s="110">
        <v>396.67</v>
      </c>
    </row>
    <row r="15" spans="2:7">
      <c r="B15" s="70">
        <v>41860</v>
      </c>
      <c r="C15">
        <v>721</v>
      </c>
      <c r="D15" s="110">
        <v>471.73</v>
      </c>
    </row>
    <row r="16" spans="2:7">
      <c r="B16" s="70">
        <v>41882</v>
      </c>
      <c r="C16">
        <v>784</v>
      </c>
      <c r="D16" s="110">
        <v>629.04</v>
      </c>
    </row>
    <row r="17" spans="2:4">
      <c r="B17" s="70">
        <v>41881</v>
      </c>
      <c r="C17">
        <v>380</v>
      </c>
      <c r="D17" s="110">
        <v>625.12</v>
      </c>
    </row>
  </sheetData>
  <dataValidations count="1">
    <dataValidation type="list" allowBlank="1" showInputMessage="1" showErrorMessage="1" sqref="G7">
      <formula1>$G$3:$G$5</formula1>
    </dataValidation>
  </dataValidation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F17"/>
  <sheetViews>
    <sheetView workbookViewId="0">
      <selection activeCell="C15" sqref="C15"/>
    </sheetView>
  </sheetViews>
  <sheetFormatPr defaultRowHeight="15"/>
  <cols>
    <col min="1" max="1" width="4.28515625" customWidth="1"/>
    <col min="2" max="2" width="26.42578125" customWidth="1"/>
    <col min="3" max="3" width="10.5703125" bestFit="1" customWidth="1"/>
    <col min="5" max="5" width="10.5703125" bestFit="1" customWidth="1"/>
  </cols>
  <sheetData>
    <row r="2" spans="2:6">
      <c r="C2" s="157">
        <v>2013</v>
      </c>
      <c r="D2" s="157"/>
      <c r="E2" s="157">
        <v>2012</v>
      </c>
      <c r="F2" s="157"/>
    </row>
    <row r="3" spans="2:6">
      <c r="B3" s="53" t="s">
        <v>1</v>
      </c>
      <c r="C3" s="156">
        <v>55656</v>
      </c>
      <c r="D3" s="99">
        <f>C3/$C$3</f>
        <v>1</v>
      </c>
      <c r="E3" s="156">
        <v>65875</v>
      </c>
      <c r="F3" s="99">
        <f>E3/$E$3</f>
        <v>1</v>
      </c>
    </row>
    <row r="4" spans="2:6">
      <c r="B4" s="53" t="s">
        <v>703</v>
      </c>
      <c r="C4" s="155">
        <v>41454</v>
      </c>
      <c r="D4" s="154">
        <f>C4/$C$3</f>
        <v>0.74482535575679176</v>
      </c>
      <c r="E4" s="155">
        <v>47852</v>
      </c>
      <c r="F4" s="154">
        <f>E4/$E$3</f>
        <v>0.72640607210626185</v>
      </c>
    </row>
    <row r="5" spans="2:6">
      <c r="B5" s="53" t="s">
        <v>702</v>
      </c>
      <c r="C5" s="139">
        <f>C3-C4</f>
        <v>14202</v>
      </c>
      <c r="D5" s="99">
        <f>C5/$C$3</f>
        <v>0.25517464424320829</v>
      </c>
      <c r="E5" s="139">
        <f>E3-E4</f>
        <v>18023</v>
      </c>
      <c r="F5" s="99">
        <f>E5/$E$3</f>
        <v>0.27359392789373815</v>
      </c>
    </row>
    <row r="6" spans="2:6">
      <c r="B6" s="53"/>
      <c r="C6" s="139"/>
      <c r="D6" s="99"/>
      <c r="E6" s="139"/>
      <c r="F6" s="99"/>
    </row>
    <row r="7" spans="2:6">
      <c r="B7" s="53" t="s">
        <v>701</v>
      </c>
      <c r="C7" s="139">
        <v>2046</v>
      </c>
      <c r="D7" s="99">
        <f>C7/$C$3</f>
        <v>3.6761535144458818E-2</v>
      </c>
      <c r="E7" s="139">
        <v>2466</v>
      </c>
      <c r="F7" s="99">
        <f>E7/$E$3</f>
        <v>3.7434535104364328E-2</v>
      </c>
    </row>
    <row r="8" spans="2:6" ht="30">
      <c r="B8" s="53" t="s">
        <v>700</v>
      </c>
      <c r="C8" s="155">
        <v>6528</v>
      </c>
      <c r="D8" s="154">
        <f>C8/$C$3</f>
        <v>0.11729193617938767</v>
      </c>
      <c r="E8" s="155">
        <v>6404</v>
      </c>
      <c r="F8" s="154">
        <f>E8/$E$3</f>
        <v>9.721442125237191E-2</v>
      </c>
    </row>
    <row r="9" spans="2:6">
      <c r="B9" s="53"/>
      <c r="C9" s="139"/>
      <c r="D9" s="99"/>
      <c r="E9" s="139"/>
      <c r="F9" s="99"/>
    </row>
    <row r="10" spans="2:6">
      <c r="B10" s="53" t="s">
        <v>699</v>
      </c>
      <c r="C10" s="139">
        <f>C5-SUM(C7:C8)</f>
        <v>5628</v>
      </c>
      <c r="D10" s="99">
        <f>C10/$C$3</f>
        <v>0.10112117291936179</v>
      </c>
      <c r="E10" s="139">
        <f>E5-SUM(E7:E8)</f>
        <v>9153</v>
      </c>
      <c r="F10" s="99">
        <f>E10/$E$3</f>
        <v>0.13894497153700189</v>
      </c>
    </row>
    <row r="11" spans="2:6">
      <c r="B11" s="53"/>
      <c r="C11" s="139"/>
      <c r="D11" s="99"/>
      <c r="E11" s="139"/>
      <c r="F11" s="99"/>
    </row>
    <row r="12" spans="2:6">
      <c r="B12" s="53" t="s">
        <v>698</v>
      </c>
      <c r="C12" s="139">
        <v>465</v>
      </c>
      <c r="D12" s="99">
        <f>C12/$C$3</f>
        <v>8.3548943510133675E-3</v>
      </c>
      <c r="E12" s="139">
        <v>467</v>
      </c>
      <c r="F12" s="99">
        <f>E12/$E$3</f>
        <v>7.0891840607210628E-3</v>
      </c>
    </row>
    <row r="13" spans="2:6">
      <c r="B13" s="53" t="s">
        <v>697</v>
      </c>
      <c r="C13" s="155">
        <v>1368</v>
      </c>
      <c r="D13" s="154">
        <f>C13/$C$3</f>
        <v>2.4579560155239329E-2</v>
      </c>
      <c r="E13" s="155">
        <f>130+580+2528-41</f>
        <v>3197</v>
      </c>
      <c r="F13" s="154">
        <f>E13/$E$3</f>
        <v>4.853130929791271E-2</v>
      </c>
    </row>
    <row r="14" spans="2:6">
      <c r="B14" s="53"/>
      <c r="C14" s="139"/>
      <c r="D14" s="99"/>
      <c r="E14" s="139"/>
      <c r="F14" s="99"/>
    </row>
    <row r="15" spans="2:6" ht="15.75" thickBot="1">
      <c r="B15" s="53" t="s">
        <v>696</v>
      </c>
      <c r="C15" s="153">
        <f>C10-SUM(C12:C13)</f>
        <v>3795</v>
      </c>
      <c r="D15" s="152">
        <f>C15/$C$3</f>
        <v>6.8186718413109096E-2</v>
      </c>
      <c r="E15" s="153">
        <f>E10-SUM(E12:E13)</f>
        <v>5489</v>
      </c>
      <c r="F15" s="152">
        <f>E15/$E$3</f>
        <v>8.3324478178368119E-2</v>
      </c>
    </row>
    <row r="16" spans="2:6" ht="15.75" thickTop="1"/>
    <row r="17" spans="3:3">
      <c r="C17" s="139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C15" sqref="C15"/>
    </sheetView>
  </sheetViews>
  <sheetFormatPr defaultRowHeight="15"/>
  <cols>
    <col min="1" max="1" width="4.5703125" customWidth="1"/>
    <col min="2" max="2" width="20" bestFit="1" customWidth="1"/>
    <col min="4" max="4" width="3.42578125" customWidth="1"/>
  </cols>
  <sheetData>
    <row r="2" spans="2:5">
      <c r="B2" t="s">
        <v>707</v>
      </c>
      <c r="C2" s="110">
        <v>465</v>
      </c>
      <c r="E2" s="110">
        <v>465</v>
      </c>
    </row>
    <row r="3" spans="2:5">
      <c r="B3" t="s">
        <v>706</v>
      </c>
      <c r="C3" s="158">
        <v>614</v>
      </c>
      <c r="E3" s="158">
        <f>E2+E2*E4</f>
        <v>683.82352941176475</v>
      </c>
    </row>
    <row r="4" spans="2:5">
      <c r="B4" t="s">
        <v>705</v>
      </c>
      <c r="C4" s="99">
        <f>(C3/C2)-1</f>
        <v>0.32043010752688161</v>
      </c>
      <c r="E4" s="99">
        <f>1/(1-E9)-1</f>
        <v>0.47058823529411775</v>
      </c>
    </row>
    <row r="6" spans="2:5">
      <c r="B6" t="s">
        <v>1</v>
      </c>
      <c r="C6" s="110">
        <f>C3</f>
        <v>614</v>
      </c>
      <c r="E6" s="110">
        <f>E3</f>
        <v>683.82352941176475</v>
      </c>
    </row>
    <row r="7" spans="2:5">
      <c r="B7" t="s">
        <v>703</v>
      </c>
      <c r="C7" s="158">
        <f>C2</f>
        <v>465</v>
      </c>
      <c r="E7" s="158">
        <f>E2</f>
        <v>465</v>
      </c>
    </row>
    <row r="8" spans="2:5">
      <c r="B8" t="s">
        <v>702</v>
      </c>
      <c r="C8" s="110">
        <f>C6-C7</f>
        <v>149</v>
      </c>
      <c r="E8" s="110">
        <f>E6-E7</f>
        <v>218.82352941176475</v>
      </c>
    </row>
    <row r="9" spans="2:5">
      <c r="B9" t="s">
        <v>704</v>
      </c>
      <c r="C9" s="99">
        <f>C8/C6</f>
        <v>0.24267100977198697</v>
      </c>
      <c r="E9" s="99">
        <v>0.32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C21"/>
  <sheetViews>
    <sheetView workbookViewId="0">
      <selection activeCell="C15" sqref="C15"/>
    </sheetView>
  </sheetViews>
  <sheetFormatPr defaultRowHeight="15"/>
  <cols>
    <col min="2" max="2" width="23.85546875" bestFit="1" customWidth="1"/>
    <col min="3" max="3" width="10.5703125" bestFit="1" customWidth="1"/>
  </cols>
  <sheetData>
    <row r="2" spans="2:3">
      <c r="B2" t="s">
        <v>1</v>
      </c>
      <c r="C2" s="139">
        <v>65245</v>
      </c>
    </row>
    <row r="3" spans="2:3">
      <c r="B3" t="s">
        <v>703</v>
      </c>
      <c r="C3" s="155">
        <v>39147</v>
      </c>
    </row>
    <row r="4" spans="2:3">
      <c r="B4" t="s">
        <v>702</v>
      </c>
      <c r="C4" s="139">
        <f>C2-C3</f>
        <v>26098</v>
      </c>
    </row>
    <row r="5" spans="2:3">
      <c r="C5" s="139"/>
    </row>
    <row r="6" spans="2:3">
      <c r="B6" t="s">
        <v>718</v>
      </c>
      <c r="C6" s="139"/>
    </row>
    <row r="7" spans="2:3">
      <c r="B7" t="s">
        <v>717</v>
      </c>
      <c r="C7" s="139">
        <v>8213</v>
      </c>
    </row>
    <row r="8" spans="2:3">
      <c r="B8" t="s">
        <v>716</v>
      </c>
      <c r="C8" s="139">
        <v>7245</v>
      </c>
    </row>
    <row r="9" spans="2:3">
      <c r="B9" t="s">
        <v>715</v>
      </c>
      <c r="C9" s="155">
        <v>2444</v>
      </c>
    </row>
    <row r="10" spans="2:3">
      <c r="B10" t="s">
        <v>714</v>
      </c>
      <c r="C10" s="139">
        <f>SUM(C6:C9)</f>
        <v>17902</v>
      </c>
    </row>
    <row r="11" spans="2:3">
      <c r="C11" s="139"/>
    </row>
    <row r="12" spans="2:3">
      <c r="B12" t="s">
        <v>713</v>
      </c>
      <c r="C12" s="139">
        <f>C4-C10</f>
        <v>8196</v>
      </c>
    </row>
    <row r="13" spans="2:3">
      <c r="C13" s="139"/>
    </row>
    <row r="14" spans="2:3">
      <c r="B14" t="s">
        <v>712</v>
      </c>
      <c r="C14" s="139">
        <v>654</v>
      </c>
    </row>
    <row r="15" spans="2:3">
      <c r="B15" t="s">
        <v>698</v>
      </c>
      <c r="C15" s="139">
        <v>6215</v>
      </c>
    </row>
    <row r="16" spans="2:3">
      <c r="B16" t="s">
        <v>711</v>
      </c>
      <c r="C16" s="139">
        <v>3215</v>
      </c>
    </row>
    <row r="17" spans="2:3">
      <c r="C17" s="139"/>
    </row>
    <row r="18" spans="2:3" ht="15.75" thickBot="1">
      <c r="B18" t="s">
        <v>710</v>
      </c>
      <c r="C18" s="144">
        <f>C12-C14-C15-C16</f>
        <v>-1888</v>
      </c>
    </row>
    <row r="19" spans="2:3" ht="15.75" thickTop="1">
      <c r="C19" s="139"/>
    </row>
    <row r="20" spans="2:3">
      <c r="B20" t="s">
        <v>709</v>
      </c>
      <c r="C20" s="139">
        <f>C18+VLOOKUP("Interest Expense",$B$2:$C$18,2,FALSE)+VLOOKUP("Income Tax Expense",$B$2:$C$18,2,FALSE)</f>
        <v>7542</v>
      </c>
    </row>
    <row r="21" spans="2:3">
      <c r="B21" t="s">
        <v>708</v>
      </c>
      <c r="C21" s="139">
        <f>C20+VLOOKUP("Depreciation Expense",$B$2:$C$18,2,FALSE)+VLOOKUP("Amortization Expense",$B$2:$C$18,2,FALSE)</f>
        <v>17231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15" sqref="C15"/>
    </sheetView>
  </sheetViews>
  <sheetFormatPr defaultRowHeight="15"/>
  <cols>
    <col min="2" max="2" width="22.85546875" bestFit="1" customWidth="1"/>
    <col min="3" max="3" width="13.28515625" bestFit="1" customWidth="1"/>
  </cols>
  <sheetData>
    <row r="2" spans="2:3">
      <c r="B2" t="s">
        <v>722</v>
      </c>
      <c r="C2" s="110">
        <v>1235642.25</v>
      </c>
    </row>
    <row r="3" spans="2:3">
      <c r="B3" t="s">
        <v>721</v>
      </c>
      <c r="C3" s="110">
        <v>641152.77</v>
      </c>
    </row>
    <row r="4" spans="2:3">
      <c r="B4" t="s">
        <v>720</v>
      </c>
      <c r="C4" s="110">
        <f>SUM(C2:C3)</f>
        <v>1876795.02</v>
      </c>
    </row>
    <row r="5" spans="2:3">
      <c r="B5" t="s">
        <v>719</v>
      </c>
      <c r="C5" s="110">
        <v>1111903.23</v>
      </c>
    </row>
    <row r="6" spans="2:3" ht="15.75" thickBot="1">
      <c r="B6" t="s">
        <v>703</v>
      </c>
      <c r="C6" s="159">
        <f>C4-C5</f>
        <v>764891.79</v>
      </c>
    </row>
    <row r="7" spans="2:3" ht="15.75" thickTop="1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G45"/>
  <sheetViews>
    <sheetView workbookViewId="0">
      <selection activeCell="C15" sqref="C15"/>
    </sheetView>
  </sheetViews>
  <sheetFormatPr defaultRowHeight="15"/>
  <cols>
    <col min="1" max="1" width="4.140625" customWidth="1"/>
    <col min="2" max="2" width="24.5703125" customWidth="1"/>
    <col min="3" max="3" width="8.7109375" customWidth="1"/>
    <col min="4" max="4" width="10.5703125" bestFit="1" customWidth="1"/>
    <col min="5" max="5" width="4.42578125" customWidth="1"/>
    <col min="6" max="6" width="25.140625" bestFit="1" customWidth="1"/>
  </cols>
  <sheetData>
    <row r="2" spans="2:7" ht="15" customHeight="1">
      <c r="B2" s="145" t="s">
        <v>746</v>
      </c>
      <c r="F2" s="145" t="s">
        <v>745</v>
      </c>
    </row>
    <row r="3" spans="2:7" ht="15" customHeight="1">
      <c r="B3" t="s">
        <v>744</v>
      </c>
      <c r="C3" s="156">
        <v>1186</v>
      </c>
      <c r="D3" s="156">
        <v>124</v>
      </c>
      <c r="F3" s="53" t="s">
        <v>1</v>
      </c>
      <c r="G3" s="156">
        <v>55656</v>
      </c>
    </row>
    <row r="4" spans="2:7" ht="15" customHeight="1">
      <c r="B4" t="s">
        <v>743</v>
      </c>
      <c r="C4" s="139">
        <v>3884</v>
      </c>
      <c r="D4" s="139">
        <v>3026</v>
      </c>
      <c r="F4" s="53" t="s">
        <v>703</v>
      </c>
      <c r="G4" s="155">
        <v>41454</v>
      </c>
    </row>
    <row r="5" spans="2:7" ht="15" customHeight="1">
      <c r="B5" t="s">
        <v>742</v>
      </c>
      <c r="C5" s="155">
        <v>8355</v>
      </c>
      <c r="D5" s="155">
        <v>7651</v>
      </c>
      <c r="F5" s="53" t="s">
        <v>702</v>
      </c>
      <c r="G5" s="139">
        <f>G3-G4</f>
        <v>14202</v>
      </c>
    </row>
    <row r="6" spans="2:7" ht="15" customHeight="1">
      <c r="B6" t="s">
        <v>741</v>
      </c>
      <c r="C6" s="139">
        <f>SUBTOTAL(9,C3:C5)</f>
        <v>13425</v>
      </c>
      <c r="D6" s="139">
        <f>SUBTOTAL(9,D3:D5)</f>
        <v>10801</v>
      </c>
      <c r="F6" s="53"/>
      <c r="G6" s="139"/>
    </row>
    <row r="7" spans="2:7" ht="15" customHeight="1">
      <c r="C7" s="139"/>
      <c r="D7" s="139"/>
      <c r="F7" s="53" t="s">
        <v>701</v>
      </c>
      <c r="G7" s="139">
        <v>2046</v>
      </c>
    </row>
    <row r="8" spans="2:7" ht="15" customHeight="1">
      <c r="B8" t="s">
        <v>740</v>
      </c>
      <c r="C8" s="139">
        <v>4320</v>
      </c>
      <c r="D8" s="139">
        <v>4516</v>
      </c>
      <c r="F8" s="53" t="s">
        <v>739</v>
      </c>
      <c r="G8" s="155">
        <v>6528</v>
      </c>
    </row>
    <row r="9" spans="2:7" ht="15" customHeight="1">
      <c r="B9" t="s">
        <v>738</v>
      </c>
      <c r="C9" s="155">
        <v>578</v>
      </c>
      <c r="D9" s="155">
        <v>322</v>
      </c>
      <c r="F9" s="53"/>
      <c r="G9" s="139"/>
    </row>
    <row r="10" spans="2:7" ht="15" customHeight="1">
      <c r="B10" t="s">
        <v>737</v>
      </c>
      <c r="C10" s="139">
        <f>SUBTOTAL(9,C8:C9)</f>
        <v>4898</v>
      </c>
      <c r="D10" s="139">
        <f>SUBTOTAL(9,D8:D9)</f>
        <v>4838</v>
      </c>
      <c r="F10" s="53" t="s">
        <v>699</v>
      </c>
      <c r="G10" s="139">
        <f>G5-SUM(G7:G8)</f>
        <v>5628</v>
      </c>
    </row>
    <row r="11" spans="2:7" ht="15" customHeight="1">
      <c r="C11" s="139"/>
      <c r="D11" s="139"/>
      <c r="F11" s="53"/>
      <c r="G11" s="139"/>
    </row>
    <row r="12" spans="2:7" ht="15" customHeight="1" thickBot="1">
      <c r="B12" t="s">
        <v>736</v>
      </c>
      <c r="C12" s="160">
        <f>SUBTOTAL(9,C3:C11)</f>
        <v>18323</v>
      </c>
      <c r="D12" s="160">
        <f>SUBTOTAL(9,D3:D11)</f>
        <v>15639</v>
      </c>
      <c r="F12" s="53" t="s">
        <v>698</v>
      </c>
      <c r="G12" s="139">
        <v>465</v>
      </c>
    </row>
    <row r="13" spans="2:7" ht="15" customHeight="1" thickTop="1">
      <c r="C13" s="139"/>
      <c r="D13" s="139"/>
      <c r="F13" s="53" t="s">
        <v>697</v>
      </c>
      <c r="G13" s="155">
        <v>1368</v>
      </c>
    </row>
    <row r="14" spans="2:7" ht="15" customHeight="1">
      <c r="B14" t="s">
        <v>735</v>
      </c>
      <c r="C14" s="156">
        <v>1670</v>
      </c>
      <c r="D14" s="156">
        <v>2644</v>
      </c>
      <c r="F14" s="53"/>
      <c r="G14" s="139"/>
    </row>
    <row r="15" spans="2:7" ht="15" customHeight="1" thickBot="1">
      <c r="B15" t="s">
        <v>734</v>
      </c>
      <c r="C15" s="139">
        <v>1334</v>
      </c>
      <c r="D15" s="139">
        <v>1431</v>
      </c>
      <c r="F15" s="53" t="s">
        <v>696</v>
      </c>
      <c r="G15" s="153">
        <f>G10-SUM(G12:G13)</f>
        <v>3795</v>
      </c>
    </row>
    <row r="16" spans="2:7" ht="15" customHeight="1" thickTop="1">
      <c r="B16" t="s">
        <v>733</v>
      </c>
      <c r="C16" s="155">
        <v>788</v>
      </c>
      <c r="D16" s="155">
        <v>761</v>
      </c>
    </row>
    <row r="17" spans="2:7" ht="15" customHeight="1">
      <c r="B17" t="s">
        <v>732</v>
      </c>
      <c r="C17" s="139">
        <f>SUBTOTAL(9,C14:C16)</f>
        <v>3792</v>
      </c>
      <c r="D17" s="139">
        <f>SUBTOTAL(9,D14:D16)</f>
        <v>4836</v>
      </c>
    </row>
    <row r="18" spans="2:7" ht="15" customHeight="1">
      <c r="C18" s="139"/>
      <c r="D18" s="139"/>
      <c r="F18" s="2" t="s">
        <v>731</v>
      </c>
      <c r="G18" s="161">
        <f>G15/AVERAGE(C12:D12)</f>
        <v>0.2234850715505565</v>
      </c>
    </row>
    <row r="19" spans="2:7">
      <c r="B19" t="s">
        <v>730</v>
      </c>
      <c r="C19" s="155">
        <v>3177</v>
      </c>
      <c r="D19" s="155">
        <v>3244</v>
      </c>
      <c r="F19" s="2" t="s">
        <v>729</v>
      </c>
      <c r="G19" s="161">
        <f>G15/AVERAGE(C25:D25)</f>
        <v>0.40131126738222389</v>
      </c>
    </row>
    <row r="20" spans="2:7">
      <c r="B20" t="s">
        <v>728</v>
      </c>
      <c r="C20" s="139">
        <f>SUBTOTAL(9,C14:C19)</f>
        <v>6969</v>
      </c>
      <c r="D20" s="139">
        <f>SUBTOTAL(9,D14:D19)</f>
        <v>8080</v>
      </c>
    </row>
    <row r="21" spans="2:7">
      <c r="C21" s="139"/>
      <c r="D21" s="139"/>
    </row>
    <row r="22" spans="2:7">
      <c r="B22" t="s">
        <v>727</v>
      </c>
      <c r="C22" s="139">
        <v>453</v>
      </c>
      <c r="D22" s="139">
        <v>453</v>
      </c>
    </row>
    <row r="23" spans="2:7">
      <c r="B23" t="s">
        <v>726</v>
      </c>
      <c r="C23" s="139">
        <v>4562</v>
      </c>
      <c r="D23" s="139">
        <v>4562</v>
      </c>
    </row>
    <row r="24" spans="2:7">
      <c r="B24" t="s">
        <v>725</v>
      </c>
      <c r="C24" s="155">
        <f>D24+G15</f>
        <v>6339</v>
      </c>
      <c r="D24" s="155">
        <v>2544</v>
      </c>
    </row>
    <row r="25" spans="2:7">
      <c r="B25" t="s">
        <v>724</v>
      </c>
      <c r="C25" s="139">
        <f>SUBTOTAL(9,C22:C24)</f>
        <v>11354</v>
      </c>
      <c r="D25" s="139">
        <f>SUBTOTAL(9,D22:D24)</f>
        <v>7559</v>
      </c>
    </row>
    <row r="26" spans="2:7">
      <c r="C26" s="139"/>
      <c r="D26" s="139"/>
    </row>
    <row r="27" spans="2:7" ht="15.75" thickBot="1">
      <c r="B27" t="s">
        <v>723</v>
      </c>
      <c r="C27" s="160">
        <f>SUBTOTAL(9,C14:C25)</f>
        <v>18323</v>
      </c>
      <c r="D27" s="160">
        <f>SUBTOTAL(9,D14:D25)</f>
        <v>15639</v>
      </c>
    </row>
    <row r="28" spans="2:7" ht="15.75" thickTop="1">
      <c r="C28" s="139"/>
      <c r="D28" s="139"/>
    </row>
    <row r="29" spans="2:7">
      <c r="C29" s="139"/>
      <c r="D29" s="139"/>
    </row>
    <row r="30" spans="2:7">
      <c r="C30" s="139"/>
      <c r="D30" s="139"/>
    </row>
    <row r="31" spans="2:7">
      <c r="C31" s="139"/>
      <c r="D31" s="139"/>
    </row>
    <row r="32" spans="2:7">
      <c r="C32" s="139"/>
      <c r="D32" s="139"/>
    </row>
    <row r="33" spans="3:4" ht="15" customHeight="1">
      <c r="C33" s="139"/>
      <c r="D33" s="139"/>
    </row>
    <row r="34" spans="3:4" ht="15" customHeight="1">
      <c r="C34" s="139"/>
      <c r="D34" s="139"/>
    </row>
    <row r="35" spans="3:4" ht="15" customHeight="1">
      <c r="C35" s="139"/>
      <c r="D35" s="139"/>
    </row>
    <row r="36" spans="3:4" ht="15" customHeight="1">
      <c r="C36" s="139"/>
      <c r="D36" s="139"/>
    </row>
    <row r="37" spans="3:4">
      <c r="C37" s="139"/>
      <c r="D37" s="139"/>
    </row>
    <row r="38" spans="3:4">
      <c r="C38" s="139"/>
      <c r="D38" s="139"/>
    </row>
    <row r="39" spans="3:4" ht="15" customHeight="1">
      <c r="C39" s="139"/>
      <c r="D39" s="139"/>
    </row>
    <row r="40" spans="3:4" ht="15" customHeight="1">
      <c r="C40" s="139"/>
      <c r="D40" s="139"/>
    </row>
    <row r="41" spans="3:4" ht="15" customHeight="1">
      <c r="C41" s="139"/>
      <c r="D41" s="139"/>
    </row>
    <row r="42" spans="3:4" ht="15" customHeight="1"/>
    <row r="43" spans="3:4" ht="15" customHeight="1"/>
    <row r="44" spans="3:4" ht="15" customHeight="1"/>
    <row r="45" spans="3:4" ht="15" customHeight="1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D44"/>
  <sheetViews>
    <sheetView workbookViewId="0">
      <selection activeCell="C15" sqref="C15"/>
    </sheetView>
  </sheetViews>
  <sheetFormatPr defaultRowHeight="15"/>
  <cols>
    <col min="1" max="1" width="4.140625" customWidth="1"/>
    <col min="2" max="2" width="30" bestFit="1" customWidth="1"/>
    <col min="3" max="3" width="4.5703125" customWidth="1"/>
  </cols>
  <sheetData>
    <row r="2" spans="2:4" ht="15" customHeight="1">
      <c r="B2" s="145" t="s">
        <v>745</v>
      </c>
      <c r="C2" s="145"/>
    </row>
    <row r="3" spans="2:4" ht="15" customHeight="1">
      <c r="B3" s="53" t="s">
        <v>1</v>
      </c>
      <c r="C3" s="162"/>
      <c r="D3" s="156">
        <f>ROUND(D8/(1-SUM(C4:C7)),0)</f>
        <v>16935</v>
      </c>
    </row>
    <row r="4" spans="2:4" ht="15" customHeight="1">
      <c r="B4" s="53" t="s">
        <v>703</v>
      </c>
      <c r="C4" s="162">
        <v>0.4</v>
      </c>
      <c r="D4" s="155">
        <f>ROUND(D3*C4,0)</f>
        <v>6774</v>
      </c>
    </row>
    <row r="5" spans="2:4" ht="15" customHeight="1">
      <c r="B5" s="53" t="s">
        <v>702</v>
      </c>
      <c r="C5" s="162"/>
      <c r="D5" s="139">
        <f>SUM(D7:D8)</f>
        <v>10161</v>
      </c>
    </row>
    <row r="6" spans="2:4" ht="15" customHeight="1">
      <c r="B6" s="53"/>
      <c r="C6" s="162"/>
      <c r="D6" s="139"/>
    </row>
    <row r="7" spans="2:4" ht="15" customHeight="1">
      <c r="B7" s="53" t="s">
        <v>718</v>
      </c>
      <c r="C7" s="162">
        <v>0.08</v>
      </c>
      <c r="D7" s="139">
        <f>ROUND(D3*C7,0)</f>
        <v>1355</v>
      </c>
    </row>
    <row r="8" spans="2:4" ht="15" customHeight="1">
      <c r="B8" s="53" t="s">
        <v>749</v>
      </c>
      <c r="C8" s="162"/>
      <c r="D8" s="139">
        <f>SUM(D10:D13)</f>
        <v>8806</v>
      </c>
    </row>
    <row r="9" spans="2:4" ht="15" customHeight="1">
      <c r="B9" s="53"/>
      <c r="C9" s="162"/>
      <c r="D9" s="139"/>
    </row>
    <row r="10" spans="2:4" ht="15" customHeight="1">
      <c r="B10" s="53" t="s">
        <v>701</v>
      </c>
      <c r="C10" s="162" t="s">
        <v>747</v>
      </c>
      <c r="D10" s="139">
        <v>2046</v>
      </c>
    </row>
    <row r="11" spans="2:4" ht="15" customHeight="1">
      <c r="B11" s="53" t="s">
        <v>748</v>
      </c>
      <c r="C11" s="162" t="s">
        <v>747</v>
      </c>
      <c r="D11" s="155">
        <v>4927</v>
      </c>
    </row>
    <row r="12" spans="2:4" ht="15" customHeight="1">
      <c r="B12" s="53"/>
      <c r="C12" s="162"/>
      <c r="D12" s="139"/>
    </row>
    <row r="13" spans="2:4" ht="15" customHeight="1">
      <c r="B13" s="53" t="s">
        <v>699</v>
      </c>
      <c r="C13" s="162"/>
      <c r="D13" s="139">
        <f>SUM(D15:D18)</f>
        <v>1833</v>
      </c>
    </row>
    <row r="14" spans="2:4" ht="15" customHeight="1">
      <c r="B14" s="53"/>
      <c r="C14" s="162"/>
      <c r="D14" s="139"/>
    </row>
    <row r="15" spans="2:4" ht="15" customHeight="1">
      <c r="B15" s="53" t="s">
        <v>698</v>
      </c>
      <c r="C15" s="162" t="s">
        <v>747</v>
      </c>
      <c r="D15" s="139">
        <v>465</v>
      </c>
    </row>
    <row r="16" spans="2:4" ht="15" customHeight="1">
      <c r="B16" s="53" t="s">
        <v>697</v>
      </c>
      <c r="C16" s="162" t="s">
        <v>747</v>
      </c>
      <c r="D16" s="155">
        <v>1368</v>
      </c>
    </row>
    <row r="17" spans="2:4" ht="15" customHeight="1">
      <c r="B17" s="53"/>
      <c r="C17" s="162"/>
      <c r="D17" s="139"/>
    </row>
    <row r="18" spans="2:4" ht="15" customHeight="1" thickBot="1">
      <c r="B18" s="53" t="s">
        <v>696</v>
      </c>
      <c r="C18" s="162" t="s">
        <v>747</v>
      </c>
      <c r="D18" s="153">
        <v>0</v>
      </c>
    </row>
    <row r="19" spans="2:4" ht="15" customHeight="1" thickTop="1"/>
    <row r="32" spans="2:4" ht="15" customHeight="1"/>
    <row r="33" ht="15" customHeight="1"/>
    <row r="34" ht="15" customHeight="1"/>
    <row r="35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15" sqref="C15"/>
    </sheetView>
  </sheetViews>
  <sheetFormatPr defaultRowHeight="15"/>
  <cols>
    <col min="1" max="1" width="4.85546875" customWidth="1"/>
    <col min="2" max="2" width="33.85546875" bestFit="1" customWidth="1"/>
    <col min="3" max="3" width="9.5703125" bestFit="1" customWidth="1"/>
  </cols>
  <sheetData>
    <row r="2" spans="2:3">
      <c r="B2" s="134" t="s">
        <v>754</v>
      </c>
      <c r="C2" s="139">
        <v>4215</v>
      </c>
    </row>
    <row r="3" spans="2:3">
      <c r="B3" s="134" t="s">
        <v>753</v>
      </c>
      <c r="C3" s="139">
        <v>614</v>
      </c>
    </row>
    <row r="4" spans="2:3">
      <c r="B4" s="134" t="s">
        <v>752</v>
      </c>
      <c r="C4" s="139">
        <v>4441</v>
      </c>
    </row>
    <row r="5" spans="2:3">
      <c r="B5" s="134"/>
      <c r="C5" s="139"/>
    </row>
    <row r="6" spans="2:3">
      <c r="B6" s="134" t="s">
        <v>751</v>
      </c>
      <c r="C6" s="139">
        <f>C2+C3-C4</f>
        <v>388</v>
      </c>
    </row>
    <row r="7" spans="2:3">
      <c r="B7" s="134" t="s">
        <v>750</v>
      </c>
      <c r="C7" s="163">
        <f>C6/C2</f>
        <v>9.2052194543297744E-2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15" sqref="C15"/>
    </sheetView>
  </sheetViews>
  <sheetFormatPr defaultRowHeight="15"/>
  <cols>
    <col min="1" max="1" width="5.140625" customWidth="1"/>
    <col min="2" max="2" width="33.85546875" bestFit="1" customWidth="1"/>
    <col min="3" max="3" width="9.5703125" bestFit="1" customWidth="1"/>
  </cols>
  <sheetData>
    <row r="2" spans="2:3">
      <c r="B2" s="134" t="s">
        <v>757</v>
      </c>
      <c r="C2" s="139">
        <v>4215</v>
      </c>
    </row>
    <row r="3" spans="2:3">
      <c r="B3" s="134" t="s">
        <v>753</v>
      </c>
      <c r="C3" s="139">
        <v>7415</v>
      </c>
    </row>
    <row r="4" spans="2:3">
      <c r="B4" s="134" t="s">
        <v>756</v>
      </c>
      <c r="C4" s="139">
        <v>10664</v>
      </c>
    </row>
    <row r="5" spans="2:3">
      <c r="B5" s="134"/>
      <c r="C5" s="139"/>
    </row>
    <row r="6" spans="2:3">
      <c r="B6" s="134" t="s">
        <v>751</v>
      </c>
      <c r="C6" s="139">
        <f>C2+C3-C4</f>
        <v>966</v>
      </c>
    </row>
    <row r="7" spans="2:3">
      <c r="B7" s="134" t="s">
        <v>755</v>
      </c>
      <c r="C7" s="163">
        <f>C6/AVERAGE(C2,C4)</f>
        <v>0.12984743598360104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C15" sqref="C15"/>
    </sheetView>
  </sheetViews>
  <sheetFormatPr defaultRowHeight="15"/>
  <cols>
    <col min="1" max="1" width="4.85546875" customWidth="1"/>
    <col min="2" max="2" width="33.85546875" bestFit="1" customWidth="1"/>
    <col min="3" max="3" width="9.5703125" bestFit="1" customWidth="1"/>
    <col min="5" max="5" width="25.28515625" bestFit="1" customWidth="1"/>
    <col min="6" max="6" width="11.5703125" bestFit="1" customWidth="1"/>
  </cols>
  <sheetData>
    <row r="2" spans="2:6">
      <c r="B2" s="134" t="s">
        <v>754</v>
      </c>
      <c r="C2" s="139">
        <v>4215</v>
      </c>
      <c r="E2" s="134" t="s">
        <v>761</v>
      </c>
      <c r="F2" s="100">
        <v>564810</v>
      </c>
    </row>
    <row r="3" spans="2:6">
      <c r="B3" s="134" t="s">
        <v>753</v>
      </c>
      <c r="C3" s="139">
        <v>614</v>
      </c>
      <c r="E3" s="134" t="s">
        <v>760</v>
      </c>
      <c r="F3" s="100">
        <v>225924</v>
      </c>
    </row>
    <row r="4" spans="2:6">
      <c r="B4" s="134" t="s">
        <v>752</v>
      </c>
      <c r="C4" s="139">
        <v>4441</v>
      </c>
      <c r="E4" s="134" t="s">
        <v>702</v>
      </c>
      <c r="F4" s="100">
        <f>F2-F3</f>
        <v>338886</v>
      </c>
    </row>
    <row r="5" spans="2:6">
      <c r="B5" s="134"/>
      <c r="C5" s="139"/>
      <c r="E5" s="134"/>
    </row>
    <row r="6" spans="2:6">
      <c r="B6" s="134" t="s">
        <v>751</v>
      </c>
      <c r="C6" s="139">
        <f>C2+C3-C4</f>
        <v>388</v>
      </c>
      <c r="E6" s="134" t="s">
        <v>759</v>
      </c>
      <c r="F6" s="102">
        <f>F4/AVERAGE(C4,C10)</f>
        <v>76.308489079036249</v>
      </c>
    </row>
    <row r="7" spans="2:6">
      <c r="B7" s="134" t="s">
        <v>750</v>
      </c>
      <c r="C7" s="163">
        <f>C6/C2</f>
        <v>9.2052194543297744E-2</v>
      </c>
      <c r="E7" s="134" t="s">
        <v>758</v>
      </c>
      <c r="F7" s="102">
        <f>F6/C7</f>
        <v>828.96979759829333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F18"/>
  <sheetViews>
    <sheetView workbookViewId="0">
      <selection activeCell="C15" sqref="C15"/>
    </sheetView>
  </sheetViews>
  <sheetFormatPr defaultRowHeight="15"/>
  <cols>
    <col min="1" max="1" width="4.140625" customWidth="1"/>
    <col min="2" max="2" width="7" customWidth="1"/>
    <col min="3" max="3" width="15.140625" bestFit="1" customWidth="1"/>
    <col min="4" max="4" width="10.140625" bestFit="1" customWidth="1"/>
    <col min="5" max="5" width="11.42578125" bestFit="1" customWidth="1"/>
    <col min="6" max="6" width="15.140625" bestFit="1" customWidth="1"/>
  </cols>
  <sheetData>
    <row r="2" spans="2:6">
      <c r="B2" s="97" t="s">
        <v>779</v>
      </c>
      <c r="C2" s="97" t="s">
        <v>778</v>
      </c>
      <c r="D2" s="97" t="s">
        <v>777</v>
      </c>
      <c r="E2" s="97" t="s">
        <v>763</v>
      </c>
      <c r="F2" s="97" t="s">
        <v>776</v>
      </c>
    </row>
    <row r="3" spans="2:6">
      <c r="B3" t="s">
        <v>775</v>
      </c>
      <c r="C3" s="139">
        <v>625</v>
      </c>
      <c r="D3" s="139">
        <v>10</v>
      </c>
      <c r="E3" s="139">
        <v>7</v>
      </c>
      <c r="F3" s="139">
        <f>C3+D3-E3</f>
        <v>628</v>
      </c>
    </row>
    <row r="4" spans="2:6">
      <c r="B4" t="s">
        <v>774</v>
      </c>
      <c r="C4" s="139">
        <f>F3</f>
        <v>628</v>
      </c>
      <c r="D4" s="139">
        <v>2</v>
      </c>
      <c r="E4" s="139">
        <v>7</v>
      </c>
      <c r="F4" s="139">
        <f>C4+D4-E4</f>
        <v>623</v>
      </c>
    </row>
    <row r="5" spans="2:6">
      <c r="B5" t="s">
        <v>773</v>
      </c>
      <c r="C5" s="139">
        <f>F4</f>
        <v>623</v>
      </c>
      <c r="D5" s="139">
        <v>4</v>
      </c>
      <c r="E5" s="139">
        <v>1</v>
      </c>
      <c r="F5" s="139">
        <f>C5+D5-E5</f>
        <v>626</v>
      </c>
    </row>
    <row r="6" spans="2:6">
      <c r="B6" t="s">
        <v>772</v>
      </c>
      <c r="C6" s="139">
        <f>F5</f>
        <v>626</v>
      </c>
      <c r="D6" s="139">
        <v>6</v>
      </c>
      <c r="E6" s="139">
        <v>3</v>
      </c>
      <c r="F6" s="139">
        <f>C6+D6-E6</f>
        <v>629</v>
      </c>
    </row>
    <row r="7" spans="2:6">
      <c r="B7" t="s">
        <v>24</v>
      </c>
      <c r="C7" s="139">
        <f>F6</f>
        <v>629</v>
      </c>
      <c r="D7" s="139">
        <v>5</v>
      </c>
      <c r="E7" s="139">
        <v>1</v>
      </c>
      <c r="F7" s="139">
        <f>C7+D7-E7</f>
        <v>633</v>
      </c>
    </row>
    <row r="8" spans="2:6">
      <c r="B8" t="s">
        <v>771</v>
      </c>
      <c r="C8" s="139">
        <f>F7</f>
        <v>633</v>
      </c>
      <c r="D8" s="139">
        <v>5</v>
      </c>
      <c r="E8" s="139">
        <v>2</v>
      </c>
      <c r="F8" s="139">
        <f>C8+D8-E8</f>
        <v>636</v>
      </c>
    </row>
    <row r="9" spans="2:6">
      <c r="B9" t="s">
        <v>770</v>
      </c>
      <c r="C9" s="139">
        <f>F8</f>
        <v>636</v>
      </c>
      <c r="D9" s="139">
        <v>2</v>
      </c>
      <c r="E9" s="139">
        <v>5</v>
      </c>
      <c r="F9" s="139">
        <f>C9+D9-E9</f>
        <v>633</v>
      </c>
    </row>
    <row r="10" spans="2:6">
      <c r="B10" t="s">
        <v>769</v>
      </c>
      <c r="C10" s="139">
        <f>F9</f>
        <v>633</v>
      </c>
      <c r="D10" s="139">
        <v>3</v>
      </c>
      <c r="E10" s="139">
        <v>5</v>
      </c>
      <c r="F10" s="139">
        <f>C10+D10-E10</f>
        <v>631</v>
      </c>
    </row>
    <row r="11" spans="2:6">
      <c r="B11" t="s">
        <v>768</v>
      </c>
      <c r="C11" s="139">
        <f>F10</f>
        <v>631</v>
      </c>
      <c r="D11" s="139">
        <v>2</v>
      </c>
      <c r="E11" s="139">
        <v>6</v>
      </c>
      <c r="F11" s="139">
        <f>C11+D11-E11</f>
        <v>627</v>
      </c>
    </row>
    <row r="12" spans="2:6">
      <c r="B12" t="s">
        <v>767</v>
      </c>
      <c r="C12" s="139">
        <f>F11</f>
        <v>627</v>
      </c>
      <c r="D12" s="139">
        <v>4</v>
      </c>
      <c r="E12" s="139">
        <v>2</v>
      </c>
      <c r="F12" s="139">
        <f>C12+D12-E12</f>
        <v>629</v>
      </c>
    </row>
    <row r="13" spans="2:6">
      <c r="B13" t="s">
        <v>766</v>
      </c>
      <c r="C13" s="139">
        <f>F12</f>
        <v>629</v>
      </c>
      <c r="D13" s="139">
        <v>10</v>
      </c>
      <c r="E13" s="139">
        <v>5</v>
      </c>
      <c r="F13" s="139">
        <f>C13+D13-E13</f>
        <v>634</v>
      </c>
    </row>
    <row r="14" spans="2:6">
      <c r="B14" t="s">
        <v>765</v>
      </c>
      <c r="C14" s="139">
        <f>F13</f>
        <v>634</v>
      </c>
      <c r="D14" s="139">
        <v>8</v>
      </c>
      <c r="E14" s="139">
        <v>2</v>
      </c>
      <c r="F14" s="139">
        <f>C14+D14-E14</f>
        <v>640</v>
      </c>
    </row>
    <row r="16" spans="2:6">
      <c r="E16" s="134" t="s">
        <v>764</v>
      </c>
      <c r="F16" s="110">
        <f>AVERAGE(F3:F14)</f>
        <v>630.75</v>
      </c>
    </row>
    <row r="17" spans="5:6">
      <c r="E17" s="134" t="s">
        <v>763</v>
      </c>
      <c r="F17" s="110">
        <f>SUM(E3:E14)</f>
        <v>46</v>
      </c>
    </row>
    <row r="18" spans="5:6">
      <c r="E18" s="134" t="s">
        <v>762</v>
      </c>
      <c r="F18" s="163">
        <f>F17/F16</f>
        <v>7.29290527150218E-2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F28"/>
  <sheetViews>
    <sheetView workbookViewId="0">
      <selection activeCell="C15" sqref="C15"/>
    </sheetView>
  </sheetViews>
  <sheetFormatPr defaultRowHeight="15"/>
  <cols>
    <col min="1" max="1" width="4.5703125" customWidth="1"/>
    <col min="2" max="2" width="10.7109375" bestFit="1" customWidth="1"/>
    <col min="3" max="4" width="9.5703125" bestFit="1" customWidth="1"/>
    <col min="5" max="5" width="8" customWidth="1"/>
    <col min="6" max="6" width="11.5703125" customWidth="1"/>
  </cols>
  <sheetData>
    <row r="2" spans="2:6">
      <c r="B2" s="97" t="s">
        <v>236</v>
      </c>
      <c r="C2" s="97" t="s">
        <v>789</v>
      </c>
      <c r="D2" s="97" t="s">
        <v>788</v>
      </c>
      <c r="E2" s="97" t="s">
        <v>787</v>
      </c>
      <c r="F2" s="97" t="s">
        <v>329</v>
      </c>
    </row>
    <row r="3" spans="2:6">
      <c r="C3" s="110"/>
      <c r="D3" s="110"/>
      <c r="E3" s="110"/>
      <c r="F3" s="110">
        <v>152151.73000000001</v>
      </c>
    </row>
    <row r="4" spans="2:6">
      <c r="B4" s="70">
        <v>42014</v>
      </c>
      <c r="C4" s="110">
        <v>0</v>
      </c>
      <c r="D4" s="110">
        <f>C4-E4</f>
        <v>-475.47</v>
      </c>
      <c r="E4" s="110">
        <f>ROUND(F3*$F$20/12,2)</f>
        <v>475.47</v>
      </c>
      <c r="F4" s="110">
        <f>F3-D4</f>
        <v>152627.20000000001</v>
      </c>
    </row>
    <row r="5" spans="2:6">
      <c r="B5" s="70">
        <v>42045</v>
      </c>
      <c r="C5" s="110">
        <f>C4</f>
        <v>0</v>
      </c>
      <c r="D5" s="110">
        <f>C5-E5</f>
        <v>-476.96</v>
      </c>
      <c r="E5" s="110">
        <f>ROUND(F4*$F$20/12,2)</f>
        <v>476.96</v>
      </c>
      <c r="F5" s="110">
        <f>F4-D5</f>
        <v>153104.16</v>
      </c>
    </row>
    <row r="6" spans="2:6">
      <c r="B6" s="70">
        <v>42073</v>
      </c>
      <c r="C6" s="110">
        <f>C5</f>
        <v>0</v>
      </c>
      <c r="D6" s="110">
        <f>C6-E6</f>
        <v>-478.45</v>
      </c>
      <c r="E6" s="110">
        <f>ROUND(F5*$F$20/12,2)</f>
        <v>478.45</v>
      </c>
      <c r="F6" s="110">
        <f>F5-D6</f>
        <v>153582.61000000002</v>
      </c>
    </row>
    <row r="7" spans="2:6">
      <c r="B7" s="70">
        <v>42104</v>
      </c>
      <c r="C7" s="110">
        <f>C6</f>
        <v>0</v>
      </c>
      <c r="D7" s="110">
        <f>C7-E7</f>
        <v>-479.95</v>
      </c>
      <c r="E7" s="110">
        <f>ROUND(F6*$F$20/12,2)</f>
        <v>479.95</v>
      </c>
      <c r="F7" s="110">
        <f>F6-D7</f>
        <v>154062.56000000003</v>
      </c>
    </row>
    <row r="8" spans="2:6">
      <c r="B8" s="70">
        <v>42134</v>
      </c>
      <c r="C8" s="110">
        <f>C7</f>
        <v>0</v>
      </c>
      <c r="D8" s="110">
        <f>C8-E8</f>
        <v>-481.45</v>
      </c>
      <c r="E8" s="110">
        <f>ROUND(F7*$F$20/12,2)</f>
        <v>481.45</v>
      </c>
      <c r="F8" s="110">
        <f>F7-D8</f>
        <v>154544.01000000004</v>
      </c>
    </row>
    <row r="9" spans="2:6">
      <c r="B9" s="70">
        <v>42165</v>
      </c>
      <c r="C9" s="110">
        <f>C8</f>
        <v>0</v>
      </c>
      <c r="D9" s="110">
        <f>C9-E9</f>
        <v>-482.95</v>
      </c>
      <c r="E9" s="110">
        <f>ROUND(F8*$F$20/12,2)</f>
        <v>482.95</v>
      </c>
      <c r="F9" s="110">
        <f>F8-D9</f>
        <v>155026.96000000005</v>
      </c>
    </row>
    <row r="10" spans="2:6">
      <c r="B10" s="70">
        <v>42195</v>
      </c>
      <c r="C10" s="110">
        <f>C9</f>
        <v>0</v>
      </c>
      <c r="D10" s="110">
        <f>C10-E10</f>
        <v>-484.46</v>
      </c>
      <c r="E10" s="110">
        <f>ROUND(F9*$F$20/12,2)</f>
        <v>484.46</v>
      </c>
      <c r="F10" s="110">
        <f>F9-D10</f>
        <v>155511.42000000004</v>
      </c>
    </row>
    <row r="11" spans="2:6">
      <c r="B11" s="70">
        <v>42226</v>
      </c>
      <c r="C11" s="110">
        <f>C10</f>
        <v>0</v>
      </c>
      <c r="D11" s="110">
        <f>C11-E11</f>
        <v>-485.97</v>
      </c>
      <c r="E11" s="110">
        <f>ROUND(F10*$F$20/12,2)</f>
        <v>485.97</v>
      </c>
      <c r="F11" s="110">
        <f>F10-D11</f>
        <v>155997.39000000004</v>
      </c>
    </row>
    <row r="12" spans="2:6">
      <c r="B12" s="70">
        <v>42257</v>
      </c>
      <c r="C12" s="110">
        <f>C11</f>
        <v>0</v>
      </c>
      <c r="D12" s="110">
        <f>C12-E12</f>
        <v>-487.49</v>
      </c>
      <c r="E12" s="110">
        <f>ROUND(F11*$F$20/12,2)</f>
        <v>487.49</v>
      </c>
      <c r="F12" s="110">
        <f>F11-D12</f>
        <v>156484.88000000003</v>
      </c>
    </row>
    <row r="13" spans="2:6">
      <c r="B13" s="70">
        <v>42287</v>
      </c>
      <c r="C13" s="110">
        <f>C12</f>
        <v>0</v>
      </c>
      <c r="D13" s="110">
        <f>C13-E13</f>
        <v>-489.02</v>
      </c>
      <c r="E13" s="110">
        <f>ROUND(F12*$F$20/12,2)</f>
        <v>489.02</v>
      </c>
      <c r="F13" s="110">
        <f>F12-D13</f>
        <v>156973.90000000002</v>
      </c>
    </row>
    <row r="14" spans="2:6">
      <c r="B14" s="70">
        <v>42318</v>
      </c>
      <c r="C14" s="110">
        <f>C13</f>
        <v>0</v>
      </c>
      <c r="D14" s="110">
        <f>C14-E14</f>
        <v>-490.54</v>
      </c>
      <c r="E14" s="110">
        <f>ROUND(F13*$F$20/12,2)</f>
        <v>490.54</v>
      </c>
      <c r="F14" s="110">
        <f>F13-D14</f>
        <v>157464.44000000003</v>
      </c>
    </row>
    <row r="15" spans="2:6">
      <c r="B15" s="70">
        <v>42348</v>
      </c>
      <c r="C15" s="110">
        <f>764.14*12</f>
        <v>9169.68</v>
      </c>
      <c r="D15" s="110">
        <f>C15-E15</f>
        <v>8677.6</v>
      </c>
      <c r="E15" s="110">
        <f>ROUND(F14*$F$20/12,2)</f>
        <v>492.08</v>
      </c>
      <c r="F15" s="110">
        <f>F14-D15</f>
        <v>148786.84000000003</v>
      </c>
    </row>
    <row r="17" spans="5:6">
      <c r="E17" s="134" t="s">
        <v>786</v>
      </c>
      <c r="F17" s="110">
        <f>SUM(E4:E15)</f>
        <v>5804.79</v>
      </c>
    </row>
    <row r="18" spans="5:6">
      <c r="E18" s="134" t="s">
        <v>785</v>
      </c>
      <c r="F18" s="164">
        <f>F17/F3</f>
        <v>3.8151324339197455E-2</v>
      </c>
    </row>
    <row r="19" spans="5:6">
      <c r="E19" s="134"/>
    </row>
    <row r="20" spans="5:6">
      <c r="E20" s="134" t="s">
        <v>781</v>
      </c>
      <c r="F20" s="164">
        <v>3.7499999999999999E-2</v>
      </c>
    </row>
    <row r="21" spans="5:6">
      <c r="E21" s="134" t="s">
        <v>784</v>
      </c>
      <c r="F21" s="164">
        <f>EFFECT(F20,12)</f>
        <v>3.8151292560963945E-2</v>
      </c>
    </row>
    <row r="22" spans="5:6">
      <c r="E22" s="134"/>
    </row>
    <row r="23" spans="5:6">
      <c r="E23" s="134" t="s">
        <v>783</v>
      </c>
      <c r="F23" s="164">
        <f>F18</f>
        <v>3.8151324339197455E-2</v>
      </c>
    </row>
    <row r="24" spans="5:6">
      <c r="E24" s="134" t="s">
        <v>782</v>
      </c>
      <c r="F24" s="164">
        <f>NOMINAL(F23,12)</f>
        <v>3.7500030706064891E-2</v>
      </c>
    </row>
    <row r="26" spans="5:6">
      <c r="E26" s="134" t="s">
        <v>781</v>
      </c>
      <c r="F26" s="164">
        <v>3.7499999999999999E-2</v>
      </c>
    </row>
    <row r="27" spans="5:6">
      <c r="E27" s="134" t="s">
        <v>780</v>
      </c>
      <c r="F27" s="164">
        <f>FV(F26/12,12,0,-1)-1</f>
        <v>3.8151292560963945E-2</v>
      </c>
    </row>
    <row r="28" spans="5:6">
      <c r="E28" s="134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H370"/>
  <sheetViews>
    <sheetView workbookViewId="0">
      <selection activeCell="C15" sqref="C15"/>
    </sheetView>
  </sheetViews>
  <sheetFormatPr defaultRowHeight="15"/>
  <cols>
    <col min="1" max="1" width="6.7109375" customWidth="1"/>
    <col min="2" max="2" width="23.42578125" bestFit="1" customWidth="1"/>
    <col min="3" max="3" width="11.5703125" bestFit="1" customWidth="1"/>
    <col min="4" max="4" width="7.5703125" customWidth="1"/>
    <col min="5" max="6" width="9.5703125" customWidth="1"/>
    <col min="7" max="7" width="8" customWidth="1"/>
    <col min="8" max="8" width="11.5703125" customWidth="1"/>
  </cols>
  <sheetData>
    <row r="2" spans="2:8">
      <c r="B2" s="134" t="s">
        <v>795</v>
      </c>
      <c r="C2" s="166">
        <v>215000</v>
      </c>
    </row>
    <row r="3" spans="2:8">
      <c r="B3" s="134" t="s">
        <v>794</v>
      </c>
      <c r="C3" s="167">
        <v>4.1250000000000002E-2</v>
      </c>
    </row>
    <row r="4" spans="2:8">
      <c r="B4" s="134" t="s">
        <v>793</v>
      </c>
      <c r="C4" s="166">
        <v>15</v>
      </c>
    </row>
    <row r="5" spans="2:8" ht="15.75" thickBot="1">
      <c r="B5" s="134"/>
    </row>
    <row r="6" spans="2:8" ht="15.75" thickBot="1">
      <c r="B6" s="134" t="s">
        <v>792</v>
      </c>
      <c r="C6" s="165">
        <f>PMT(C3/12,C4*12,C2,0,0)</f>
        <v>-1603.8302979919331</v>
      </c>
    </row>
    <row r="9" spans="2:8">
      <c r="D9" s="97" t="s">
        <v>791</v>
      </c>
      <c r="E9" s="97" t="s">
        <v>790</v>
      </c>
      <c r="F9" s="97" t="s">
        <v>788</v>
      </c>
      <c r="G9" s="97" t="s">
        <v>787</v>
      </c>
      <c r="H9" s="97" t="s">
        <v>329</v>
      </c>
    </row>
    <row r="10" spans="2:8">
      <c r="H10" s="110">
        <f>C2</f>
        <v>215000</v>
      </c>
    </row>
    <row r="11" spans="2:8">
      <c r="D11">
        <v>1</v>
      </c>
      <c r="E11" s="110">
        <f>-ROUND($C$6,2)</f>
        <v>1603.83</v>
      </c>
      <c r="F11" s="110">
        <f>E11-G11</f>
        <v>864.77</v>
      </c>
      <c r="G11" s="110">
        <f>ROUND(H10*$C$3/12,2)</f>
        <v>739.06</v>
      </c>
      <c r="H11" s="110">
        <f>H10-F11</f>
        <v>214135.23</v>
      </c>
    </row>
    <row r="12" spans="2:8">
      <c r="D12">
        <f>D11+1</f>
        <v>2</v>
      </c>
      <c r="E12" s="110">
        <f>-ROUND($C$6,2)</f>
        <v>1603.83</v>
      </c>
      <c r="F12" s="110">
        <f>E12-G12</f>
        <v>867.7399999999999</v>
      </c>
      <c r="G12" s="110">
        <f>ROUND(H11*$C$3/12,2)</f>
        <v>736.09</v>
      </c>
      <c r="H12" s="110">
        <f>H11-F12</f>
        <v>213267.49000000002</v>
      </c>
    </row>
    <row r="13" spans="2:8">
      <c r="D13">
        <f>D12+1</f>
        <v>3</v>
      </c>
      <c r="E13" s="110">
        <f>-ROUND($C$6,2)</f>
        <v>1603.83</v>
      </c>
      <c r="F13" s="110">
        <f>E13-G13</f>
        <v>870.71999999999991</v>
      </c>
      <c r="G13" s="110">
        <f>ROUND(H12*$C$3/12,2)</f>
        <v>733.11</v>
      </c>
      <c r="H13" s="110">
        <f>H12-F13</f>
        <v>212396.77000000002</v>
      </c>
    </row>
    <row r="14" spans="2:8">
      <c r="D14">
        <f>D13+1</f>
        <v>4</v>
      </c>
      <c r="E14" s="110">
        <f>-ROUND($C$6,2)</f>
        <v>1603.83</v>
      </c>
      <c r="F14" s="110">
        <f>E14-G14</f>
        <v>873.71999999999991</v>
      </c>
      <c r="G14" s="110">
        <f>ROUND(H13*$C$3/12,2)</f>
        <v>730.11</v>
      </c>
      <c r="H14" s="110">
        <f>H13-F14</f>
        <v>211523.05000000002</v>
      </c>
    </row>
    <row r="15" spans="2:8">
      <c r="D15">
        <f>D14+1</f>
        <v>5</v>
      </c>
      <c r="E15" s="110">
        <f>-ROUND($C$6,2)</f>
        <v>1603.83</v>
      </c>
      <c r="F15" s="110">
        <f>E15-G15</f>
        <v>876.71999999999991</v>
      </c>
      <c r="G15" s="110">
        <f>ROUND(H14*$C$3/12,2)</f>
        <v>727.11</v>
      </c>
      <c r="H15" s="110">
        <f>H14-F15</f>
        <v>210646.33000000002</v>
      </c>
    </row>
    <row r="16" spans="2:8">
      <c r="D16">
        <f>D15+1</f>
        <v>6</v>
      </c>
      <c r="E16" s="110">
        <f>-ROUND($C$6,2)</f>
        <v>1603.83</v>
      </c>
      <c r="F16" s="110">
        <f>E16-G16</f>
        <v>879.7299999999999</v>
      </c>
      <c r="G16" s="110">
        <f>ROUND(H15*$C$3/12,2)</f>
        <v>724.1</v>
      </c>
      <c r="H16" s="110">
        <f>H15-F16</f>
        <v>209766.6</v>
      </c>
    </row>
    <row r="17" spans="4:8">
      <c r="D17">
        <f>D16+1</f>
        <v>7</v>
      </c>
      <c r="E17" s="110">
        <f>-ROUND($C$6,2)</f>
        <v>1603.83</v>
      </c>
      <c r="F17" s="110">
        <f>E17-G17</f>
        <v>882.75999999999988</v>
      </c>
      <c r="G17" s="110">
        <f>ROUND(H16*$C$3/12,2)</f>
        <v>721.07</v>
      </c>
      <c r="H17" s="110">
        <f>H16-F17</f>
        <v>208883.84</v>
      </c>
    </row>
    <row r="18" spans="4:8">
      <c r="D18">
        <f>D17+1</f>
        <v>8</v>
      </c>
      <c r="E18" s="110">
        <f>-ROUND($C$6,2)</f>
        <v>1603.83</v>
      </c>
      <c r="F18" s="110">
        <f>E18-G18</f>
        <v>885.79</v>
      </c>
      <c r="G18" s="110">
        <f>ROUND(H17*$C$3/12,2)</f>
        <v>718.04</v>
      </c>
      <c r="H18" s="110">
        <f>H17-F18</f>
        <v>207998.05</v>
      </c>
    </row>
    <row r="19" spans="4:8">
      <c r="D19">
        <f>D18+1</f>
        <v>9</v>
      </c>
      <c r="E19" s="110">
        <f>-ROUND($C$6,2)</f>
        <v>1603.83</v>
      </c>
      <c r="F19" s="110">
        <f>E19-G19</f>
        <v>888.83999999999992</v>
      </c>
      <c r="G19" s="110">
        <f>ROUND(H18*$C$3/12,2)</f>
        <v>714.99</v>
      </c>
      <c r="H19" s="110">
        <f>H18-F19</f>
        <v>207109.21</v>
      </c>
    </row>
    <row r="20" spans="4:8">
      <c r="D20">
        <f>D19+1</f>
        <v>10</v>
      </c>
      <c r="E20" s="110">
        <f>-ROUND($C$6,2)</f>
        <v>1603.83</v>
      </c>
      <c r="F20" s="110">
        <f>E20-G20</f>
        <v>891.88999999999987</v>
      </c>
      <c r="G20" s="110">
        <f>ROUND(H19*$C$3/12,2)</f>
        <v>711.94</v>
      </c>
      <c r="H20" s="110">
        <f>H19-F20</f>
        <v>206217.31999999998</v>
      </c>
    </row>
    <row r="21" spans="4:8">
      <c r="D21">
        <f>D20+1</f>
        <v>11</v>
      </c>
      <c r="E21" s="110">
        <f>-ROUND($C$6,2)</f>
        <v>1603.83</v>
      </c>
      <c r="F21" s="110">
        <f>E21-G21</f>
        <v>894.95999999999992</v>
      </c>
      <c r="G21" s="110">
        <f>ROUND(H20*$C$3/12,2)</f>
        <v>708.87</v>
      </c>
      <c r="H21" s="110">
        <f>H20-F21</f>
        <v>205322.36</v>
      </c>
    </row>
    <row r="22" spans="4:8">
      <c r="D22">
        <f>D21+1</f>
        <v>12</v>
      </c>
      <c r="E22" s="110">
        <f>-ROUND($C$6,2)</f>
        <v>1603.83</v>
      </c>
      <c r="F22" s="110">
        <f>E22-G22</f>
        <v>898.03</v>
      </c>
      <c r="G22" s="110">
        <f>ROUND(H21*$C$3/12,2)</f>
        <v>705.8</v>
      </c>
      <c r="H22" s="110">
        <f>H21-F22</f>
        <v>204424.33</v>
      </c>
    </row>
    <row r="23" spans="4:8">
      <c r="D23">
        <f>D22+1</f>
        <v>13</v>
      </c>
      <c r="E23" s="110">
        <f>-ROUND($C$6,2)</f>
        <v>1603.83</v>
      </c>
      <c r="F23" s="110">
        <f>E23-G23</f>
        <v>901.11999999999989</v>
      </c>
      <c r="G23" s="110">
        <f>ROUND(H22*$C$3/12,2)</f>
        <v>702.71</v>
      </c>
      <c r="H23" s="110">
        <f>H22-F23</f>
        <v>203523.21</v>
      </c>
    </row>
    <row r="24" spans="4:8">
      <c r="D24">
        <f>D23+1</f>
        <v>14</v>
      </c>
      <c r="E24" s="110">
        <f>-ROUND($C$6,2)</f>
        <v>1603.83</v>
      </c>
      <c r="F24" s="110">
        <f>E24-G24</f>
        <v>904.21999999999991</v>
      </c>
      <c r="G24" s="110">
        <f>ROUND(H23*$C$3/12,2)</f>
        <v>699.61</v>
      </c>
      <c r="H24" s="110">
        <f>H23-F24</f>
        <v>202618.99</v>
      </c>
    </row>
    <row r="25" spans="4:8">
      <c r="D25">
        <f>D24+1</f>
        <v>15</v>
      </c>
      <c r="E25" s="110">
        <f>-ROUND($C$6,2)</f>
        <v>1603.83</v>
      </c>
      <c r="F25" s="110">
        <f>E25-G25</f>
        <v>907.32999999999993</v>
      </c>
      <c r="G25" s="110">
        <f>ROUND(H24*$C$3/12,2)</f>
        <v>696.5</v>
      </c>
      <c r="H25" s="110">
        <f>H24-F25</f>
        <v>201711.66</v>
      </c>
    </row>
    <row r="26" spans="4:8">
      <c r="D26">
        <f>D25+1</f>
        <v>16</v>
      </c>
      <c r="E26" s="110">
        <f>-ROUND($C$6,2)</f>
        <v>1603.83</v>
      </c>
      <c r="F26" s="110">
        <f>E26-G26</f>
        <v>910.44999999999993</v>
      </c>
      <c r="G26" s="110">
        <f>ROUND(H25*$C$3/12,2)</f>
        <v>693.38</v>
      </c>
      <c r="H26" s="110">
        <f>H25-F26</f>
        <v>200801.21</v>
      </c>
    </row>
    <row r="27" spans="4:8">
      <c r="D27">
        <f>D26+1</f>
        <v>17</v>
      </c>
      <c r="E27" s="110">
        <f>-ROUND($C$6,2)</f>
        <v>1603.83</v>
      </c>
      <c r="F27" s="110">
        <f>E27-G27</f>
        <v>913.57999999999993</v>
      </c>
      <c r="G27" s="110">
        <f>ROUND(H26*$C$3/12,2)</f>
        <v>690.25</v>
      </c>
      <c r="H27" s="110">
        <f>H26-F27</f>
        <v>199887.63</v>
      </c>
    </row>
    <row r="28" spans="4:8">
      <c r="D28">
        <f>D27+1</f>
        <v>18</v>
      </c>
      <c r="E28" s="110">
        <f>-ROUND($C$6,2)</f>
        <v>1603.83</v>
      </c>
      <c r="F28" s="110">
        <f>E28-G28</f>
        <v>916.71999999999991</v>
      </c>
      <c r="G28" s="110">
        <f>ROUND(H27*$C$3/12,2)</f>
        <v>687.11</v>
      </c>
      <c r="H28" s="110">
        <f>H27-F28</f>
        <v>198970.91</v>
      </c>
    </row>
    <row r="29" spans="4:8">
      <c r="D29">
        <f>D28+1</f>
        <v>19</v>
      </c>
      <c r="E29" s="110">
        <f>-ROUND($C$6,2)</f>
        <v>1603.83</v>
      </c>
      <c r="F29" s="110">
        <f>E29-G29</f>
        <v>919.86999999999989</v>
      </c>
      <c r="G29" s="110">
        <f>ROUND(H28*$C$3/12,2)</f>
        <v>683.96</v>
      </c>
      <c r="H29" s="110">
        <f>H28-F29</f>
        <v>198051.04</v>
      </c>
    </row>
    <row r="30" spans="4:8">
      <c r="D30">
        <f>D29+1</f>
        <v>20</v>
      </c>
      <c r="E30" s="110">
        <f>-ROUND($C$6,2)</f>
        <v>1603.83</v>
      </c>
      <c r="F30" s="110">
        <f>E30-G30</f>
        <v>923.03</v>
      </c>
      <c r="G30" s="110">
        <f>ROUND(H29*$C$3/12,2)</f>
        <v>680.8</v>
      </c>
      <c r="H30" s="110">
        <f>H29-F30</f>
        <v>197128.01</v>
      </c>
    </row>
    <row r="31" spans="4:8">
      <c r="D31">
        <f>D30+1</f>
        <v>21</v>
      </c>
      <c r="E31" s="110">
        <f>-ROUND($C$6,2)</f>
        <v>1603.83</v>
      </c>
      <c r="F31" s="110">
        <f>E31-G31</f>
        <v>926.19999999999993</v>
      </c>
      <c r="G31" s="110">
        <f>ROUND(H30*$C$3/12,2)</f>
        <v>677.63</v>
      </c>
      <c r="H31" s="110">
        <f>H30-F31</f>
        <v>196201.81</v>
      </c>
    </row>
    <row r="32" spans="4:8">
      <c r="D32">
        <f>D31+1</f>
        <v>22</v>
      </c>
      <c r="E32" s="110">
        <f>-ROUND($C$6,2)</f>
        <v>1603.83</v>
      </c>
      <c r="F32" s="110">
        <f>E32-G32</f>
        <v>929.38999999999987</v>
      </c>
      <c r="G32" s="110">
        <f>ROUND(H31*$C$3/12,2)</f>
        <v>674.44</v>
      </c>
      <c r="H32" s="110">
        <f>H31-F32</f>
        <v>195272.41999999998</v>
      </c>
    </row>
    <row r="33" spans="4:8">
      <c r="D33">
        <f>D32+1</f>
        <v>23</v>
      </c>
      <c r="E33" s="110">
        <f>-ROUND($C$6,2)</f>
        <v>1603.83</v>
      </c>
      <c r="F33" s="110">
        <f>E33-G33</f>
        <v>932.57999999999993</v>
      </c>
      <c r="G33" s="110">
        <f>ROUND(H32*$C$3/12,2)</f>
        <v>671.25</v>
      </c>
      <c r="H33" s="110">
        <f>H32-F33</f>
        <v>194339.84</v>
      </c>
    </row>
    <row r="34" spans="4:8">
      <c r="D34">
        <f>D33+1</f>
        <v>24</v>
      </c>
      <c r="E34" s="110">
        <f>-ROUND($C$6,2)</f>
        <v>1603.83</v>
      </c>
      <c r="F34" s="110">
        <f>E34-G34</f>
        <v>935.79</v>
      </c>
      <c r="G34" s="110">
        <f>ROUND(H33*$C$3/12,2)</f>
        <v>668.04</v>
      </c>
      <c r="H34" s="110">
        <f>H33-F34</f>
        <v>193404.05</v>
      </c>
    </row>
    <row r="35" spans="4:8">
      <c r="D35">
        <f>D34+1</f>
        <v>25</v>
      </c>
      <c r="E35" s="110">
        <f>-ROUND($C$6,2)</f>
        <v>1603.83</v>
      </c>
      <c r="F35" s="110">
        <f>E35-G35</f>
        <v>938.99999999999989</v>
      </c>
      <c r="G35" s="110">
        <f>ROUND(H34*$C$3/12,2)</f>
        <v>664.83</v>
      </c>
      <c r="H35" s="110">
        <f>H34-F35</f>
        <v>192465.05</v>
      </c>
    </row>
    <row r="36" spans="4:8">
      <c r="D36">
        <f>D35+1</f>
        <v>26</v>
      </c>
      <c r="E36" s="110">
        <f>-ROUND($C$6,2)</f>
        <v>1603.83</v>
      </c>
      <c r="F36" s="110">
        <f>E36-G36</f>
        <v>942.2299999999999</v>
      </c>
      <c r="G36" s="110">
        <f>ROUND(H35*$C$3/12,2)</f>
        <v>661.6</v>
      </c>
      <c r="H36" s="110">
        <f>H35-F36</f>
        <v>191522.81999999998</v>
      </c>
    </row>
    <row r="37" spans="4:8">
      <c r="D37">
        <f>D36+1</f>
        <v>27</v>
      </c>
      <c r="E37" s="110">
        <f>-ROUND($C$6,2)</f>
        <v>1603.83</v>
      </c>
      <c r="F37" s="110">
        <f>E37-G37</f>
        <v>945.46999999999991</v>
      </c>
      <c r="G37" s="110">
        <f>ROUND(H36*$C$3/12,2)</f>
        <v>658.36</v>
      </c>
      <c r="H37" s="110">
        <f>H36-F37</f>
        <v>190577.34999999998</v>
      </c>
    </row>
    <row r="38" spans="4:8">
      <c r="D38">
        <f>D37+1</f>
        <v>28</v>
      </c>
      <c r="E38" s="110">
        <f>-ROUND($C$6,2)</f>
        <v>1603.83</v>
      </c>
      <c r="F38" s="110">
        <f>E38-G38</f>
        <v>948.71999999999991</v>
      </c>
      <c r="G38" s="110">
        <f>ROUND(H37*$C$3/12,2)</f>
        <v>655.11</v>
      </c>
      <c r="H38" s="110">
        <f>H37-F38</f>
        <v>189628.62999999998</v>
      </c>
    </row>
    <row r="39" spans="4:8">
      <c r="D39">
        <f>D38+1</f>
        <v>29</v>
      </c>
      <c r="E39" s="110">
        <f>-ROUND($C$6,2)</f>
        <v>1603.83</v>
      </c>
      <c r="F39" s="110">
        <f>E39-G39</f>
        <v>951.9799999999999</v>
      </c>
      <c r="G39" s="110">
        <f>ROUND(H38*$C$3/12,2)</f>
        <v>651.85</v>
      </c>
      <c r="H39" s="110">
        <f>H38-F39</f>
        <v>188676.64999999997</v>
      </c>
    </row>
    <row r="40" spans="4:8">
      <c r="D40">
        <f>D39+1</f>
        <v>30</v>
      </c>
      <c r="E40" s="110">
        <f>-ROUND($C$6,2)</f>
        <v>1603.83</v>
      </c>
      <c r="F40" s="110">
        <f>E40-G40</f>
        <v>955.24999999999989</v>
      </c>
      <c r="G40" s="110">
        <f>ROUND(H39*$C$3/12,2)</f>
        <v>648.58000000000004</v>
      </c>
      <c r="H40" s="110">
        <f>H39-F40</f>
        <v>187721.39999999997</v>
      </c>
    </row>
    <row r="41" spans="4:8">
      <c r="D41">
        <f>D40+1</f>
        <v>31</v>
      </c>
      <c r="E41" s="110">
        <f>-ROUND($C$6,2)</f>
        <v>1603.83</v>
      </c>
      <c r="F41" s="110">
        <f>E41-G41</f>
        <v>958.54</v>
      </c>
      <c r="G41" s="110">
        <f>ROUND(H40*$C$3/12,2)</f>
        <v>645.29</v>
      </c>
      <c r="H41" s="110">
        <f>H40-F41</f>
        <v>186762.85999999996</v>
      </c>
    </row>
    <row r="42" spans="4:8">
      <c r="D42">
        <f>D41+1</f>
        <v>32</v>
      </c>
      <c r="E42" s="110">
        <f>-ROUND($C$6,2)</f>
        <v>1603.83</v>
      </c>
      <c r="F42" s="110">
        <f>E42-G42</f>
        <v>961.82999999999993</v>
      </c>
      <c r="G42" s="110">
        <f>ROUND(H41*$C$3/12,2)</f>
        <v>642</v>
      </c>
      <c r="H42" s="110">
        <f>H41-F42</f>
        <v>185801.02999999997</v>
      </c>
    </row>
    <row r="43" spans="4:8">
      <c r="D43">
        <f>D42+1</f>
        <v>33</v>
      </c>
      <c r="E43" s="110">
        <f>-ROUND($C$6,2)</f>
        <v>1603.83</v>
      </c>
      <c r="F43" s="110">
        <f>E43-G43</f>
        <v>965.13999999999987</v>
      </c>
      <c r="G43" s="110">
        <f>ROUND(H42*$C$3/12,2)</f>
        <v>638.69000000000005</v>
      </c>
      <c r="H43" s="110">
        <f>H42-F43</f>
        <v>184835.88999999996</v>
      </c>
    </row>
    <row r="44" spans="4:8">
      <c r="D44">
        <f>D43+1</f>
        <v>34</v>
      </c>
      <c r="E44" s="110">
        <f>-ROUND($C$6,2)</f>
        <v>1603.83</v>
      </c>
      <c r="F44" s="110">
        <f>E44-G44</f>
        <v>968.45999999999992</v>
      </c>
      <c r="G44" s="110">
        <f>ROUND(H43*$C$3/12,2)</f>
        <v>635.37</v>
      </c>
      <c r="H44" s="110">
        <f>H43-F44</f>
        <v>183867.42999999996</v>
      </c>
    </row>
    <row r="45" spans="4:8">
      <c r="D45">
        <f>D44+1</f>
        <v>35</v>
      </c>
      <c r="E45" s="110">
        <f>-ROUND($C$6,2)</f>
        <v>1603.83</v>
      </c>
      <c r="F45" s="110">
        <f>E45-G45</f>
        <v>971.79</v>
      </c>
      <c r="G45" s="110">
        <f>ROUND(H44*$C$3/12,2)</f>
        <v>632.04</v>
      </c>
      <c r="H45" s="110">
        <f>H44-F45</f>
        <v>182895.63999999996</v>
      </c>
    </row>
    <row r="46" spans="4:8">
      <c r="D46">
        <f>D45+1</f>
        <v>36</v>
      </c>
      <c r="E46" s="110">
        <f>-ROUND($C$6,2)</f>
        <v>1603.83</v>
      </c>
      <c r="F46" s="110">
        <f>E46-G46</f>
        <v>975.12999999999988</v>
      </c>
      <c r="G46" s="110">
        <f>ROUND(H45*$C$3/12,2)</f>
        <v>628.70000000000005</v>
      </c>
      <c r="H46" s="110">
        <f>H45-F46</f>
        <v>181920.50999999995</v>
      </c>
    </row>
    <row r="47" spans="4:8">
      <c r="D47">
        <f>D46+1</f>
        <v>37</v>
      </c>
      <c r="E47" s="110">
        <f>-ROUND($C$6,2)</f>
        <v>1603.83</v>
      </c>
      <c r="F47" s="110">
        <f>E47-G47</f>
        <v>978.4799999999999</v>
      </c>
      <c r="G47" s="110">
        <f>ROUND(H46*$C$3/12,2)</f>
        <v>625.35</v>
      </c>
      <c r="H47" s="110">
        <f>H46-F47</f>
        <v>180942.02999999994</v>
      </c>
    </row>
    <row r="48" spans="4:8">
      <c r="D48">
        <f>D47+1</f>
        <v>38</v>
      </c>
      <c r="E48" s="110">
        <f>-ROUND($C$6,2)</f>
        <v>1603.83</v>
      </c>
      <c r="F48" s="110">
        <f>E48-G48</f>
        <v>981.83999999999992</v>
      </c>
      <c r="G48" s="110">
        <f>ROUND(H47*$C$3/12,2)</f>
        <v>621.99</v>
      </c>
      <c r="H48" s="110">
        <f>H47-F48</f>
        <v>179960.18999999994</v>
      </c>
    </row>
    <row r="49" spans="4:8">
      <c r="D49">
        <f>D48+1</f>
        <v>39</v>
      </c>
      <c r="E49" s="110">
        <f>-ROUND($C$6,2)</f>
        <v>1603.83</v>
      </c>
      <c r="F49" s="110">
        <f>E49-G49</f>
        <v>985.21999999999991</v>
      </c>
      <c r="G49" s="110">
        <f>ROUND(H48*$C$3/12,2)</f>
        <v>618.61</v>
      </c>
      <c r="H49" s="110">
        <f>H48-F49</f>
        <v>178974.96999999994</v>
      </c>
    </row>
    <row r="50" spans="4:8">
      <c r="D50">
        <f>D49+1</f>
        <v>40</v>
      </c>
      <c r="E50" s="110">
        <f>-ROUND($C$6,2)</f>
        <v>1603.83</v>
      </c>
      <c r="F50" s="110">
        <f>E50-G50</f>
        <v>988.59999999999991</v>
      </c>
      <c r="G50" s="110">
        <f>ROUND(H49*$C$3/12,2)</f>
        <v>615.23</v>
      </c>
      <c r="H50" s="110">
        <f>H49-F50</f>
        <v>177986.36999999994</v>
      </c>
    </row>
    <row r="51" spans="4:8">
      <c r="D51">
        <f>D50+1</f>
        <v>41</v>
      </c>
      <c r="E51" s="110">
        <f>-ROUND($C$6,2)</f>
        <v>1603.83</v>
      </c>
      <c r="F51" s="110">
        <f>E51-G51</f>
        <v>991.99999999999989</v>
      </c>
      <c r="G51" s="110">
        <f>ROUND(H50*$C$3/12,2)</f>
        <v>611.83000000000004</v>
      </c>
      <c r="H51" s="110">
        <f>H50-F51</f>
        <v>176994.36999999994</v>
      </c>
    </row>
    <row r="52" spans="4:8">
      <c r="D52">
        <f>D51+1</f>
        <v>42</v>
      </c>
      <c r="E52" s="110">
        <f>-ROUND($C$6,2)</f>
        <v>1603.83</v>
      </c>
      <c r="F52" s="110">
        <f>E52-G52</f>
        <v>995.41</v>
      </c>
      <c r="G52" s="110">
        <f>ROUND(H51*$C$3/12,2)</f>
        <v>608.41999999999996</v>
      </c>
      <c r="H52" s="110">
        <f>H51-F52</f>
        <v>175998.95999999993</v>
      </c>
    </row>
    <row r="53" spans="4:8">
      <c r="D53">
        <f>D52+1</f>
        <v>43</v>
      </c>
      <c r="E53" s="110">
        <f>-ROUND($C$6,2)</f>
        <v>1603.83</v>
      </c>
      <c r="F53" s="110">
        <f>E53-G53</f>
        <v>998.82999999999993</v>
      </c>
      <c r="G53" s="110">
        <f>ROUND(H52*$C$3/12,2)</f>
        <v>605</v>
      </c>
      <c r="H53" s="110">
        <f>H52-F53</f>
        <v>175000.12999999995</v>
      </c>
    </row>
    <row r="54" spans="4:8">
      <c r="D54">
        <f>D53+1</f>
        <v>44</v>
      </c>
      <c r="E54" s="110">
        <f>-ROUND($C$6,2)</f>
        <v>1603.83</v>
      </c>
      <c r="F54" s="110">
        <f>E54-G54</f>
        <v>1002.27</v>
      </c>
      <c r="G54" s="110">
        <f>ROUND(H53*$C$3/12,2)</f>
        <v>601.55999999999995</v>
      </c>
      <c r="H54" s="110">
        <f>H53-F54</f>
        <v>173997.85999999996</v>
      </c>
    </row>
    <row r="55" spans="4:8">
      <c r="D55">
        <f>D54+1</f>
        <v>45</v>
      </c>
      <c r="E55" s="110">
        <f>-ROUND($C$6,2)</f>
        <v>1603.83</v>
      </c>
      <c r="F55" s="110">
        <f>E55-G55</f>
        <v>1005.7099999999999</v>
      </c>
      <c r="G55" s="110">
        <f>ROUND(H54*$C$3/12,2)</f>
        <v>598.12</v>
      </c>
      <c r="H55" s="110">
        <f>H54-F55</f>
        <v>172992.14999999997</v>
      </c>
    </row>
    <row r="56" spans="4:8">
      <c r="D56">
        <f>D55+1</f>
        <v>46</v>
      </c>
      <c r="E56" s="110">
        <f>-ROUND($C$6,2)</f>
        <v>1603.83</v>
      </c>
      <c r="F56" s="110">
        <f>E56-G56</f>
        <v>1009.17</v>
      </c>
      <c r="G56" s="110">
        <f>ROUND(H55*$C$3/12,2)</f>
        <v>594.66</v>
      </c>
      <c r="H56" s="110">
        <f>H55-F56</f>
        <v>171982.97999999995</v>
      </c>
    </row>
    <row r="57" spans="4:8">
      <c r="D57">
        <f>D56+1</f>
        <v>47</v>
      </c>
      <c r="E57" s="110">
        <f>-ROUND($C$6,2)</f>
        <v>1603.83</v>
      </c>
      <c r="F57" s="110">
        <f>E57-G57</f>
        <v>1012.6399999999999</v>
      </c>
      <c r="G57" s="110">
        <f>ROUND(H56*$C$3/12,2)</f>
        <v>591.19000000000005</v>
      </c>
      <c r="H57" s="110">
        <f>H56-F57</f>
        <v>170970.33999999994</v>
      </c>
    </row>
    <row r="58" spans="4:8">
      <c r="D58">
        <f>D57+1</f>
        <v>48</v>
      </c>
      <c r="E58" s="110">
        <f>-ROUND($C$6,2)</f>
        <v>1603.83</v>
      </c>
      <c r="F58" s="110">
        <f>E58-G58</f>
        <v>1016.1199999999999</v>
      </c>
      <c r="G58" s="110">
        <f>ROUND(H57*$C$3/12,2)</f>
        <v>587.71</v>
      </c>
      <c r="H58" s="110">
        <f>H57-F58</f>
        <v>169954.21999999994</v>
      </c>
    </row>
    <row r="59" spans="4:8">
      <c r="D59">
        <f>D58+1</f>
        <v>49</v>
      </c>
      <c r="E59" s="110">
        <f>-ROUND($C$6,2)</f>
        <v>1603.83</v>
      </c>
      <c r="F59" s="110">
        <f>E59-G59</f>
        <v>1019.6099999999999</v>
      </c>
      <c r="G59" s="110">
        <f>ROUND(H58*$C$3/12,2)</f>
        <v>584.22</v>
      </c>
      <c r="H59" s="110">
        <f>H58-F59</f>
        <v>168934.60999999996</v>
      </c>
    </row>
    <row r="60" spans="4:8">
      <c r="D60">
        <f>D59+1</f>
        <v>50</v>
      </c>
      <c r="E60" s="110">
        <f>-ROUND($C$6,2)</f>
        <v>1603.83</v>
      </c>
      <c r="F60" s="110">
        <f>E60-G60</f>
        <v>1023.1199999999999</v>
      </c>
      <c r="G60" s="110">
        <f>ROUND(H59*$C$3/12,2)</f>
        <v>580.71</v>
      </c>
      <c r="H60" s="110">
        <f>H59-F60</f>
        <v>167911.48999999996</v>
      </c>
    </row>
    <row r="61" spans="4:8">
      <c r="D61">
        <f>D60+1</f>
        <v>51</v>
      </c>
      <c r="E61" s="110">
        <f>-ROUND($C$6,2)</f>
        <v>1603.83</v>
      </c>
      <c r="F61" s="110">
        <f>E61-G61</f>
        <v>1026.6299999999999</v>
      </c>
      <c r="G61" s="110">
        <f>ROUND(H60*$C$3/12,2)</f>
        <v>577.20000000000005</v>
      </c>
      <c r="H61" s="110">
        <f>H60-F61</f>
        <v>166884.85999999996</v>
      </c>
    </row>
    <row r="62" spans="4:8">
      <c r="D62">
        <f>D61+1</f>
        <v>52</v>
      </c>
      <c r="E62" s="110">
        <f>-ROUND($C$6,2)</f>
        <v>1603.83</v>
      </c>
      <c r="F62" s="110">
        <f>E62-G62</f>
        <v>1030.1599999999999</v>
      </c>
      <c r="G62" s="110">
        <f>ROUND(H61*$C$3/12,2)</f>
        <v>573.66999999999996</v>
      </c>
      <c r="H62" s="110">
        <f>H61-F62</f>
        <v>165854.69999999995</v>
      </c>
    </row>
    <row r="63" spans="4:8">
      <c r="D63">
        <f>D62+1</f>
        <v>53</v>
      </c>
      <c r="E63" s="110">
        <f>-ROUND($C$6,2)</f>
        <v>1603.83</v>
      </c>
      <c r="F63" s="110">
        <f>E63-G63</f>
        <v>1033.6999999999998</v>
      </c>
      <c r="G63" s="110">
        <f>ROUND(H62*$C$3/12,2)</f>
        <v>570.13</v>
      </c>
      <c r="H63" s="110">
        <f>H62-F63</f>
        <v>164820.99999999994</v>
      </c>
    </row>
    <row r="64" spans="4:8">
      <c r="D64">
        <f>D63+1</f>
        <v>54</v>
      </c>
      <c r="E64" s="110">
        <f>-ROUND($C$6,2)</f>
        <v>1603.83</v>
      </c>
      <c r="F64" s="110">
        <f>E64-G64</f>
        <v>1037.2599999999998</v>
      </c>
      <c r="G64" s="110">
        <f>ROUND(H63*$C$3/12,2)</f>
        <v>566.57000000000005</v>
      </c>
      <c r="H64" s="110">
        <f>H63-F64</f>
        <v>163783.73999999993</v>
      </c>
    </row>
    <row r="65" spans="4:8">
      <c r="D65">
        <f>D64+1</f>
        <v>55</v>
      </c>
      <c r="E65" s="110">
        <f>-ROUND($C$6,2)</f>
        <v>1603.83</v>
      </c>
      <c r="F65" s="110">
        <f>E65-G65</f>
        <v>1040.82</v>
      </c>
      <c r="G65" s="110">
        <f>ROUND(H64*$C$3/12,2)</f>
        <v>563.01</v>
      </c>
      <c r="H65" s="110">
        <f>H64-F65</f>
        <v>162742.91999999993</v>
      </c>
    </row>
    <row r="66" spans="4:8">
      <c r="D66">
        <f>D65+1</f>
        <v>56</v>
      </c>
      <c r="E66" s="110">
        <f>-ROUND($C$6,2)</f>
        <v>1603.83</v>
      </c>
      <c r="F66" s="110">
        <f>E66-G66</f>
        <v>1044.4000000000001</v>
      </c>
      <c r="G66" s="110">
        <f>ROUND(H65*$C$3/12,2)</f>
        <v>559.42999999999995</v>
      </c>
      <c r="H66" s="110">
        <f>H65-F66</f>
        <v>161698.51999999993</v>
      </c>
    </row>
    <row r="67" spans="4:8">
      <c r="D67">
        <f>D66+1</f>
        <v>57</v>
      </c>
      <c r="E67" s="110">
        <f>-ROUND($C$6,2)</f>
        <v>1603.83</v>
      </c>
      <c r="F67" s="110">
        <f>E67-G67</f>
        <v>1047.9899999999998</v>
      </c>
      <c r="G67" s="110">
        <f>ROUND(H66*$C$3/12,2)</f>
        <v>555.84</v>
      </c>
      <c r="H67" s="110">
        <f>H66-F67</f>
        <v>160650.52999999994</v>
      </c>
    </row>
    <row r="68" spans="4:8">
      <c r="D68">
        <f>D67+1</f>
        <v>58</v>
      </c>
      <c r="E68" s="110">
        <f>-ROUND($C$6,2)</f>
        <v>1603.83</v>
      </c>
      <c r="F68" s="110">
        <f>E68-G68</f>
        <v>1051.5899999999999</v>
      </c>
      <c r="G68" s="110">
        <f>ROUND(H67*$C$3/12,2)</f>
        <v>552.24</v>
      </c>
      <c r="H68" s="110">
        <f>H67-F68</f>
        <v>159598.93999999994</v>
      </c>
    </row>
    <row r="69" spans="4:8">
      <c r="D69">
        <f>D68+1</f>
        <v>59</v>
      </c>
      <c r="E69" s="110">
        <f>-ROUND($C$6,2)</f>
        <v>1603.83</v>
      </c>
      <c r="F69" s="110">
        <f>E69-G69</f>
        <v>1055.21</v>
      </c>
      <c r="G69" s="110">
        <f>ROUND(H68*$C$3/12,2)</f>
        <v>548.62</v>
      </c>
      <c r="H69" s="110">
        <f>H68-F69</f>
        <v>158543.72999999995</v>
      </c>
    </row>
    <row r="70" spans="4:8">
      <c r="D70">
        <f>D69+1</f>
        <v>60</v>
      </c>
      <c r="E70" s="110">
        <f>-ROUND($C$6,2)</f>
        <v>1603.83</v>
      </c>
      <c r="F70" s="110">
        <f>E70-G70</f>
        <v>1058.8399999999999</v>
      </c>
      <c r="G70" s="110">
        <f>ROUND(H69*$C$3/12,2)</f>
        <v>544.99</v>
      </c>
      <c r="H70" s="110">
        <f>H69-F70</f>
        <v>157484.88999999996</v>
      </c>
    </row>
    <row r="71" spans="4:8">
      <c r="D71">
        <f>D70+1</f>
        <v>61</v>
      </c>
      <c r="E71" s="110">
        <f>-ROUND($C$6,2)</f>
        <v>1603.83</v>
      </c>
      <c r="F71" s="110">
        <f>E71-G71</f>
        <v>1062.48</v>
      </c>
      <c r="G71" s="110">
        <f>ROUND(H70*$C$3/12,2)</f>
        <v>541.35</v>
      </c>
      <c r="H71" s="110">
        <f>H70-F71</f>
        <v>156422.40999999995</v>
      </c>
    </row>
    <row r="72" spans="4:8">
      <c r="D72">
        <f>D71+1</f>
        <v>62</v>
      </c>
      <c r="E72" s="110">
        <f>-ROUND($C$6,2)</f>
        <v>1603.83</v>
      </c>
      <c r="F72" s="110">
        <f>E72-G72</f>
        <v>1066.1299999999999</v>
      </c>
      <c r="G72" s="110">
        <f>ROUND(H71*$C$3/12,2)</f>
        <v>537.70000000000005</v>
      </c>
      <c r="H72" s="110">
        <f>H71-F72</f>
        <v>155356.27999999994</v>
      </c>
    </row>
    <row r="73" spans="4:8">
      <c r="D73">
        <f>D72+1</f>
        <v>63</v>
      </c>
      <c r="E73" s="110">
        <f>-ROUND($C$6,2)</f>
        <v>1603.83</v>
      </c>
      <c r="F73" s="110">
        <f>E73-G73</f>
        <v>1069.79</v>
      </c>
      <c r="G73" s="110">
        <f>ROUND(H72*$C$3/12,2)</f>
        <v>534.04</v>
      </c>
      <c r="H73" s="110">
        <f>H72-F73</f>
        <v>154286.48999999993</v>
      </c>
    </row>
    <row r="74" spans="4:8">
      <c r="D74">
        <f>D73+1</f>
        <v>64</v>
      </c>
      <c r="E74" s="110">
        <f>-ROUND($C$6,2)</f>
        <v>1603.83</v>
      </c>
      <c r="F74" s="110">
        <f>E74-G74</f>
        <v>1073.4699999999998</v>
      </c>
      <c r="G74" s="110">
        <f>ROUND(H73*$C$3/12,2)</f>
        <v>530.36</v>
      </c>
      <c r="H74" s="110">
        <f>H73-F74</f>
        <v>153213.01999999993</v>
      </c>
    </row>
    <row r="75" spans="4:8">
      <c r="D75">
        <f>D74+1</f>
        <v>65</v>
      </c>
      <c r="E75" s="110">
        <f>-ROUND($C$6,2)</f>
        <v>1603.83</v>
      </c>
      <c r="F75" s="110">
        <f>E75-G75</f>
        <v>1077.1599999999999</v>
      </c>
      <c r="G75" s="110">
        <f>ROUND(H74*$C$3/12,2)</f>
        <v>526.66999999999996</v>
      </c>
      <c r="H75" s="110">
        <f>H74-F75</f>
        <v>152135.85999999993</v>
      </c>
    </row>
    <row r="76" spans="4:8">
      <c r="D76">
        <f>D75+1</f>
        <v>66</v>
      </c>
      <c r="E76" s="110">
        <f>-ROUND($C$6,2)</f>
        <v>1603.83</v>
      </c>
      <c r="F76" s="110">
        <f>E76-G76</f>
        <v>1080.8599999999999</v>
      </c>
      <c r="G76" s="110">
        <f>ROUND(H75*$C$3/12,2)</f>
        <v>522.97</v>
      </c>
      <c r="H76" s="110">
        <f>H75-F76</f>
        <v>151054.99999999994</v>
      </c>
    </row>
    <row r="77" spans="4:8">
      <c r="D77">
        <f>D76+1</f>
        <v>67</v>
      </c>
      <c r="E77" s="110">
        <f>-ROUND($C$6,2)</f>
        <v>1603.83</v>
      </c>
      <c r="F77" s="110">
        <f>E77-G77</f>
        <v>1084.58</v>
      </c>
      <c r="G77" s="110">
        <f>ROUND(H76*$C$3/12,2)</f>
        <v>519.25</v>
      </c>
      <c r="H77" s="110">
        <f>H76-F77</f>
        <v>149970.41999999995</v>
      </c>
    </row>
    <row r="78" spans="4:8">
      <c r="D78">
        <f>D77+1</f>
        <v>68</v>
      </c>
      <c r="E78" s="110">
        <f>-ROUND($C$6,2)</f>
        <v>1603.83</v>
      </c>
      <c r="F78" s="110">
        <f>E78-G78</f>
        <v>1088.31</v>
      </c>
      <c r="G78" s="110">
        <f>ROUND(H77*$C$3/12,2)</f>
        <v>515.52</v>
      </c>
      <c r="H78" s="110">
        <f>H77-F78</f>
        <v>148882.10999999996</v>
      </c>
    </row>
    <row r="79" spans="4:8">
      <c r="D79">
        <f>D78+1</f>
        <v>69</v>
      </c>
      <c r="E79" s="110">
        <f>-ROUND($C$6,2)</f>
        <v>1603.83</v>
      </c>
      <c r="F79" s="110">
        <f>E79-G79</f>
        <v>1092.05</v>
      </c>
      <c r="G79" s="110">
        <f>ROUND(H78*$C$3/12,2)</f>
        <v>511.78</v>
      </c>
      <c r="H79" s="110">
        <f>H78-F79</f>
        <v>147790.05999999997</v>
      </c>
    </row>
    <row r="80" spans="4:8">
      <c r="D80">
        <f>D79+1</f>
        <v>70</v>
      </c>
      <c r="E80" s="110">
        <f>-ROUND($C$6,2)</f>
        <v>1603.83</v>
      </c>
      <c r="F80" s="110">
        <f>E80-G80</f>
        <v>1095.8</v>
      </c>
      <c r="G80" s="110">
        <f>ROUND(H79*$C$3/12,2)</f>
        <v>508.03</v>
      </c>
      <c r="H80" s="110">
        <f>H79-F80</f>
        <v>146694.25999999998</v>
      </c>
    </row>
    <row r="81" spans="4:8">
      <c r="D81">
        <f>D80+1</f>
        <v>71</v>
      </c>
      <c r="E81" s="110">
        <f>-ROUND($C$6,2)</f>
        <v>1603.83</v>
      </c>
      <c r="F81" s="110">
        <f>E81-G81</f>
        <v>1099.57</v>
      </c>
      <c r="G81" s="110">
        <f>ROUND(H80*$C$3/12,2)</f>
        <v>504.26</v>
      </c>
      <c r="H81" s="110">
        <f>H80-F81</f>
        <v>145594.68999999997</v>
      </c>
    </row>
    <row r="82" spans="4:8">
      <c r="D82">
        <f>D81+1</f>
        <v>72</v>
      </c>
      <c r="E82" s="110">
        <f>-ROUND($C$6,2)</f>
        <v>1603.83</v>
      </c>
      <c r="F82" s="110">
        <f>E82-G82</f>
        <v>1103.3499999999999</v>
      </c>
      <c r="G82" s="110">
        <f>ROUND(H81*$C$3/12,2)</f>
        <v>500.48</v>
      </c>
      <c r="H82" s="110">
        <f>H81-F82</f>
        <v>144491.33999999997</v>
      </c>
    </row>
    <row r="83" spans="4:8">
      <c r="D83">
        <f>D82+1</f>
        <v>73</v>
      </c>
      <c r="E83" s="110">
        <f>-ROUND($C$6,2)</f>
        <v>1603.83</v>
      </c>
      <c r="F83" s="110">
        <f>E83-G83</f>
        <v>1107.1399999999999</v>
      </c>
      <c r="G83" s="110">
        <f>ROUND(H82*$C$3/12,2)</f>
        <v>496.69</v>
      </c>
      <c r="H83" s="110">
        <f>H82-F83</f>
        <v>143384.19999999995</v>
      </c>
    </row>
    <row r="84" spans="4:8">
      <c r="D84">
        <f>D83+1</f>
        <v>74</v>
      </c>
      <c r="E84" s="110">
        <f>-ROUND($C$6,2)</f>
        <v>1603.83</v>
      </c>
      <c r="F84" s="110">
        <f>E84-G84</f>
        <v>1110.9499999999998</v>
      </c>
      <c r="G84" s="110">
        <f>ROUND(H83*$C$3/12,2)</f>
        <v>492.88</v>
      </c>
      <c r="H84" s="110">
        <f>H83-F84</f>
        <v>142273.24999999994</v>
      </c>
    </row>
    <row r="85" spans="4:8">
      <c r="D85">
        <f>D84+1</f>
        <v>75</v>
      </c>
      <c r="E85" s="110">
        <f>-ROUND($C$6,2)</f>
        <v>1603.83</v>
      </c>
      <c r="F85" s="110">
        <f>E85-G85</f>
        <v>1114.77</v>
      </c>
      <c r="G85" s="110">
        <f>ROUND(H84*$C$3/12,2)</f>
        <v>489.06</v>
      </c>
      <c r="H85" s="110">
        <f>H84-F85</f>
        <v>141158.47999999995</v>
      </c>
    </row>
    <row r="86" spans="4:8">
      <c r="D86">
        <f>D85+1</f>
        <v>76</v>
      </c>
      <c r="E86" s="110">
        <f>-ROUND($C$6,2)</f>
        <v>1603.83</v>
      </c>
      <c r="F86" s="110">
        <f>E86-G86</f>
        <v>1118.5999999999999</v>
      </c>
      <c r="G86" s="110">
        <f>ROUND(H85*$C$3/12,2)</f>
        <v>485.23</v>
      </c>
      <c r="H86" s="110">
        <f>H85-F86</f>
        <v>140039.87999999995</v>
      </c>
    </row>
    <row r="87" spans="4:8">
      <c r="D87">
        <f>D86+1</f>
        <v>77</v>
      </c>
      <c r="E87" s="110">
        <f>-ROUND($C$6,2)</f>
        <v>1603.83</v>
      </c>
      <c r="F87" s="110">
        <f>E87-G87</f>
        <v>1122.44</v>
      </c>
      <c r="G87" s="110">
        <f>ROUND(H86*$C$3/12,2)</f>
        <v>481.39</v>
      </c>
      <c r="H87" s="110">
        <f>H86-F87</f>
        <v>138917.43999999994</v>
      </c>
    </row>
    <row r="88" spans="4:8">
      <c r="D88">
        <f>D87+1</f>
        <v>78</v>
      </c>
      <c r="E88" s="110">
        <f>-ROUND($C$6,2)</f>
        <v>1603.83</v>
      </c>
      <c r="F88" s="110">
        <f>E88-G88</f>
        <v>1126.3</v>
      </c>
      <c r="G88" s="110">
        <f>ROUND(H87*$C$3/12,2)</f>
        <v>477.53</v>
      </c>
      <c r="H88" s="110">
        <f>H87-F88</f>
        <v>137791.13999999996</v>
      </c>
    </row>
    <row r="89" spans="4:8">
      <c r="D89">
        <f>D88+1</f>
        <v>79</v>
      </c>
      <c r="E89" s="110">
        <f>-ROUND($C$6,2)</f>
        <v>1603.83</v>
      </c>
      <c r="F89" s="110">
        <f>E89-G89</f>
        <v>1130.1699999999998</v>
      </c>
      <c r="G89" s="110">
        <f>ROUND(H88*$C$3/12,2)</f>
        <v>473.66</v>
      </c>
      <c r="H89" s="110">
        <f>H88-F89</f>
        <v>136660.96999999994</v>
      </c>
    </row>
    <row r="90" spans="4:8">
      <c r="D90">
        <f>D89+1</f>
        <v>80</v>
      </c>
      <c r="E90" s="110">
        <f>-ROUND($C$6,2)</f>
        <v>1603.83</v>
      </c>
      <c r="F90" s="110">
        <f>E90-G90</f>
        <v>1134.06</v>
      </c>
      <c r="G90" s="110">
        <f>ROUND(H89*$C$3/12,2)</f>
        <v>469.77</v>
      </c>
      <c r="H90" s="110">
        <f>H89-F90</f>
        <v>135526.90999999995</v>
      </c>
    </row>
    <row r="91" spans="4:8">
      <c r="D91">
        <f>D90+1</f>
        <v>81</v>
      </c>
      <c r="E91" s="110">
        <f>-ROUND($C$6,2)</f>
        <v>1603.83</v>
      </c>
      <c r="F91" s="110">
        <f>E91-G91</f>
        <v>1137.96</v>
      </c>
      <c r="G91" s="110">
        <f>ROUND(H90*$C$3/12,2)</f>
        <v>465.87</v>
      </c>
      <c r="H91" s="110">
        <f>H90-F91</f>
        <v>134388.94999999995</v>
      </c>
    </row>
    <row r="92" spans="4:8">
      <c r="D92">
        <f>D91+1</f>
        <v>82</v>
      </c>
      <c r="E92" s="110">
        <f>-ROUND($C$6,2)</f>
        <v>1603.83</v>
      </c>
      <c r="F92" s="110">
        <f>E92-G92</f>
        <v>1141.8699999999999</v>
      </c>
      <c r="G92" s="110">
        <f>ROUND(H91*$C$3/12,2)</f>
        <v>461.96</v>
      </c>
      <c r="H92" s="110">
        <f>H91-F92</f>
        <v>133247.07999999996</v>
      </c>
    </row>
    <row r="93" spans="4:8">
      <c r="D93">
        <f>D92+1</f>
        <v>83</v>
      </c>
      <c r="E93" s="110">
        <f>-ROUND($C$6,2)</f>
        <v>1603.83</v>
      </c>
      <c r="F93" s="110">
        <f>E93-G93</f>
        <v>1145.79</v>
      </c>
      <c r="G93" s="110">
        <f>ROUND(H92*$C$3/12,2)</f>
        <v>458.04</v>
      </c>
      <c r="H93" s="110">
        <f>H92-F93</f>
        <v>132101.28999999995</v>
      </c>
    </row>
    <row r="94" spans="4:8">
      <c r="D94">
        <f>D93+1</f>
        <v>84</v>
      </c>
      <c r="E94" s="110">
        <f>-ROUND($C$6,2)</f>
        <v>1603.83</v>
      </c>
      <c r="F94" s="110">
        <f>E94-G94</f>
        <v>1149.73</v>
      </c>
      <c r="G94" s="110">
        <f>ROUND(H93*$C$3/12,2)</f>
        <v>454.1</v>
      </c>
      <c r="H94" s="110">
        <f>H93-F94</f>
        <v>130951.55999999995</v>
      </c>
    </row>
    <row r="95" spans="4:8">
      <c r="D95">
        <f>D94+1</f>
        <v>85</v>
      </c>
      <c r="E95" s="110">
        <f>-ROUND($C$6,2)</f>
        <v>1603.83</v>
      </c>
      <c r="F95" s="110">
        <f>E95-G95</f>
        <v>1153.6799999999998</v>
      </c>
      <c r="G95" s="110">
        <f>ROUND(H94*$C$3/12,2)</f>
        <v>450.15</v>
      </c>
      <c r="H95" s="110">
        <f>H94-F95</f>
        <v>129797.87999999996</v>
      </c>
    </row>
    <row r="96" spans="4:8">
      <c r="D96">
        <f>D95+1</f>
        <v>86</v>
      </c>
      <c r="E96" s="110">
        <f>-ROUND($C$6,2)</f>
        <v>1603.83</v>
      </c>
      <c r="F96" s="110">
        <f>E96-G96</f>
        <v>1157.6499999999999</v>
      </c>
      <c r="G96" s="110">
        <f>ROUND(H95*$C$3/12,2)</f>
        <v>446.18</v>
      </c>
      <c r="H96" s="110">
        <f>H95-F96</f>
        <v>128640.22999999997</v>
      </c>
    </row>
    <row r="97" spans="4:8">
      <c r="D97">
        <f>D96+1</f>
        <v>87</v>
      </c>
      <c r="E97" s="110">
        <f>-ROUND($C$6,2)</f>
        <v>1603.83</v>
      </c>
      <c r="F97" s="110">
        <f>E97-G97</f>
        <v>1161.6299999999999</v>
      </c>
      <c r="G97" s="110">
        <f>ROUND(H96*$C$3/12,2)</f>
        <v>442.2</v>
      </c>
      <c r="H97" s="110">
        <f>H96-F97</f>
        <v>127478.59999999996</v>
      </c>
    </row>
    <row r="98" spans="4:8">
      <c r="D98">
        <f>D97+1</f>
        <v>88</v>
      </c>
      <c r="E98" s="110">
        <f>-ROUND($C$6,2)</f>
        <v>1603.83</v>
      </c>
      <c r="F98" s="110">
        <f>E98-G98</f>
        <v>1165.6199999999999</v>
      </c>
      <c r="G98" s="110">
        <f>ROUND(H97*$C$3/12,2)</f>
        <v>438.21</v>
      </c>
      <c r="H98" s="110">
        <f>H97-F98</f>
        <v>126312.97999999997</v>
      </c>
    </row>
    <row r="99" spans="4:8">
      <c r="D99">
        <f>D98+1</f>
        <v>89</v>
      </c>
      <c r="E99" s="110">
        <f>-ROUND($C$6,2)</f>
        <v>1603.83</v>
      </c>
      <c r="F99" s="110">
        <f>E99-G99</f>
        <v>1169.6299999999999</v>
      </c>
      <c r="G99" s="110">
        <f>ROUND(H98*$C$3/12,2)</f>
        <v>434.2</v>
      </c>
      <c r="H99" s="110">
        <f>H98-F99</f>
        <v>125143.34999999996</v>
      </c>
    </row>
    <row r="100" spans="4:8">
      <c r="D100">
        <f>D99+1</f>
        <v>90</v>
      </c>
      <c r="E100" s="110">
        <f>-ROUND($C$6,2)</f>
        <v>1603.83</v>
      </c>
      <c r="F100" s="110">
        <f>E100-G100</f>
        <v>1173.6499999999999</v>
      </c>
      <c r="G100" s="110">
        <f>ROUND(H99*$C$3/12,2)</f>
        <v>430.18</v>
      </c>
      <c r="H100" s="110">
        <f>H99-F100</f>
        <v>123969.69999999997</v>
      </c>
    </row>
    <row r="101" spans="4:8">
      <c r="D101">
        <f>D100+1</f>
        <v>91</v>
      </c>
      <c r="E101" s="110">
        <f>-ROUND($C$6,2)</f>
        <v>1603.83</v>
      </c>
      <c r="F101" s="110">
        <f>E101-G101</f>
        <v>1177.6799999999998</v>
      </c>
      <c r="G101" s="110">
        <f>ROUND(H100*$C$3/12,2)</f>
        <v>426.15</v>
      </c>
      <c r="H101" s="110">
        <f>H100-F101</f>
        <v>122792.01999999997</v>
      </c>
    </row>
    <row r="102" spans="4:8">
      <c r="D102">
        <f>D101+1</f>
        <v>92</v>
      </c>
      <c r="E102" s="110">
        <f>-ROUND($C$6,2)</f>
        <v>1603.83</v>
      </c>
      <c r="F102" s="110">
        <f>E102-G102</f>
        <v>1181.73</v>
      </c>
      <c r="G102" s="110">
        <f>ROUND(H101*$C$3/12,2)</f>
        <v>422.1</v>
      </c>
      <c r="H102" s="110">
        <f>H101-F102</f>
        <v>121610.28999999998</v>
      </c>
    </row>
    <row r="103" spans="4:8">
      <c r="D103">
        <f>D102+1</f>
        <v>93</v>
      </c>
      <c r="E103" s="110">
        <f>-ROUND($C$6,2)</f>
        <v>1603.83</v>
      </c>
      <c r="F103" s="110">
        <f>E103-G103</f>
        <v>1185.79</v>
      </c>
      <c r="G103" s="110">
        <f>ROUND(H102*$C$3/12,2)</f>
        <v>418.04</v>
      </c>
      <c r="H103" s="110">
        <f>H102-F103</f>
        <v>120424.49999999999</v>
      </c>
    </row>
    <row r="104" spans="4:8">
      <c r="D104">
        <f>D103+1</f>
        <v>94</v>
      </c>
      <c r="E104" s="110">
        <f>-ROUND($C$6,2)</f>
        <v>1603.83</v>
      </c>
      <c r="F104" s="110">
        <f>E104-G104</f>
        <v>1189.8699999999999</v>
      </c>
      <c r="G104" s="110">
        <f>ROUND(H103*$C$3/12,2)</f>
        <v>413.96</v>
      </c>
      <c r="H104" s="110">
        <f>H103-F104</f>
        <v>119234.62999999999</v>
      </c>
    </row>
    <row r="105" spans="4:8">
      <c r="D105">
        <f>D104+1</f>
        <v>95</v>
      </c>
      <c r="E105" s="110">
        <f>-ROUND($C$6,2)</f>
        <v>1603.83</v>
      </c>
      <c r="F105" s="110">
        <f>E105-G105</f>
        <v>1193.96</v>
      </c>
      <c r="G105" s="110">
        <f>ROUND(H104*$C$3/12,2)</f>
        <v>409.87</v>
      </c>
      <c r="H105" s="110">
        <f>H104-F105</f>
        <v>118040.66999999998</v>
      </c>
    </row>
    <row r="106" spans="4:8">
      <c r="D106">
        <f>D105+1</f>
        <v>96</v>
      </c>
      <c r="E106" s="110">
        <f>-ROUND($C$6,2)</f>
        <v>1603.83</v>
      </c>
      <c r="F106" s="110">
        <f>E106-G106</f>
        <v>1198.07</v>
      </c>
      <c r="G106" s="110">
        <f>ROUND(H105*$C$3/12,2)</f>
        <v>405.76</v>
      </c>
      <c r="H106" s="110">
        <f>H105-F106</f>
        <v>116842.59999999998</v>
      </c>
    </row>
    <row r="107" spans="4:8">
      <c r="D107">
        <f>D106+1</f>
        <v>97</v>
      </c>
      <c r="E107" s="110">
        <f>-ROUND($C$6,2)</f>
        <v>1603.83</v>
      </c>
      <c r="F107" s="110">
        <f>E107-G107</f>
        <v>1202.1799999999998</v>
      </c>
      <c r="G107" s="110">
        <f>ROUND(H106*$C$3/12,2)</f>
        <v>401.65</v>
      </c>
      <c r="H107" s="110">
        <f>H106-F107</f>
        <v>115640.41999999998</v>
      </c>
    </row>
    <row r="108" spans="4:8">
      <c r="D108">
        <f>D107+1</f>
        <v>98</v>
      </c>
      <c r="E108" s="110">
        <f>-ROUND($C$6,2)</f>
        <v>1603.83</v>
      </c>
      <c r="F108" s="110">
        <f>E108-G108</f>
        <v>1206.32</v>
      </c>
      <c r="G108" s="110">
        <f>ROUND(H107*$C$3/12,2)</f>
        <v>397.51</v>
      </c>
      <c r="H108" s="110">
        <f>H107-F108</f>
        <v>114434.09999999998</v>
      </c>
    </row>
    <row r="109" spans="4:8">
      <c r="D109">
        <f>D108+1</f>
        <v>99</v>
      </c>
      <c r="E109" s="110">
        <f>-ROUND($C$6,2)</f>
        <v>1603.83</v>
      </c>
      <c r="F109" s="110">
        <f>E109-G109</f>
        <v>1210.46</v>
      </c>
      <c r="G109" s="110">
        <f>ROUND(H108*$C$3/12,2)</f>
        <v>393.37</v>
      </c>
      <c r="H109" s="110">
        <f>H108-F109</f>
        <v>113223.63999999997</v>
      </c>
    </row>
    <row r="110" spans="4:8">
      <c r="D110">
        <f>D109+1</f>
        <v>100</v>
      </c>
      <c r="E110" s="110">
        <f>-ROUND($C$6,2)</f>
        <v>1603.83</v>
      </c>
      <c r="F110" s="110">
        <f>E110-G110</f>
        <v>1214.6199999999999</v>
      </c>
      <c r="G110" s="110">
        <f>ROUND(H109*$C$3/12,2)</f>
        <v>389.21</v>
      </c>
      <c r="H110" s="110">
        <f>H109-F110</f>
        <v>112009.01999999997</v>
      </c>
    </row>
    <row r="111" spans="4:8">
      <c r="D111">
        <f>D110+1</f>
        <v>101</v>
      </c>
      <c r="E111" s="110">
        <f>-ROUND($C$6,2)</f>
        <v>1603.83</v>
      </c>
      <c r="F111" s="110">
        <f>E111-G111</f>
        <v>1218.8</v>
      </c>
      <c r="G111" s="110">
        <f>ROUND(H110*$C$3/12,2)</f>
        <v>385.03</v>
      </c>
      <c r="H111" s="110">
        <f>H110-F111</f>
        <v>110790.21999999997</v>
      </c>
    </row>
    <row r="112" spans="4:8">
      <c r="D112">
        <f>D111+1</f>
        <v>102</v>
      </c>
      <c r="E112" s="110">
        <f>-ROUND($C$6,2)</f>
        <v>1603.83</v>
      </c>
      <c r="F112" s="110">
        <f>E112-G112</f>
        <v>1222.99</v>
      </c>
      <c r="G112" s="110">
        <f>ROUND(H111*$C$3/12,2)</f>
        <v>380.84</v>
      </c>
      <c r="H112" s="110">
        <f>H111-F112</f>
        <v>109567.22999999997</v>
      </c>
    </row>
    <row r="113" spans="4:8">
      <c r="D113">
        <f>D112+1</f>
        <v>103</v>
      </c>
      <c r="E113" s="110">
        <f>-ROUND($C$6,2)</f>
        <v>1603.83</v>
      </c>
      <c r="F113" s="110">
        <f>E113-G113</f>
        <v>1227.19</v>
      </c>
      <c r="G113" s="110">
        <f>ROUND(H112*$C$3/12,2)</f>
        <v>376.64</v>
      </c>
      <c r="H113" s="110">
        <f>H112-F113</f>
        <v>108340.03999999996</v>
      </c>
    </row>
    <row r="114" spans="4:8">
      <c r="D114">
        <f>D113+1</f>
        <v>104</v>
      </c>
      <c r="E114" s="110">
        <f>-ROUND($C$6,2)</f>
        <v>1603.83</v>
      </c>
      <c r="F114" s="110">
        <f>E114-G114</f>
        <v>1231.4099999999999</v>
      </c>
      <c r="G114" s="110">
        <f>ROUND(H113*$C$3/12,2)</f>
        <v>372.42</v>
      </c>
      <c r="H114" s="110">
        <f>H113-F114</f>
        <v>107108.62999999996</v>
      </c>
    </row>
    <row r="115" spans="4:8">
      <c r="D115">
        <f>D114+1</f>
        <v>105</v>
      </c>
      <c r="E115" s="110">
        <f>-ROUND($C$6,2)</f>
        <v>1603.83</v>
      </c>
      <c r="F115" s="110">
        <f>E115-G115</f>
        <v>1235.6399999999999</v>
      </c>
      <c r="G115" s="110">
        <f>ROUND(H114*$C$3/12,2)</f>
        <v>368.19</v>
      </c>
      <c r="H115" s="110">
        <f>H114-F115</f>
        <v>105872.98999999996</v>
      </c>
    </row>
    <row r="116" spans="4:8">
      <c r="D116">
        <f>D115+1</f>
        <v>106</v>
      </c>
      <c r="E116" s="110">
        <f>-ROUND($C$6,2)</f>
        <v>1603.83</v>
      </c>
      <c r="F116" s="110">
        <f>E116-G116</f>
        <v>1239.8899999999999</v>
      </c>
      <c r="G116" s="110">
        <f>ROUND(H115*$C$3/12,2)</f>
        <v>363.94</v>
      </c>
      <c r="H116" s="110">
        <f>H115-F116</f>
        <v>104633.09999999996</v>
      </c>
    </row>
    <row r="117" spans="4:8">
      <c r="D117">
        <f>D116+1</f>
        <v>107</v>
      </c>
      <c r="E117" s="110">
        <f>-ROUND($C$6,2)</f>
        <v>1603.83</v>
      </c>
      <c r="F117" s="110">
        <f>E117-G117</f>
        <v>1244.1499999999999</v>
      </c>
      <c r="G117" s="110">
        <f>ROUND(H116*$C$3/12,2)</f>
        <v>359.68</v>
      </c>
      <c r="H117" s="110">
        <f>H116-F117</f>
        <v>103388.94999999997</v>
      </c>
    </row>
    <row r="118" spans="4:8">
      <c r="D118">
        <f>D117+1</f>
        <v>108</v>
      </c>
      <c r="E118" s="110">
        <f>-ROUND($C$6,2)</f>
        <v>1603.83</v>
      </c>
      <c r="F118" s="110">
        <f>E118-G118</f>
        <v>1248.4299999999998</v>
      </c>
      <c r="G118" s="110">
        <f>ROUND(H117*$C$3/12,2)</f>
        <v>355.4</v>
      </c>
      <c r="H118" s="110">
        <f>H117-F118</f>
        <v>102140.51999999997</v>
      </c>
    </row>
    <row r="119" spans="4:8">
      <c r="D119">
        <f>D118+1</f>
        <v>109</v>
      </c>
      <c r="E119" s="110">
        <f>-ROUND($C$6,2)</f>
        <v>1603.83</v>
      </c>
      <c r="F119" s="110">
        <f>E119-G119</f>
        <v>1252.7199999999998</v>
      </c>
      <c r="G119" s="110">
        <f>ROUND(H118*$C$3/12,2)</f>
        <v>351.11</v>
      </c>
      <c r="H119" s="110">
        <f>H118-F119</f>
        <v>100887.79999999997</v>
      </c>
    </row>
    <row r="120" spans="4:8">
      <c r="D120">
        <f>D119+1</f>
        <v>110</v>
      </c>
      <c r="E120" s="110">
        <f>-ROUND($C$6,2)</f>
        <v>1603.83</v>
      </c>
      <c r="F120" s="110">
        <f>E120-G120</f>
        <v>1257.03</v>
      </c>
      <c r="G120" s="110">
        <f>ROUND(H119*$C$3/12,2)</f>
        <v>346.8</v>
      </c>
      <c r="H120" s="110">
        <f>H119-F120</f>
        <v>99630.769999999975</v>
      </c>
    </row>
    <row r="121" spans="4:8">
      <c r="D121">
        <f>D120+1</f>
        <v>111</v>
      </c>
      <c r="E121" s="110">
        <f>-ROUND($C$6,2)</f>
        <v>1603.83</v>
      </c>
      <c r="F121" s="110">
        <f>E121-G121</f>
        <v>1261.3499999999999</v>
      </c>
      <c r="G121" s="110">
        <f>ROUND(H120*$C$3/12,2)</f>
        <v>342.48</v>
      </c>
      <c r="H121" s="110">
        <f>H120-F121</f>
        <v>98369.419999999969</v>
      </c>
    </row>
    <row r="122" spans="4:8">
      <c r="D122">
        <f>D121+1</f>
        <v>112</v>
      </c>
      <c r="E122" s="110">
        <f>-ROUND($C$6,2)</f>
        <v>1603.83</v>
      </c>
      <c r="F122" s="110">
        <f>E122-G122</f>
        <v>1265.69</v>
      </c>
      <c r="G122" s="110">
        <f>ROUND(H121*$C$3/12,2)</f>
        <v>338.14</v>
      </c>
      <c r="H122" s="110">
        <f>H121-F122</f>
        <v>97103.729999999967</v>
      </c>
    </row>
    <row r="123" spans="4:8">
      <c r="D123">
        <f>D122+1</f>
        <v>113</v>
      </c>
      <c r="E123" s="110">
        <f>-ROUND($C$6,2)</f>
        <v>1603.83</v>
      </c>
      <c r="F123" s="110">
        <f>E123-G123</f>
        <v>1270.04</v>
      </c>
      <c r="G123" s="110">
        <f>ROUND(H122*$C$3/12,2)</f>
        <v>333.79</v>
      </c>
      <c r="H123" s="110">
        <f>H122-F123</f>
        <v>95833.689999999973</v>
      </c>
    </row>
    <row r="124" spans="4:8">
      <c r="D124">
        <f>D123+1</f>
        <v>114</v>
      </c>
      <c r="E124" s="110">
        <f>-ROUND($C$6,2)</f>
        <v>1603.83</v>
      </c>
      <c r="F124" s="110">
        <f>E124-G124</f>
        <v>1274.3999999999999</v>
      </c>
      <c r="G124" s="110">
        <f>ROUND(H123*$C$3/12,2)</f>
        <v>329.43</v>
      </c>
      <c r="H124" s="110">
        <f>H123-F124</f>
        <v>94559.289999999979</v>
      </c>
    </row>
    <row r="125" spans="4:8">
      <c r="D125">
        <f>D124+1</f>
        <v>115</v>
      </c>
      <c r="E125" s="110">
        <f>-ROUND($C$6,2)</f>
        <v>1603.83</v>
      </c>
      <c r="F125" s="110">
        <f>E125-G125</f>
        <v>1278.78</v>
      </c>
      <c r="G125" s="110">
        <f>ROUND(H124*$C$3/12,2)</f>
        <v>325.05</v>
      </c>
      <c r="H125" s="110">
        <f>H124-F125</f>
        <v>93280.50999999998</v>
      </c>
    </row>
    <row r="126" spans="4:8">
      <c r="D126">
        <f>D125+1</f>
        <v>116</v>
      </c>
      <c r="E126" s="110">
        <f>-ROUND($C$6,2)</f>
        <v>1603.83</v>
      </c>
      <c r="F126" s="110">
        <f>E126-G126</f>
        <v>1283.1799999999998</v>
      </c>
      <c r="G126" s="110">
        <f>ROUND(H125*$C$3/12,2)</f>
        <v>320.64999999999998</v>
      </c>
      <c r="H126" s="110">
        <f>H125-F126</f>
        <v>91997.329999999987</v>
      </c>
    </row>
    <row r="127" spans="4:8">
      <c r="D127">
        <f>D126+1</f>
        <v>117</v>
      </c>
      <c r="E127" s="110">
        <f>-ROUND($C$6,2)</f>
        <v>1603.83</v>
      </c>
      <c r="F127" s="110">
        <f>E127-G127</f>
        <v>1287.5899999999999</v>
      </c>
      <c r="G127" s="110">
        <f>ROUND(H126*$C$3/12,2)</f>
        <v>316.24</v>
      </c>
      <c r="H127" s="110">
        <f>H126-F127</f>
        <v>90709.739999999991</v>
      </c>
    </row>
    <row r="128" spans="4:8">
      <c r="D128">
        <f>D127+1</f>
        <v>118</v>
      </c>
      <c r="E128" s="110">
        <f>-ROUND($C$6,2)</f>
        <v>1603.83</v>
      </c>
      <c r="F128" s="110">
        <f>E128-G128</f>
        <v>1292.02</v>
      </c>
      <c r="G128" s="110">
        <f>ROUND(H127*$C$3/12,2)</f>
        <v>311.81</v>
      </c>
      <c r="H128" s="110">
        <f>H127-F128</f>
        <v>89417.719999999987</v>
      </c>
    </row>
    <row r="129" spans="4:8">
      <c r="D129">
        <f>D128+1</f>
        <v>119</v>
      </c>
      <c r="E129" s="110">
        <f>-ROUND($C$6,2)</f>
        <v>1603.83</v>
      </c>
      <c r="F129" s="110">
        <f>E129-G129</f>
        <v>1296.46</v>
      </c>
      <c r="G129" s="110">
        <f>ROUND(H128*$C$3/12,2)</f>
        <v>307.37</v>
      </c>
      <c r="H129" s="110">
        <f>H128-F129</f>
        <v>88121.25999999998</v>
      </c>
    </row>
    <row r="130" spans="4:8">
      <c r="D130">
        <f>D129+1</f>
        <v>120</v>
      </c>
      <c r="E130" s="110">
        <f>-ROUND($C$6,2)</f>
        <v>1603.83</v>
      </c>
      <c r="F130" s="110">
        <f>E130-G130</f>
        <v>1300.9099999999999</v>
      </c>
      <c r="G130" s="110">
        <f>ROUND(H129*$C$3/12,2)</f>
        <v>302.92</v>
      </c>
      <c r="H130" s="110">
        <f>H129-F130</f>
        <v>86820.349999999977</v>
      </c>
    </row>
    <row r="131" spans="4:8">
      <c r="D131">
        <f>D130+1</f>
        <v>121</v>
      </c>
      <c r="E131" s="110">
        <f>-ROUND($C$6,2)</f>
        <v>1603.83</v>
      </c>
      <c r="F131" s="110">
        <f>E131-G131</f>
        <v>1305.3899999999999</v>
      </c>
      <c r="G131" s="110">
        <f>ROUND(H130*$C$3/12,2)</f>
        <v>298.44</v>
      </c>
      <c r="H131" s="110">
        <f>H130-F131</f>
        <v>85514.959999999977</v>
      </c>
    </row>
    <row r="132" spans="4:8">
      <c r="D132">
        <f>D131+1</f>
        <v>122</v>
      </c>
      <c r="E132" s="110">
        <f>-ROUND($C$6,2)</f>
        <v>1603.83</v>
      </c>
      <c r="F132" s="110">
        <f>E132-G132</f>
        <v>1309.8699999999999</v>
      </c>
      <c r="G132" s="110">
        <f>ROUND(H131*$C$3/12,2)</f>
        <v>293.95999999999998</v>
      </c>
      <c r="H132" s="110">
        <f>H131-F132</f>
        <v>84205.089999999982</v>
      </c>
    </row>
    <row r="133" spans="4:8">
      <c r="D133">
        <f>D132+1</f>
        <v>123</v>
      </c>
      <c r="E133" s="110">
        <f>-ROUND($C$6,2)</f>
        <v>1603.83</v>
      </c>
      <c r="F133" s="110">
        <f>E133-G133</f>
        <v>1314.3799999999999</v>
      </c>
      <c r="G133" s="110">
        <f>ROUND(H132*$C$3/12,2)</f>
        <v>289.45</v>
      </c>
      <c r="H133" s="110">
        <f>H132-F133</f>
        <v>82890.709999999977</v>
      </c>
    </row>
    <row r="134" spans="4:8">
      <c r="D134">
        <f>D133+1</f>
        <v>124</v>
      </c>
      <c r="E134" s="110">
        <f>-ROUND($C$6,2)</f>
        <v>1603.83</v>
      </c>
      <c r="F134" s="110">
        <f>E134-G134</f>
        <v>1318.8899999999999</v>
      </c>
      <c r="G134" s="110">
        <f>ROUND(H133*$C$3/12,2)</f>
        <v>284.94</v>
      </c>
      <c r="H134" s="110">
        <f>H133-F134</f>
        <v>81571.819999999978</v>
      </c>
    </row>
    <row r="135" spans="4:8">
      <c r="D135">
        <f>D134+1</f>
        <v>125</v>
      </c>
      <c r="E135" s="110">
        <f>-ROUND($C$6,2)</f>
        <v>1603.83</v>
      </c>
      <c r="F135" s="110">
        <f>E135-G135</f>
        <v>1323.4299999999998</v>
      </c>
      <c r="G135" s="110">
        <f>ROUND(H134*$C$3/12,2)</f>
        <v>280.39999999999998</v>
      </c>
      <c r="H135" s="110">
        <f>H134-F135</f>
        <v>80248.389999999985</v>
      </c>
    </row>
    <row r="136" spans="4:8">
      <c r="D136">
        <f>D135+1</f>
        <v>126</v>
      </c>
      <c r="E136" s="110">
        <f>-ROUND($C$6,2)</f>
        <v>1603.83</v>
      </c>
      <c r="F136" s="110">
        <f>E136-G136</f>
        <v>1327.98</v>
      </c>
      <c r="G136" s="110">
        <f>ROUND(H135*$C$3/12,2)</f>
        <v>275.85000000000002</v>
      </c>
      <c r="H136" s="110">
        <f>H135-F136</f>
        <v>78920.409999999989</v>
      </c>
    </row>
    <row r="137" spans="4:8">
      <c r="D137">
        <f>D136+1</f>
        <v>127</v>
      </c>
      <c r="E137" s="110">
        <f>-ROUND($C$6,2)</f>
        <v>1603.83</v>
      </c>
      <c r="F137" s="110">
        <f>E137-G137</f>
        <v>1332.54</v>
      </c>
      <c r="G137" s="110">
        <f>ROUND(H136*$C$3/12,2)</f>
        <v>271.29000000000002</v>
      </c>
      <c r="H137" s="110">
        <f>H136-F137</f>
        <v>77587.87</v>
      </c>
    </row>
    <row r="138" spans="4:8">
      <c r="D138">
        <f>D137+1</f>
        <v>128</v>
      </c>
      <c r="E138" s="110">
        <f>-ROUND($C$6,2)</f>
        <v>1603.83</v>
      </c>
      <c r="F138" s="110">
        <f>E138-G138</f>
        <v>1337.12</v>
      </c>
      <c r="G138" s="110">
        <f>ROUND(H137*$C$3/12,2)</f>
        <v>266.70999999999998</v>
      </c>
      <c r="H138" s="110">
        <f>H137-F138</f>
        <v>76250.75</v>
      </c>
    </row>
    <row r="139" spans="4:8">
      <c r="D139">
        <f>D138+1</f>
        <v>129</v>
      </c>
      <c r="E139" s="110">
        <f>-ROUND($C$6,2)</f>
        <v>1603.83</v>
      </c>
      <c r="F139" s="110">
        <f>E139-G139</f>
        <v>1341.7199999999998</v>
      </c>
      <c r="G139" s="110">
        <f>ROUND(H138*$C$3/12,2)</f>
        <v>262.11</v>
      </c>
      <c r="H139" s="110">
        <f>H138-F139</f>
        <v>74909.03</v>
      </c>
    </row>
    <row r="140" spans="4:8">
      <c r="D140">
        <f>D139+1</f>
        <v>130</v>
      </c>
      <c r="E140" s="110">
        <f>-ROUND($C$6,2)</f>
        <v>1603.83</v>
      </c>
      <c r="F140" s="110">
        <f>E140-G140</f>
        <v>1346.33</v>
      </c>
      <c r="G140" s="110">
        <f>ROUND(H139*$C$3/12,2)</f>
        <v>257.5</v>
      </c>
      <c r="H140" s="110">
        <f>H139-F140</f>
        <v>73562.7</v>
      </c>
    </row>
    <row r="141" spans="4:8">
      <c r="D141">
        <f>D140+1</f>
        <v>131</v>
      </c>
      <c r="E141" s="110">
        <f>-ROUND($C$6,2)</f>
        <v>1603.83</v>
      </c>
      <c r="F141" s="110">
        <f>E141-G141</f>
        <v>1350.96</v>
      </c>
      <c r="G141" s="110">
        <f>ROUND(H140*$C$3/12,2)</f>
        <v>252.87</v>
      </c>
      <c r="H141" s="110">
        <f>H140-F141</f>
        <v>72211.739999999991</v>
      </c>
    </row>
    <row r="142" spans="4:8">
      <c r="D142">
        <f>D141+1</f>
        <v>132</v>
      </c>
      <c r="E142" s="110">
        <f>-ROUND($C$6,2)</f>
        <v>1603.83</v>
      </c>
      <c r="F142" s="110">
        <f>E142-G142</f>
        <v>1355.6</v>
      </c>
      <c r="G142" s="110">
        <f>ROUND(H141*$C$3/12,2)</f>
        <v>248.23</v>
      </c>
      <c r="H142" s="110">
        <f>H141-F142</f>
        <v>70856.139999999985</v>
      </c>
    </row>
    <row r="143" spans="4:8">
      <c r="D143">
        <f>D142+1</f>
        <v>133</v>
      </c>
      <c r="E143" s="110">
        <f>-ROUND($C$6,2)</f>
        <v>1603.83</v>
      </c>
      <c r="F143" s="110">
        <f>E143-G143</f>
        <v>1360.26</v>
      </c>
      <c r="G143" s="110">
        <f>ROUND(H142*$C$3/12,2)</f>
        <v>243.57</v>
      </c>
      <c r="H143" s="110">
        <f>H142-F143</f>
        <v>69495.87999999999</v>
      </c>
    </row>
    <row r="144" spans="4:8">
      <c r="D144">
        <f>D143+1</f>
        <v>134</v>
      </c>
      <c r="E144" s="110">
        <f>-ROUND($C$6,2)</f>
        <v>1603.83</v>
      </c>
      <c r="F144" s="110">
        <f>E144-G144</f>
        <v>1364.94</v>
      </c>
      <c r="G144" s="110">
        <f>ROUND(H143*$C$3/12,2)</f>
        <v>238.89</v>
      </c>
      <c r="H144" s="110">
        <f>H143-F144</f>
        <v>68130.939999999988</v>
      </c>
    </row>
    <row r="145" spans="4:8">
      <c r="D145">
        <f>D144+1</f>
        <v>135</v>
      </c>
      <c r="E145" s="110">
        <f>-ROUND($C$6,2)</f>
        <v>1603.83</v>
      </c>
      <c r="F145" s="110">
        <f>E145-G145</f>
        <v>1369.6299999999999</v>
      </c>
      <c r="G145" s="110">
        <f>ROUND(H144*$C$3/12,2)</f>
        <v>234.2</v>
      </c>
      <c r="H145" s="110">
        <f>H144-F145</f>
        <v>66761.309999999983</v>
      </c>
    </row>
    <row r="146" spans="4:8">
      <c r="D146">
        <f>D145+1</f>
        <v>136</v>
      </c>
      <c r="E146" s="110">
        <f>-ROUND($C$6,2)</f>
        <v>1603.83</v>
      </c>
      <c r="F146" s="110">
        <f>E146-G146</f>
        <v>1374.34</v>
      </c>
      <c r="G146" s="110">
        <f>ROUND(H145*$C$3/12,2)</f>
        <v>229.49</v>
      </c>
      <c r="H146" s="110">
        <f>H145-F146</f>
        <v>65386.969999999987</v>
      </c>
    </row>
    <row r="147" spans="4:8">
      <c r="D147">
        <f>D146+1</f>
        <v>137</v>
      </c>
      <c r="E147" s="110">
        <f>-ROUND($C$6,2)</f>
        <v>1603.83</v>
      </c>
      <c r="F147" s="110">
        <f>E147-G147</f>
        <v>1379.06</v>
      </c>
      <c r="G147" s="110">
        <f>ROUND(H146*$C$3/12,2)</f>
        <v>224.77</v>
      </c>
      <c r="H147" s="110">
        <f>H146-F147</f>
        <v>64007.909999999989</v>
      </c>
    </row>
    <row r="148" spans="4:8">
      <c r="D148">
        <f>D147+1</f>
        <v>138</v>
      </c>
      <c r="E148" s="110">
        <f>-ROUND($C$6,2)</f>
        <v>1603.83</v>
      </c>
      <c r="F148" s="110">
        <f>E148-G148</f>
        <v>1383.8</v>
      </c>
      <c r="G148" s="110">
        <f>ROUND(H147*$C$3/12,2)</f>
        <v>220.03</v>
      </c>
      <c r="H148" s="110">
        <f>H147-F148</f>
        <v>62624.109999999986</v>
      </c>
    </row>
    <row r="149" spans="4:8">
      <c r="D149">
        <f>D148+1</f>
        <v>139</v>
      </c>
      <c r="E149" s="110">
        <f>-ROUND($C$6,2)</f>
        <v>1603.83</v>
      </c>
      <c r="F149" s="110">
        <f>E149-G149</f>
        <v>1388.56</v>
      </c>
      <c r="G149" s="110">
        <f>ROUND(H148*$C$3/12,2)</f>
        <v>215.27</v>
      </c>
      <c r="H149" s="110">
        <f>H148-F149</f>
        <v>61235.549999999988</v>
      </c>
    </row>
    <row r="150" spans="4:8">
      <c r="D150">
        <f>D149+1</f>
        <v>140</v>
      </c>
      <c r="E150" s="110">
        <f>-ROUND($C$6,2)</f>
        <v>1603.83</v>
      </c>
      <c r="F150" s="110">
        <f>E150-G150</f>
        <v>1393.33</v>
      </c>
      <c r="G150" s="110">
        <f>ROUND(H149*$C$3/12,2)</f>
        <v>210.5</v>
      </c>
      <c r="H150" s="110">
        <f>H149-F150</f>
        <v>59842.219999999987</v>
      </c>
    </row>
    <row r="151" spans="4:8">
      <c r="D151">
        <f>D150+1</f>
        <v>141</v>
      </c>
      <c r="E151" s="110">
        <f>-ROUND($C$6,2)</f>
        <v>1603.83</v>
      </c>
      <c r="F151" s="110">
        <f>E151-G151</f>
        <v>1398.12</v>
      </c>
      <c r="G151" s="110">
        <f>ROUND(H150*$C$3/12,2)</f>
        <v>205.71</v>
      </c>
      <c r="H151" s="110">
        <f>H150-F151</f>
        <v>58444.099999999984</v>
      </c>
    </row>
    <row r="152" spans="4:8">
      <c r="D152">
        <f>D151+1</f>
        <v>142</v>
      </c>
      <c r="E152" s="110">
        <f>-ROUND($C$6,2)</f>
        <v>1603.83</v>
      </c>
      <c r="F152" s="110">
        <f>E152-G152</f>
        <v>1402.9299999999998</v>
      </c>
      <c r="G152" s="110">
        <f>ROUND(H151*$C$3/12,2)</f>
        <v>200.9</v>
      </c>
      <c r="H152" s="110">
        <f>H151-F152</f>
        <v>57041.169999999984</v>
      </c>
    </row>
    <row r="153" spans="4:8">
      <c r="D153">
        <f>D152+1</f>
        <v>143</v>
      </c>
      <c r="E153" s="110">
        <f>-ROUND($C$6,2)</f>
        <v>1603.83</v>
      </c>
      <c r="F153" s="110">
        <f>E153-G153</f>
        <v>1407.75</v>
      </c>
      <c r="G153" s="110">
        <f>ROUND(H152*$C$3/12,2)</f>
        <v>196.08</v>
      </c>
      <c r="H153" s="110">
        <f>H152-F153</f>
        <v>55633.419999999984</v>
      </c>
    </row>
    <row r="154" spans="4:8">
      <c r="D154">
        <f>D153+1</f>
        <v>144</v>
      </c>
      <c r="E154" s="110">
        <f>-ROUND($C$6,2)</f>
        <v>1603.83</v>
      </c>
      <c r="F154" s="110">
        <f>E154-G154</f>
        <v>1412.59</v>
      </c>
      <c r="G154" s="110">
        <f>ROUND(H153*$C$3/12,2)</f>
        <v>191.24</v>
      </c>
      <c r="H154" s="110">
        <f>H153-F154</f>
        <v>54220.829999999987</v>
      </c>
    </row>
    <row r="155" spans="4:8">
      <c r="D155">
        <f>D154+1</f>
        <v>145</v>
      </c>
      <c r="E155" s="110">
        <f>-ROUND($C$6,2)</f>
        <v>1603.83</v>
      </c>
      <c r="F155" s="110">
        <f>E155-G155</f>
        <v>1417.4499999999998</v>
      </c>
      <c r="G155" s="110">
        <f>ROUND(H154*$C$3/12,2)</f>
        <v>186.38</v>
      </c>
      <c r="H155" s="110">
        <f>H154-F155</f>
        <v>52803.37999999999</v>
      </c>
    </row>
    <row r="156" spans="4:8">
      <c r="D156">
        <f>D155+1</f>
        <v>146</v>
      </c>
      <c r="E156" s="110">
        <f>-ROUND($C$6,2)</f>
        <v>1603.83</v>
      </c>
      <c r="F156" s="110">
        <f>E156-G156</f>
        <v>1422.32</v>
      </c>
      <c r="G156" s="110">
        <f>ROUND(H155*$C$3/12,2)</f>
        <v>181.51</v>
      </c>
      <c r="H156" s="110">
        <f>H155-F156</f>
        <v>51381.05999999999</v>
      </c>
    </row>
    <row r="157" spans="4:8">
      <c r="D157">
        <f>D156+1</f>
        <v>147</v>
      </c>
      <c r="E157" s="110">
        <f>-ROUND($C$6,2)</f>
        <v>1603.83</v>
      </c>
      <c r="F157" s="110">
        <f>E157-G157</f>
        <v>1427.21</v>
      </c>
      <c r="G157" s="110">
        <f>ROUND(H156*$C$3/12,2)</f>
        <v>176.62</v>
      </c>
      <c r="H157" s="110">
        <f>H156-F157</f>
        <v>49953.849999999991</v>
      </c>
    </row>
    <row r="158" spans="4:8">
      <c r="D158">
        <f>D157+1</f>
        <v>148</v>
      </c>
      <c r="E158" s="110">
        <f>-ROUND($C$6,2)</f>
        <v>1603.83</v>
      </c>
      <c r="F158" s="110">
        <f>E158-G158</f>
        <v>1432.11</v>
      </c>
      <c r="G158" s="110">
        <f>ROUND(H157*$C$3/12,2)</f>
        <v>171.72</v>
      </c>
      <c r="H158" s="110">
        <f>H157-F158</f>
        <v>48521.739999999991</v>
      </c>
    </row>
    <row r="159" spans="4:8">
      <c r="D159">
        <f>D158+1</f>
        <v>149</v>
      </c>
      <c r="E159" s="110">
        <f>-ROUND($C$6,2)</f>
        <v>1603.83</v>
      </c>
      <c r="F159" s="110">
        <f>E159-G159</f>
        <v>1437.04</v>
      </c>
      <c r="G159" s="110">
        <f>ROUND(H158*$C$3/12,2)</f>
        <v>166.79</v>
      </c>
      <c r="H159" s="110">
        <f>H158-F159</f>
        <v>47084.69999999999</v>
      </c>
    </row>
    <row r="160" spans="4:8">
      <c r="D160">
        <f>D159+1</f>
        <v>150</v>
      </c>
      <c r="E160" s="110">
        <f>-ROUND($C$6,2)</f>
        <v>1603.83</v>
      </c>
      <c r="F160" s="110">
        <f>E160-G160</f>
        <v>1441.98</v>
      </c>
      <c r="G160" s="110">
        <f>ROUND(H159*$C$3/12,2)</f>
        <v>161.85</v>
      </c>
      <c r="H160" s="110">
        <f>H159-F160</f>
        <v>45642.719999999987</v>
      </c>
    </row>
    <row r="161" spans="4:8">
      <c r="D161">
        <f>D160+1</f>
        <v>151</v>
      </c>
      <c r="E161" s="110">
        <f>-ROUND($C$6,2)</f>
        <v>1603.83</v>
      </c>
      <c r="F161" s="110">
        <f>E161-G161</f>
        <v>1446.9299999999998</v>
      </c>
      <c r="G161" s="110">
        <f>ROUND(H160*$C$3/12,2)</f>
        <v>156.9</v>
      </c>
      <c r="H161" s="110">
        <f>H160-F161</f>
        <v>44195.789999999986</v>
      </c>
    </row>
    <row r="162" spans="4:8">
      <c r="D162">
        <f>D161+1</f>
        <v>152</v>
      </c>
      <c r="E162" s="110">
        <f>-ROUND($C$6,2)</f>
        <v>1603.83</v>
      </c>
      <c r="F162" s="110">
        <f>E162-G162</f>
        <v>1451.9099999999999</v>
      </c>
      <c r="G162" s="110">
        <f>ROUND(H161*$C$3/12,2)</f>
        <v>151.91999999999999</v>
      </c>
      <c r="H162" s="110">
        <f>H161-F162</f>
        <v>42743.87999999999</v>
      </c>
    </row>
    <row r="163" spans="4:8">
      <c r="D163">
        <f>D162+1</f>
        <v>153</v>
      </c>
      <c r="E163" s="110">
        <f>-ROUND($C$6,2)</f>
        <v>1603.83</v>
      </c>
      <c r="F163" s="110">
        <f>E163-G163</f>
        <v>1456.8999999999999</v>
      </c>
      <c r="G163" s="110">
        <f>ROUND(H162*$C$3/12,2)</f>
        <v>146.93</v>
      </c>
      <c r="H163" s="110">
        <f>H162-F163</f>
        <v>41286.979999999989</v>
      </c>
    </row>
    <row r="164" spans="4:8">
      <c r="D164">
        <f>D163+1</f>
        <v>154</v>
      </c>
      <c r="E164" s="110">
        <f>-ROUND($C$6,2)</f>
        <v>1603.83</v>
      </c>
      <c r="F164" s="110">
        <f>E164-G164</f>
        <v>1461.9099999999999</v>
      </c>
      <c r="G164" s="110">
        <f>ROUND(H163*$C$3/12,2)</f>
        <v>141.91999999999999</v>
      </c>
      <c r="H164" s="110">
        <f>H163-F164</f>
        <v>39825.069999999992</v>
      </c>
    </row>
    <row r="165" spans="4:8">
      <c r="D165">
        <f>D164+1</f>
        <v>155</v>
      </c>
      <c r="E165" s="110">
        <f>-ROUND($C$6,2)</f>
        <v>1603.83</v>
      </c>
      <c r="F165" s="110">
        <f>E165-G165</f>
        <v>1466.9299999999998</v>
      </c>
      <c r="G165" s="110">
        <f>ROUND(H164*$C$3/12,2)</f>
        <v>136.9</v>
      </c>
      <c r="H165" s="110">
        <f>H164-F165</f>
        <v>38358.139999999992</v>
      </c>
    </row>
    <row r="166" spans="4:8">
      <c r="D166">
        <f>D165+1</f>
        <v>156</v>
      </c>
      <c r="E166" s="110">
        <f>-ROUND($C$6,2)</f>
        <v>1603.83</v>
      </c>
      <c r="F166" s="110">
        <f>E166-G166</f>
        <v>1471.9699999999998</v>
      </c>
      <c r="G166" s="110">
        <f>ROUND(H165*$C$3/12,2)</f>
        <v>131.86000000000001</v>
      </c>
      <c r="H166" s="110">
        <f>H165-F166</f>
        <v>36886.169999999991</v>
      </c>
    </row>
    <row r="167" spans="4:8">
      <c r="D167">
        <f>D166+1</f>
        <v>157</v>
      </c>
      <c r="E167" s="110">
        <f>-ROUND($C$6,2)</f>
        <v>1603.83</v>
      </c>
      <c r="F167" s="110">
        <f>E167-G167</f>
        <v>1477.03</v>
      </c>
      <c r="G167" s="110">
        <f>ROUND(H166*$C$3/12,2)</f>
        <v>126.8</v>
      </c>
      <c r="H167" s="110">
        <f>H166-F167</f>
        <v>35409.139999999992</v>
      </c>
    </row>
    <row r="168" spans="4:8">
      <c r="D168">
        <f>D167+1</f>
        <v>158</v>
      </c>
      <c r="E168" s="110">
        <f>-ROUND($C$6,2)</f>
        <v>1603.83</v>
      </c>
      <c r="F168" s="110">
        <f>E168-G168</f>
        <v>1482.11</v>
      </c>
      <c r="G168" s="110">
        <f>ROUND(H167*$C$3/12,2)</f>
        <v>121.72</v>
      </c>
      <c r="H168" s="110">
        <f>H167-F168</f>
        <v>33927.029999999992</v>
      </c>
    </row>
    <row r="169" spans="4:8">
      <c r="D169">
        <f>D168+1</f>
        <v>159</v>
      </c>
      <c r="E169" s="110">
        <f>-ROUND($C$6,2)</f>
        <v>1603.83</v>
      </c>
      <c r="F169" s="110">
        <f>E169-G169</f>
        <v>1487.21</v>
      </c>
      <c r="G169" s="110">
        <f>ROUND(H168*$C$3/12,2)</f>
        <v>116.62</v>
      </c>
      <c r="H169" s="110">
        <f>H168-F169</f>
        <v>32439.819999999992</v>
      </c>
    </row>
    <row r="170" spans="4:8">
      <c r="D170">
        <f>D169+1</f>
        <v>160</v>
      </c>
      <c r="E170" s="110">
        <f>-ROUND($C$6,2)</f>
        <v>1603.83</v>
      </c>
      <c r="F170" s="110">
        <f>E170-G170</f>
        <v>1492.32</v>
      </c>
      <c r="G170" s="110">
        <f>ROUND(H169*$C$3/12,2)</f>
        <v>111.51</v>
      </c>
      <c r="H170" s="110">
        <f>H169-F170</f>
        <v>30947.499999999993</v>
      </c>
    </row>
    <row r="171" spans="4:8">
      <c r="D171">
        <f>D170+1</f>
        <v>161</v>
      </c>
      <c r="E171" s="110">
        <f>-ROUND($C$6,2)</f>
        <v>1603.83</v>
      </c>
      <c r="F171" s="110">
        <f>E171-G171</f>
        <v>1497.4499999999998</v>
      </c>
      <c r="G171" s="110">
        <f>ROUND(H170*$C$3/12,2)</f>
        <v>106.38</v>
      </c>
      <c r="H171" s="110">
        <f>H170-F171</f>
        <v>29450.049999999992</v>
      </c>
    </row>
    <row r="172" spans="4:8">
      <c r="D172">
        <f>D171+1</f>
        <v>162</v>
      </c>
      <c r="E172" s="110">
        <f>-ROUND($C$6,2)</f>
        <v>1603.83</v>
      </c>
      <c r="F172" s="110">
        <f>E172-G172</f>
        <v>1502.6</v>
      </c>
      <c r="G172" s="110">
        <f>ROUND(H171*$C$3/12,2)</f>
        <v>101.23</v>
      </c>
      <c r="H172" s="110">
        <f>H171-F172</f>
        <v>27947.449999999993</v>
      </c>
    </row>
    <row r="173" spans="4:8">
      <c r="D173">
        <f>D172+1</f>
        <v>163</v>
      </c>
      <c r="E173" s="110">
        <f>-ROUND($C$6,2)</f>
        <v>1603.83</v>
      </c>
      <c r="F173" s="110">
        <f>E173-G173</f>
        <v>1507.76</v>
      </c>
      <c r="G173" s="110">
        <f>ROUND(H172*$C$3/12,2)</f>
        <v>96.07</v>
      </c>
      <c r="H173" s="110">
        <f>H172-F173</f>
        <v>26439.689999999995</v>
      </c>
    </row>
    <row r="174" spans="4:8">
      <c r="D174">
        <f>D173+1</f>
        <v>164</v>
      </c>
      <c r="E174" s="110">
        <f>-ROUND($C$6,2)</f>
        <v>1603.83</v>
      </c>
      <c r="F174" s="110">
        <f>E174-G174</f>
        <v>1512.9399999999998</v>
      </c>
      <c r="G174" s="110">
        <f>ROUND(H173*$C$3/12,2)</f>
        <v>90.89</v>
      </c>
      <c r="H174" s="110">
        <f>H173-F174</f>
        <v>24926.749999999996</v>
      </c>
    </row>
    <row r="175" spans="4:8">
      <c r="D175">
        <f>D174+1</f>
        <v>165</v>
      </c>
      <c r="E175" s="110">
        <f>-ROUND($C$6,2)</f>
        <v>1603.83</v>
      </c>
      <c r="F175" s="110">
        <f>E175-G175</f>
        <v>1518.1399999999999</v>
      </c>
      <c r="G175" s="110">
        <f>ROUND(H174*$C$3/12,2)</f>
        <v>85.69</v>
      </c>
      <c r="H175" s="110">
        <f>H174-F175</f>
        <v>23408.609999999997</v>
      </c>
    </row>
    <row r="176" spans="4:8">
      <c r="D176">
        <f>D175+1</f>
        <v>166</v>
      </c>
      <c r="E176" s="110">
        <f>-ROUND($C$6,2)</f>
        <v>1603.83</v>
      </c>
      <c r="F176" s="110">
        <f>E176-G176</f>
        <v>1523.36</v>
      </c>
      <c r="G176" s="110">
        <f>ROUND(H175*$C$3/12,2)</f>
        <v>80.47</v>
      </c>
      <c r="H176" s="110">
        <f>H175-F176</f>
        <v>21885.249999999996</v>
      </c>
    </row>
    <row r="177" spans="4:8">
      <c r="D177">
        <f>D176+1</f>
        <v>167</v>
      </c>
      <c r="E177" s="110">
        <f>-ROUND($C$6,2)</f>
        <v>1603.83</v>
      </c>
      <c r="F177" s="110">
        <f>E177-G177</f>
        <v>1528.6</v>
      </c>
      <c r="G177" s="110">
        <f>ROUND(H176*$C$3/12,2)</f>
        <v>75.23</v>
      </c>
      <c r="H177" s="110">
        <f>H176-F177</f>
        <v>20356.649999999998</v>
      </c>
    </row>
    <row r="178" spans="4:8">
      <c r="D178">
        <f>D177+1</f>
        <v>168</v>
      </c>
      <c r="E178" s="110">
        <f>-ROUND($C$6,2)</f>
        <v>1603.83</v>
      </c>
      <c r="F178" s="110">
        <f>E178-G178</f>
        <v>1533.85</v>
      </c>
      <c r="G178" s="110">
        <f>ROUND(H177*$C$3/12,2)</f>
        <v>69.98</v>
      </c>
      <c r="H178" s="110">
        <f>H177-F178</f>
        <v>18822.8</v>
      </c>
    </row>
    <row r="179" spans="4:8">
      <c r="D179">
        <f>D178+1</f>
        <v>169</v>
      </c>
      <c r="E179" s="110">
        <f>-ROUND($C$6,2)</f>
        <v>1603.83</v>
      </c>
      <c r="F179" s="110">
        <f>E179-G179</f>
        <v>1539.1299999999999</v>
      </c>
      <c r="G179" s="110">
        <f>ROUND(H178*$C$3/12,2)</f>
        <v>64.7</v>
      </c>
      <c r="H179" s="110">
        <f>H178-F179</f>
        <v>17283.669999999998</v>
      </c>
    </row>
    <row r="180" spans="4:8">
      <c r="D180">
        <f>D179+1</f>
        <v>170</v>
      </c>
      <c r="E180" s="110">
        <f>-ROUND($C$6,2)</f>
        <v>1603.83</v>
      </c>
      <c r="F180" s="110">
        <f>E180-G180</f>
        <v>1544.4199999999998</v>
      </c>
      <c r="G180" s="110">
        <f>ROUND(H179*$C$3/12,2)</f>
        <v>59.41</v>
      </c>
      <c r="H180" s="110">
        <f>H179-F180</f>
        <v>15739.249999999998</v>
      </c>
    </row>
    <row r="181" spans="4:8">
      <c r="D181">
        <f>D180+1</f>
        <v>171</v>
      </c>
      <c r="E181" s="110">
        <f>-ROUND($C$6,2)</f>
        <v>1603.83</v>
      </c>
      <c r="F181" s="110">
        <f>E181-G181</f>
        <v>1549.73</v>
      </c>
      <c r="G181" s="110">
        <f>ROUND(H180*$C$3/12,2)</f>
        <v>54.1</v>
      </c>
      <c r="H181" s="110">
        <f>H180-F181</f>
        <v>14189.519999999999</v>
      </c>
    </row>
    <row r="182" spans="4:8">
      <c r="D182">
        <f>D181+1</f>
        <v>172</v>
      </c>
      <c r="E182" s="110">
        <f>-ROUND($C$6,2)</f>
        <v>1603.83</v>
      </c>
      <c r="F182" s="110">
        <f>E182-G182</f>
        <v>1555.05</v>
      </c>
      <c r="G182" s="110">
        <f>ROUND(H181*$C$3/12,2)</f>
        <v>48.78</v>
      </c>
      <c r="H182" s="110">
        <f>H181-F182</f>
        <v>12634.47</v>
      </c>
    </row>
    <row r="183" spans="4:8">
      <c r="D183">
        <f>D182+1</f>
        <v>173</v>
      </c>
      <c r="E183" s="110">
        <f>-ROUND($C$6,2)</f>
        <v>1603.83</v>
      </c>
      <c r="F183" s="110">
        <f>E183-G183</f>
        <v>1560.3999999999999</v>
      </c>
      <c r="G183" s="110">
        <f>ROUND(H182*$C$3/12,2)</f>
        <v>43.43</v>
      </c>
      <c r="H183" s="110">
        <f>H182-F183</f>
        <v>11074.07</v>
      </c>
    </row>
    <row r="184" spans="4:8">
      <c r="D184">
        <f>D183+1</f>
        <v>174</v>
      </c>
      <c r="E184" s="110">
        <f>-ROUND($C$6,2)</f>
        <v>1603.83</v>
      </c>
      <c r="F184" s="110">
        <f>E184-G184</f>
        <v>1565.76</v>
      </c>
      <c r="G184" s="110">
        <f>ROUND(H183*$C$3/12,2)</f>
        <v>38.07</v>
      </c>
      <c r="H184" s="110">
        <f>H183-F184</f>
        <v>9508.31</v>
      </c>
    </row>
    <row r="185" spans="4:8">
      <c r="D185">
        <f>D184+1</f>
        <v>175</v>
      </c>
      <c r="E185" s="110">
        <f>-ROUND($C$6,2)</f>
        <v>1603.83</v>
      </c>
      <c r="F185" s="110">
        <f>E185-G185</f>
        <v>1571.1499999999999</v>
      </c>
      <c r="G185" s="110">
        <f>ROUND(H184*$C$3/12,2)</f>
        <v>32.68</v>
      </c>
      <c r="H185" s="110">
        <f>H184-F185</f>
        <v>7937.16</v>
      </c>
    </row>
    <row r="186" spans="4:8">
      <c r="D186">
        <f>D185+1</f>
        <v>176</v>
      </c>
      <c r="E186" s="110">
        <f>-ROUND($C$6,2)</f>
        <v>1603.83</v>
      </c>
      <c r="F186" s="110">
        <f>E186-G186</f>
        <v>1576.55</v>
      </c>
      <c r="G186" s="110">
        <f>ROUND(H185*$C$3/12,2)</f>
        <v>27.28</v>
      </c>
      <c r="H186" s="110">
        <f>H185-F186</f>
        <v>6360.61</v>
      </c>
    </row>
    <row r="187" spans="4:8">
      <c r="D187">
        <f>D186+1</f>
        <v>177</v>
      </c>
      <c r="E187" s="110">
        <f>-ROUND($C$6,2)</f>
        <v>1603.83</v>
      </c>
      <c r="F187" s="110">
        <f>E187-G187</f>
        <v>1581.97</v>
      </c>
      <c r="G187" s="110">
        <f>ROUND(H186*$C$3/12,2)</f>
        <v>21.86</v>
      </c>
      <c r="H187" s="110">
        <f>H186-F187</f>
        <v>4778.6399999999994</v>
      </c>
    </row>
    <row r="188" spans="4:8">
      <c r="D188">
        <f>D187+1</f>
        <v>178</v>
      </c>
      <c r="E188" s="110">
        <f>-ROUND($C$6,2)</f>
        <v>1603.83</v>
      </c>
      <c r="F188" s="110">
        <f>E188-G188</f>
        <v>1587.3999999999999</v>
      </c>
      <c r="G188" s="110">
        <f>ROUND(H187*$C$3/12,2)</f>
        <v>16.43</v>
      </c>
      <c r="H188" s="110">
        <f>H187-F188</f>
        <v>3191.24</v>
      </c>
    </row>
    <row r="189" spans="4:8">
      <c r="D189">
        <f>D188+1</f>
        <v>179</v>
      </c>
      <c r="E189" s="110">
        <f>-ROUND($C$6,2)</f>
        <v>1603.83</v>
      </c>
      <c r="F189" s="110">
        <f>E189-G189</f>
        <v>1592.86</v>
      </c>
      <c r="G189" s="110">
        <f>ROUND(H188*$C$3/12,2)</f>
        <v>10.97</v>
      </c>
      <c r="H189" s="110">
        <f>H188-F189</f>
        <v>1598.3799999999999</v>
      </c>
    </row>
    <row r="190" spans="4:8">
      <c r="D190">
        <f>D189+1</f>
        <v>180</v>
      </c>
      <c r="E190" s="110">
        <f>-ROUND($C$6,2)</f>
        <v>1603.83</v>
      </c>
      <c r="F190" s="110">
        <f>E190-G190</f>
        <v>1598.34</v>
      </c>
      <c r="G190" s="110">
        <f>ROUND(H189*$C$3/12,2)</f>
        <v>5.49</v>
      </c>
      <c r="H190" s="110">
        <f>H189-F190</f>
        <v>3.999999999996362E-2</v>
      </c>
    </row>
    <row r="191" spans="4:8">
      <c r="D191">
        <f>D190+1</f>
        <v>181</v>
      </c>
      <c r="E191" s="110">
        <f>-ROUND($C$6,2)</f>
        <v>1603.83</v>
      </c>
      <c r="F191" s="110">
        <f>E191-G191</f>
        <v>1603.83</v>
      </c>
      <c r="G191" s="110">
        <f>ROUND(H190*$C$3/12,2)</f>
        <v>0</v>
      </c>
      <c r="H191" s="110">
        <f>H190-F191</f>
        <v>-1603.79</v>
      </c>
    </row>
    <row r="192" spans="4:8">
      <c r="D192">
        <f>D191+1</f>
        <v>182</v>
      </c>
      <c r="E192" s="110">
        <f>-ROUND($C$6,2)</f>
        <v>1603.83</v>
      </c>
      <c r="F192" s="110">
        <f>E192-G192</f>
        <v>1609.34</v>
      </c>
      <c r="G192" s="110">
        <f>ROUND(H191*$C$3/12,2)</f>
        <v>-5.51</v>
      </c>
      <c r="H192" s="110">
        <f>H191-F192</f>
        <v>-3213.13</v>
      </c>
    </row>
    <row r="193" spans="4:8">
      <c r="D193">
        <f>D192+1</f>
        <v>183</v>
      </c>
      <c r="E193" s="110">
        <f>-ROUND($C$6,2)</f>
        <v>1603.83</v>
      </c>
      <c r="F193" s="110">
        <f>E193-G193</f>
        <v>1614.8799999999999</v>
      </c>
      <c r="G193" s="110">
        <f>ROUND(H192*$C$3/12,2)</f>
        <v>-11.05</v>
      </c>
      <c r="H193" s="110">
        <f>H192-F193</f>
        <v>-4828.01</v>
      </c>
    </row>
    <row r="194" spans="4:8">
      <c r="D194">
        <f>D193+1</f>
        <v>184</v>
      </c>
      <c r="E194" s="110">
        <f>-ROUND($C$6,2)</f>
        <v>1603.83</v>
      </c>
      <c r="F194" s="110">
        <f>E194-G194</f>
        <v>1620.4299999999998</v>
      </c>
      <c r="G194" s="110">
        <f>ROUND(H193*$C$3/12,2)</f>
        <v>-16.600000000000001</v>
      </c>
      <c r="H194" s="110">
        <f>H193-F194</f>
        <v>-6448.4400000000005</v>
      </c>
    </row>
    <row r="195" spans="4:8">
      <c r="D195">
        <f>D194+1</f>
        <v>185</v>
      </c>
      <c r="E195" s="110">
        <f>-ROUND($C$6,2)</f>
        <v>1603.83</v>
      </c>
      <c r="F195" s="110">
        <f>E195-G195</f>
        <v>1626</v>
      </c>
      <c r="G195" s="110">
        <f>ROUND(H194*$C$3/12,2)</f>
        <v>-22.17</v>
      </c>
      <c r="H195" s="110">
        <f>H194-F195</f>
        <v>-8074.4400000000005</v>
      </c>
    </row>
    <row r="196" spans="4:8">
      <c r="D196">
        <f>D195+1</f>
        <v>186</v>
      </c>
      <c r="E196" s="110">
        <f>-ROUND($C$6,2)</f>
        <v>1603.83</v>
      </c>
      <c r="F196" s="110">
        <f>E196-G196</f>
        <v>1631.59</v>
      </c>
      <c r="G196" s="110">
        <f>ROUND(H195*$C$3/12,2)</f>
        <v>-27.76</v>
      </c>
      <c r="H196" s="110">
        <f>H195-F196</f>
        <v>-9706.0300000000007</v>
      </c>
    </row>
    <row r="197" spans="4:8">
      <c r="D197">
        <f>D196+1</f>
        <v>187</v>
      </c>
      <c r="E197" s="110">
        <f>-ROUND($C$6,2)</f>
        <v>1603.83</v>
      </c>
      <c r="F197" s="110">
        <f>E197-G197</f>
        <v>1637.1899999999998</v>
      </c>
      <c r="G197" s="110">
        <f>ROUND(H196*$C$3/12,2)</f>
        <v>-33.36</v>
      </c>
      <c r="H197" s="110">
        <f>H196-F197</f>
        <v>-11343.220000000001</v>
      </c>
    </row>
    <row r="198" spans="4:8">
      <c r="D198">
        <f>D197+1</f>
        <v>188</v>
      </c>
      <c r="E198" s="110">
        <f>-ROUND($C$6,2)</f>
        <v>1603.83</v>
      </c>
      <c r="F198" s="110">
        <f>E198-G198</f>
        <v>1642.82</v>
      </c>
      <c r="G198" s="110">
        <f>ROUND(H197*$C$3/12,2)</f>
        <v>-38.99</v>
      </c>
      <c r="H198" s="110">
        <f>H197-F198</f>
        <v>-12986.04</v>
      </c>
    </row>
    <row r="199" spans="4:8">
      <c r="D199">
        <f>D198+1</f>
        <v>189</v>
      </c>
      <c r="E199" s="110">
        <f>-ROUND($C$6,2)</f>
        <v>1603.83</v>
      </c>
      <c r="F199" s="110">
        <f>E199-G199</f>
        <v>1648.47</v>
      </c>
      <c r="G199" s="110">
        <f>ROUND(H198*$C$3/12,2)</f>
        <v>-44.64</v>
      </c>
      <c r="H199" s="110">
        <f>H198-F199</f>
        <v>-14634.51</v>
      </c>
    </row>
    <row r="200" spans="4:8">
      <c r="D200">
        <f>D199+1</f>
        <v>190</v>
      </c>
      <c r="E200" s="110">
        <f>-ROUND($C$6,2)</f>
        <v>1603.83</v>
      </c>
      <c r="F200" s="110">
        <f>E200-G200</f>
        <v>1654.1399999999999</v>
      </c>
      <c r="G200" s="110">
        <f>ROUND(H199*$C$3/12,2)</f>
        <v>-50.31</v>
      </c>
      <c r="H200" s="110">
        <f>H199-F200</f>
        <v>-16288.65</v>
      </c>
    </row>
    <row r="201" spans="4:8">
      <c r="D201">
        <f>D200+1</f>
        <v>191</v>
      </c>
      <c r="E201" s="110">
        <f>-ROUND($C$6,2)</f>
        <v>1603.83</v>
      </c>
      <c r="F201" s="110">
        <f>E201-G201</f>
        <v>1659.82</v>
      </c>
      <c r="G201" s="110">
        <f>ROUND(H200*$C$3/12,2)</f>
        <v>-55.99</v>
      </c>
      <c r="H201" s="110">
        <f>H200-F201</f>
        <v>-17948.47</v>
      </c>
    </row>
    <row r="202" spans="4:8">
      <c r="D202">
        <f>D201+1</f>
        <v>192</v>
      </c>
      <c r="E202" s="110">
        <f>-ROUND($C$6,2)</f>
        <v>1603.83</v>
      </c>
      <c r="F202" s="110">
        <f>E202-G202</f>
        <v>1665.53</v>
      </c>
      <c r="G202" s="110">
        <f>ROUND(H201*$C$3/12,2)</f>
        <v>-61.7</v>
      </c>
      <c r="H202" s="110">
        <f>H201-F202</f>
        <v>-19614</v>
      </c>
    </row>
    <row r="203" spans="4:8">
      <c r="D203">
        <f>D202+1</f>
        <v>193</v>
      </c>
      <c r="E203" s="110">
        <f>-ROUND($C$6,2)</f>
        <v>1603.83</v>
      </c>
      <c r="F203" s="110">
        <f>E203-G203</f>
        <v>1671.25</v>
      </c>
      <c r="G203" s="110">
        <f>ROUND(H202*$C$3/12,2)</f>
        <v>-67.42</v>
      </c>
      <c r="H203" s="110">
        <f>H202-F203</f>
        <v>-21285.25</v>
      </c>
    </row>
    <row r="204" spans="4:8">
      <c r="D204">
        <f>D203+1</f>
        <v>194</v>
      </c>
      <c r="E204" s="110">
        <f>-ROUND($C$6,2)</f>
        <v>1603.83</v>
      </c>
      <c r="F204" s="110">
        <f>E204-G204</f>
        <v>1677</v>
      </c>
      <c r="G204" s="110">
        <f>ROUND(H203*$C$3/12,2)</f>
        <v>-73.17</v>
      </c>
      <c r="H204" s="110">
        <f>H203-F204</f>
        <v>-22962.25</v>
      </c>
    </row>
    <row r="205" spans="4:8">
      <c r="D205">
        <f>D204+1</f>
        <v>195</v>
      </c>
      <c r="E205" s="110">
        <f>-ROUND($C$6,2)</f>
        <v>1603.83</v>
      </c>
      <c r="F205" s="110">
        <f>E205-G205</f>
        <v>1682.76</v>
      </c>
      <c r="G205" s="110">
        <f>ROUND(H204*$C$3/12,2)</f>
        <v>-78.930000000000007</v>
      </c>
      <c r="H205" s="110">
        <f>H204-F205</f>
        <v>-24645.01</v>
      </c>
    </row>
    <row r="206" spans="4:8">
      <c r="D206">
        <f>D205+1</f>
        <v>196</v>
      </c>
      <c r="E206" s="110">
        <f>-ROUND($C$6,2)</f>
        <v>1603.83</v>
      </c>
      <c r="F206" s="110">
        <f>E206-G206</f>
        <v>1688.55</v>
      </c>
      <c r="G206" s="110">
        <f>ROUND(H205*$C$3/12,2)</f>
        <v>-84.72</v>
      </c>
      <c r="H206" s="110">
        <f>H205-F206</f>
        <v>-26333.559999999998</v>
      </c>
    </row>
    <row r="207" spans="4:8">
      <c r="D207">
        <f>D206+1</f>
        <v>197</v>
      </c>
      <c r="E207" s="110">
        <f>-ROUND($C$6,2)</f>
        <v>1603.83</v>
      </c>
      <c r="F207" s="110">
        <f>E207-G207</f>
        <v>1694.35</v>
      </c>
      <c r="G207" s="110">
        <f>ROUND(H206*$C$3/12,2)</f>
        <v>-90.52</v>
      </c>
      <c r="H207" s="110">
        <f>H206-F207</f>
        <v>-28027.909999999996</v>
      </c>
    </row>
    <row r="208" spans="4:8">
      <c r="D208">
        <f>D207+1</f>
        <v>198</v>
      </c>
      <c r="E208" s="110">
        <f>-ROUND($C$6,2)</f>
        <v>1603.83</v>
      </c>
      <c r="F208" s="110">
        <f>E208-G208</f>
        <v>1700.1799999999998</v>
      </c>
      <c r="G208" s="110">
        <f>ROUND(H207*$C$3/12,2)</f>
        <v>-96.35</v>
      </c>
      <c r="H208" s="110">
        <f>H207-F208</f>
        <v>-29728.089999999997</v>
      </c>
    </row>
    <row r="209" spans="4:8">
      <c r="D209">
        <f>D208+1</f>
        <v>199</v>
      </c>
      <c r="E209" s="110">
        <f>-ROUND($C$6,2)</f>
        <v>1603.83</v>
      </c>
      <c r="F209" s="110">
        <f>E209-G209</f>
        <v>1706.02</v>
      </c>
      <c r="G209" s="110">
        <f>ROUND(H208*$C$3/12,2)</f>
        <v>-102.19</v>
      </c>
      <c r="H209" s="110">
        <f>H208-F209</f>
        <v>-31434.109999999997</v>
      </c>
    </row>
    <row r="210" spans="4:8">
      <c r="D210">
        <f>D209+1</f>
        <v>200</v>
      </c>
      <c r="E210" s="110">
        <f>-ROUND($C$6,2)</f>
        <v>1603.83</v>
      </c>
      <c r="F210" s="110">
        <f>E210-G210</f>
        <v>1711.8799999999999</v>
      </c>
      <c r="G210" s="110">
        <f>ROUND(H209*$C$3/12,2)</f>
        <v>-108.05</v>
      </c>
      <c r="H210" s="110">
        <f>H209-F210</f>
        <v>-33145.99</v>
      </c>
    </row>
    <row r="211" spans="4:8">
      <c r="D211">
        <f>D210+1</f>
        <v>201</v>
      </c>
      <c r="E211" s="110">
        <f>-ROUND($C$6,2)</f>
        <v>1603.83</v>
      </c>
      <c r="F211" s="110">
        <f>E211-G211</f>
        <v>1717.77</v>
      </c>
      <c r="G211" s="110">
        <f>ROUND(H210*$C$3/12,2)</f>
        <v>-113.94</v>
      </c>
      <c r="H211" s="110">
        <f>H210-F211</f>
        <v>-34863.759999999995</v>
      </c>
    </row>
    <row r="212" spans="4:8">
      <c r="D212">
        <f>D211+1</f>
        <v>202</v>
      </c>
      <c r="E212" s="110">
        <f>-ROUND($C$6,2)</f>
        <v>1603.83</v>
      </c>
      <c r="F212" s="110">
        <f>E212-G212</f>
        <v>1723.6699999999998</v>
      </c>
      <c r="G212" s="110">
        <f>ROUND(H211*$C$3/12,2)</f>
        <v>-119.84</v>
      </c>
      <c r="H212" s="110">
        <f>H211-F212</f>
        <v>-36587.429999999993</v>
      </c>
    </row>
    <row r="213" spans="4:8">
      <c r="D213">
        <f>D212+1</f>
        <v>203</v>
      </c>
      <c r="E213" s="110">
        <f>-ROUND($C$6,2)</f>
        <v>1603.83</v>
      </c>
      <c r="F213" s="110">
        <f>E213-G213</f>
        <v>1729.6</v>
      </c>
      <c r="G213" s="110">
        <f>ROUND(H212*$C$3/12,2)</f>
        <v>-125.77</v>
      </c>
      <c r="H213" s="110">
        <f>H212-F213</f>
        <v>-38317.029999999992</v>
      </c>
    </row>
    <row r="214" spans="4:8">
      <c r="D214">
        <f>D213+1</f>
        <v>204</v>
      </c>
      <c r="E214" s="110">
        <f>-ROUND($C$6,2)</f>
        <v>1603.83</v>
      </c>
      <c r="F214" s="110">
        <f>E214-G214</f>
        <v>1735.54</v>
      </c>
      <c r="G214" s="110">
        <f>ROUND(H213*$C$3/12,2)</f>
        <v>-131.71</v>
      </c>
      <c r="H214" s="110">
        <f>H213-F214</f>
        <v>-40052.569999999992</v>
      </c>
    </row>
    <row r="215" spans="4:8">
      <c r="D215">
        <f>D214+1</f>
        <v>205</v>
      </c>
      <c r="E215" s="110">
        <f>-ROUND($C$6,2)</f>
        <v>1603.83</v>
      </c>
      <c r="F215" s="110">
        <f>E215-G215</f>
        <v>1741.51</v>
      </c>
      <c r="G215" s="110">
        <f>ROUND(H214*$C$3/12,2)</f>
        <v>-137.68</v>
      </c>
      <c r="H215" s="110">
        <f>H214-F215</f>
        <v>-41794.079999999994</v>
      </c>
    </row>
    <row r="216" spans="4:8">
      <c r="D216">
        <f>D215+1</f>
        <v>206</v>
      </c>
      <c r="E216" s="110">
        <f>-ROUND($C$6,2)</f>
        <v>1603.83</v>
      </c>
      <c r="F216" s="110">
        <f>E216-G216</f>
        <v>1747.5</v>
      </c>
      <c r="G216" s="110">
        <f>ROUND(H215*$C$3/12,2)</f>
        <v>-143.66999999999999</v>
      </c>
      <c r="H216" s="110">
        <f>H215-F216</f>
        <v>-43541.579999999994</v>
      </c>
    </row>
    <row r="217" spans="4:8">
      <c r="D217">
        <f>D216+1</f>
        <v>207</v>
      </c>
      <c r="E217" s="110">
        <f>-ROUND($C$6,2)</f>
        <v>1603.83</v>
      </c>
      <c r="F217" s="110">
        <f>E217-G217</f>
        <v>1753.5</v>
      </c>
      <c r="G217" s="110">
        <f>ROUND(H216*$C$3/12,2)</f>
        <v>-149.66999999999999</v>
      </c>
      <c r="H217" s="110">
        <f>H216-F217</f>
        <v>-45295.079999999994</v>
      </c>
    </row>
    <row r="218" spans="4:8">
      <c r="D218">
        <f>D217+1</f>
        <v>208</v>
      </c>
      <c r="E218" s="110">
        <f>-ROUND($C$6,2)</f>
        <v>1603.83</v>
      </c>
      <c r="F218" s="110">
        <f>E218-G218</f>
        <v>1759.53</v>
      </c>
      <c r="G218" s="110">
        <f>ROUND(H217*$C$3/12,2)</f>
        <v>-155.69999999999999</v>
      </c>
      <c r="H218" s="110">
        <f>H217-F218</f>
        <v>-47054.609999999993</v>
      </c>
    </row>
    <row r="219" spans="4:8">
      <c r="D219">
        <f>D218+1</f>
        <v>209</v>
      </c>
      <c r="E219" s="110">
        <f>-ROUND($C$6,2)</f>
        <v>1603.83</v>
      </c>
      <c r="F219" s="110">
        <f>E219-G219</f>
        <v>1765.58</v>
      </c>
      <c r="G219" s="110">
        <f>ROUND(H218*$C$3/12,2)</f>
        <v>-161.75</v>
      </c>
      <c r="H219" s="110">
        <f>H218-F219</f>
        <v>-48820.189999999995</v>
      </c>
    </row>
    <row r="220" spans="4:8">
      <c r="D220">
        <f>D219+1</f>
        <v>210</v>
      </c>
      <c r="E220" s="110">
        <f>-ROUND($C$6,2)</f>
        <v>1603.83</v>
      </c>
      <c r="F220" s="110">
        <f>E220-G220</f>
        <v>1771.6499999999999</v>
      </c>
      <c r="G220" s="110">
        <f>ROUND(H219*$C$3/12,2)</f>
        <v>-167.82</v>
      </c>
      <c r="H220" s="110">
        <f>H219-F220</f>
        <v>-50591.839999999997</v>
      </c>
    </row>
    <row r="221" spans="4:8">
      <c r="D221">
        <f>D220+1</f>
        <v>211</v>
      </c>
      <c r="E221" s="110">
        <f>-ROUND($C$6,2)</f>
        <v>1603.83</v>
      </c>
      <c r="F221" s="110">
        <f>E221-G221</f>
        <v>1777.74</v>
      </c>
      <c r="G221" s="110">
        <f>ROUND(H220*$C$3/12,2)</f>
        <v>-173.91</v>
      </c>
      <c r="H221" s="110">
        <f>H220-F221</f>
        <v>-52369.579999999994</v>
      </c>
    </row>
    <row r="222" spans="4:8">
      <c r="D222">
        <f>D221+1</f>
        <v>212</v>
      </c>
      <c r="E222" s="110">
        <f>-ROUND($C$6,2)</f>
        <v>1603.83</v>
      </c>
      <c r="F222" s="110">
        <f>E222-G222</f>
        <v>1783.85</v>
      </c>
      <c r="G222" s="110">
        <f>ROUND(H221*$C$3/12,2)</f>
        <v>-180.02</v>
      </c>
      <c r="H222" s="110">
        <f>H221-F222</f>
        <v>-54153.429999999993</v>
      </c>
    </row>
    <row r="223" spans="4:8">
      <c r="D223">
        <f>D222+1</f>
        <v>213</v>
      </c>
      <c r="E223" s="110">
        <f>-ROUND($C$6,2)</f>
        <v>1603.83</v>
      </c>
      <c r="F223" s="110">
        <f>E223-G223</f>
        <v>1789.98</v>
      </c>
      <c r="G223" s="110">
        <f>ROUND(H222*$C$3/12,2)</f>
        <v>-186.15</v>
      </c>
      <c r="H223" s="110">
        <f>H222-F223</f>
        <v>-55943.409999999996</v>
      </c>
    </row>
    <row r="224" spans="4:8">
      <c r="D224">
        <f>D223+1</f>
        <v>214</v>
      </c>
      <c r="E224" s="110">
        <f>-ROUND($C$6,2)</f>
        <v>1603.83</v>
      </c>
      <c r="F224" s="110">
        <f>E224-G224</f>
        <v>1796.1399999999999</v>
      </c>
      <c r="G224" s="110">
        <f>ROUND(H223*$C$3/12,2)</f>
        <v>-192.31</v>
      </c>
      <c r="H224" s="110">
        <f>H223-F224</f>
        <v>-57739.549999999996</v>
      </c>
    </row>
    <row r="225" spans="4:8">
      <c r="D225">
        <f>D224+1</f>
        <v>215</v>
      </c>
      <c r="E225" s="110">
        <f>-ROUND($C$6,2)</f>
        <v>1603.83</v>
      </c>
      <c r="F225" s="110">
        <f>E225-G225</f>
        <v>1802.31</v>
      </c>
      <c r="G225" s="110">
        <f>ROUND(H224*$C$3/12,2)</f>
        <v>-198.48</v>
      </c>
      <c r="H225" s="110">
        <f>H224-F225</f>
        <v>-59541.859999999993</v>
      </c>
    </row>
    <row r="226" spans="4:8">
      <c r="D226">
        <f>D225+1</f>
        <v>216</v>
      </c>
      <c r="E226" s="110">
        <f>-ROUND($C$6,2)</f>
        <v>1603.83</v>
      </c>
      <c r="F226" s="110">
        <f>E226-G226</f>
        <v>1808.51</v>
      </c>
      <c r="G226" s="110">
        <f>ROUND(H225*$C$3/12,2)</f>
        <v>-204.68</v>
      </c>
      <c r="H226" s="110">
        <f>H225-F226</f>
        <v>-61350.369999999995</v>
      </c>
    </row>
    <row r="227" spans="4:8">
      <c r="D227">
        <f>D226+1</f>
        <v>217</v>
      </c>
      <c r="E227" s="110">
        <f>-ROUND($C$6,2)</f>
        <v>1603.83</v>
      </c>
      <c r="F227" s="110">
        <f>E227-G227</f>
        <v>1814.7199999999998</v>
      </c>
      <c r="G227" s="110">
        <f>ROUND(H226*$C$3/12,2)</f>
        <v>-210.89</v>
      </c>
      <c r="H227" s="110">
        <f>H226-F227</f>
        <v>-63165.09</v>
      </c>
    </row>
    <row r="228" spans="4:8">
      <c r="D228">
        <f>D227+1</f>
        <v>218</v>
      </c>
      <c r="E228" s="110">
        <f>-ROUND($C$6,2)</f>
        <v>1603.83</v>
      </c>
      <c r="F228" s="110">
        <f>E228-G228</f>
        <v>1820.96</v>
      </c>
      <c r="G228" s="110">
        <f>ROUND(H227*$C$3/12,2)</f>
        <v>-217.13</v>
      </c>
      <c r="H228" s="110">
        <f>H227-F228</f>
        <v>-64986.049999999996</v>
      </c>
    </row>
    <row r="229" spans="4:8">
      <c r="D229">
        <f>D228+1</f>
        <v>219</v>
      </c>
      <c r="E229" s="110">
        <f>-ROUND($C$6,2)</f>
        <v>1603.83</v>
      </c>
      <c r="F229" s="110">
        <f>E229-G229</f>
        <v>1827.2199999999998</v>
      </c>
      <c r="G229" s="110">
        <f>ROUND(H228*$C$3/12,2)</f>
        <v>-223.39</v>
      </c>
      <c r="H229" s="110">
        <f>H228-F229</f>
        <v>-66813.26999999999</v>
      </c>
    </row>
    <row r="230" spans="4:8">
      <c r="D230">
        <f>D229+1</f>
        <v>220</v>
      </c>
      <c r="E230" s="110">
        <f>-ROUND($C$6,2)</f>
        <v>1603.83</v>
      </c>
      <c r="F230" s="110">
        <f>E230-G230</f>
        <v>1833.5</v>
      </c>
      <c r="G230" s="110">
        <f>ROUND(H229*$C$3/12,2)</f>
        <v>-229.67</v>
      </c>
      <c r="H230" s="110">
        <f>H229-F230</f>
        <v>-68646.76999999999</v>
      </c>
    </row>
    <row r="231" spans="4:8">
      <c r="D231">
        <f>D230+1</f>
        <v>221</v>
      </c>
      <c r="E231" s="110">
        <f>-ROUND($C$6,2)</f>
        <v>1603.83</v>
      </c>
      <c r="F231" s="110">
        <f>E231-G231</f>
        <v>1839.8</v>
      </c>
      <c r="G231" s="110">
        <f>ROUND(H230*$C$3/12,2)</f>
        <v>-235.97</v>
      </c>
      <c r="H231" s="110">
        <f>H230-F231</f>
        <v>-70486.569999999992</v>
      </c>
    </row>
    <row r="232" spans="4:8">
      <c r="D232">
        <f>D231+1</f>
        <v>222</v>
      </c>
      <c r="E232" s="110">
        <f>-ROUND($C$6,2)</f>
        <v>1603.83</v>
      </c>
      <c r="F232" s="110">
        <f>E232-G232</f>
        <v>1846.1299999999999</v>
      </c>
      <c r="G232" s="110">
        <f>ROUND(H231*$C$3/12,2)</f>
        <v>-242.3</v>
      </c>
      <c r="H232" s="110">
        <f>H231-F232</f>
        <v>-72332.7</v>
      </c>
    </row>
    <row r="233" spans="4:8">
      <c r="D233">
        <f>D232+1</f>
        <v>223</v>
      </c>
      <c r="E233" s="110">
        <f>-ROUND($C$6,2)</f>
        <v>1603.83</v>
      </c>
      <c r="F233" s="110">
        <f>E233-G233</f>
        <v>1852.4699999999998</v>
      </c>
      <c r="G233" s="110">
        <f>ROUND(H232*$C$3/12,2)</f>
        <v>-248.64</v>
      </c>
      <c r="H233" s="110">
        <f>H232-F233</f>
        <v>-74185.17</v>
      </c>
    </row>
    <row r="234" spans="4:8">
      <c r="D234">
        <f>D233+1</f>
        <v>224</v>
      </c>
      <c r="E234" s="110">
        <f>-ROUND($C$6,2)</f>
        <v>1603.83</v>
      </c>
      <c r="F234" s="110">
        <f>E234-G234</f>
        <v>1858.84</v>
      </c>
      <c r="G234" s="110">
        <f>ROUND(H233*$C$3/12,2)</f>
        <v>-255.01</v>
      </c>
      <c r="H234" s="110">
        <f>H233-F234</f>
        <v>-76044.009999999995</v>
      </c>
    </row>
    <row r="235" spans="4:8">
      <c r="D235">
        <f>D234+1</f>
        <v>225</v>
      </c>
      <c r="E235" s="110">
        <f>-ROUND($C$6,2)</f>
        <v>1603.83</v>
      </c>
      <c r="F235" s="110">
        <f>E235-G235</f>
        <v>1865.23</v>
      </c>
      <c r="G235" s="110">
        <f>ROUND(H234*$C$3/12,2)</f>
        <v>-261.39999999999998</v>
      </c>
      <c r="H235" s="110">
        <f>H234-F235</f>
        <v>-77909.239999999991</v>
      </c>
    </row>
    <row r="236" spans="4:8">
      <c r="D236">
        <f>D235+1</f>
        <v>226</v>
      </c>
      <c r="E236" s="110">
        <f>-ROUND($C$6,2)</f>
        <v>1603.83</v>
      </c>
      <c r="F236" s="110">
        <f>E236-G236</f>
        <v>1871.6399999999999</v>
      </c>
      <c r="G236" s="110">
        <f>ROUND(H235*$C$3/12,2)</f>
        <v>-267.81</v>
      </c>
      <c r="H236" s="110">
        <f>H235-F236</f>
        <v>-79780.87999999999</v>
      </c>
    </row>
    <row r="237" spans="4:8">
      <c r="D237">
        <f>D236+1</f>
        <v>227</v>
      </c>
      <c r="E237" s="110">
        <f>-ROUND($C$6,2)</f>
        <v>1603.83</v>
      </c>
      <c r="F237" s="110">
        <f>E237-G237</f>
        <v>1878.08</v>
      </c>
      <c r="G237" s="110">
        <f>ROUND(H236*$C$3/12,2)</f>
        <v>-274.25</v>
      </c>
      <c r="H237" s="110">
        <f>H236-F237</f>
        <v>-81658.959999999992</v>
      </c>
    </row>
    <row r="238" spans="4:8">
      <c r="D238">
        <f>D237+1</f>
        <v>228</v>
      </c>
      <c r="E238" s="110">
        <f>-ROUND($C$6,2)</f>
        <v>1603.83</v>
      </c>
      <c r="F238" s="110">
        <f>E238-G238</f>
        <v>1884.53</v>
      </c>
      <c r="G238" s="110">
        <f>ROUND(H237*$C$3/12,2)</f>
        <v>-280.7</v>
      </c>
      <c r="H238" s="110">
        <f>H237-F238</f>
        <v>-83543.489999999991</v>
      </c>
    </row>
    <row r="239" spans="4:8">
      <c r="D239">
        <f>D238+1</f>
        <v>229</v>
      </c>
      <c r="E239" s="110">
        <f>-ROUND($C$6,2)</f>
        <v>1603.83</v>
      </c>
      <c r="F239" s="110">
        <f>E239-G239</f>
        <v>1891.01</v>
      </c>
      <c r="G239" s="110">
        <f>ROUND(H238*$C$3/12,2)</f>
        <v>-287.18</v>
      </c>
      <c r="H239" s="110">
        <f>H238-F239</f>
        <v>-85434.499999999985</v>
      </c>
    </row>
    <row r="240" spans="4:8">
      <c r="D240">
        <f>D239+1</f>
        <v>230</v>
      </c>
      <c r="E240" s="110">
        <f>-ROUND($C$6,2)</f>
        <v>1603.83</v>
      </c>
      <c r="F240" s="110">
        <f>E240-G240</f>
        <v>1897.51</v>
      </c>
      <c r="G240" s="110">
        <f>ROUND(H239*$C$3/12,2)</f>
        <v>-293.68</v>
      </c>
      <c r="H240" s="110">
        <f>H239-F240</f>
        <v>-87332.00999999998</v>
      </c>
    </row>
    <row r="241" spans="4:8">
      <c r="D241">
        <f>D240+1</f>
        <v>231</v>
      </c>
      <c r="E241" s="110">
        <f>-ROUND($C$6,2)</f>
        <v>1603.83</v>
      </c>
      <c r="F241" s="110">
        <f>E241-G241</f>
        <v>1904.03</v>
      </c>
      <c r="G241" s="110">
        <f>ROUND(H240*$C$3/12,2)</f>
        <v>-300.2</v>
      </c>
      <c r="H241" s="110">
        <f>H240-F241</f>
        <v>-89236.039999999979</v>
      </c>
    </row>
    <row r="242" spans="4:8">
      <c r="D242">
        <f>D241+1</f>
        <v>232</v>
      </c>
      <c r="E242" s="110">
        <f>-ROUND($C$6,2)</f>
        <v>1603.83</v>
      </c>
      <c r="F242" s="110">
        <f>E242-G242</f>
        <v>1910.58</v>
      </c>
      <c r="G242" s="110">
        <f>ROUND(H241*$C$3/12,2)</f>
        <v>-306.75</v>
      </c>
      <c r="H242" s="110">
        <f>H241-F242</f>
        <v>-91146.619999999981</v>
      </c>
    </row>
    <row r="243" spans="4:8">
      <c r="D243">
        <f>D242+1</f>
        <v>233</v>
      </c>
      <c r="E243" s="110">
        <f>-ROUND($C$6,2)</f>
        <v>1603.83</v>
      </c>
      <c r="F243" s="110">
        <f>E243-G243</f>
        <v>1917.1499999999999</v>
      </c>
      <c r="G243" s="110">
        <f>ROUND(H242*$C$3/12,2)</f>
        <v>-313.32</v>
      </c>
      <c r="H243" s="110">
        <f>H242-F243</f>
        <v>-93063.769999999975</v>
      </c>
    </row>
    <row r="244" spans="4:8">
      <c r="D244">
        <f>D243+1</f>
        <v>234</v>
      </c>
      <c r="E244" s="110">
        <f>-ROUND($C$6,2)</f>
        <v>1603.83</v>
      </c>
      <c r="F244" s="110">
        <f>E244-G244</f>
        <v>1923.74</v>
      </c>
      <c r="G244" s="110">
        <f>ROUND(H243*$C$3/12,2)</f>
        <v>-319.91000000000003</v>
      </c>
      <c r="H244" s="110">
        <f>H243-F244</f>
        <v>-94987.50999999998</v>
      </c>
    </row>
    <row r="245" spans="4:8">
      <c r="D245">
        <f>D244+1</f>
        <v>235</v>
      </c>
      <c r="E245" s="110">
        <f>-ROUND($C$6,2)</f>
        <v>1603.83</v>
      </c>
      <c r="F245" s="110">
        <f>E245-G245</f>
        <v>1930.35</v>
      </c>
      <c r="G245" s="110">
        <f>ROUND(H244*$C$3/12,2)</f>
        <v>-326.52</v>
      </c>
      <c r="H245" s="110">
        <f>H244-F245</f>
        <v>-96917.859999999986</v>
      </c>
    </row>
    <row r="246" spans="4:8">
      <c r="D246">
        <f>D245+1</f>
        <v>236</v>
      </c>
      <c r="E246" s="110">
        <f>-ROUND($C$6,2)</f>
        <v>1603.83</v>
      </c>
      <c r="F246" s="110">
        <f>E246-G246</f>
        <v>1936.99</v>
      </c>
      <c r="G246" s="110">
        <f>ROUND(H245*$C$3/12,2)</f>
        <v>-333.16</v>
      </c>
      <c r="H246" s="110">
        <f>H245-F246</f>
        <v>-98854.849999999991</v>
      </c>
    </row>
    <row r="247" spans="4:8">
      <c r="D247">
        <f>D246+1</f>
        <v>237</v>
      </c>
      <c r="E247" s="110">
        <f>-ROUND($C$6,2)</f>
        <v>1603.83</v>
      </c>
      <c r="F247" s="110">
        <f>E247-G247</f>
        <v>1943.6399999999999</v>
      </c>
      <c r="G247" s="110">
        <f>ROUND(H246*$C$3/12,2)</f>
        <v>-339.81</v>
      </c>
      <c r="H247" s="110">
        <f>H246-F247</f>
        <v>-100798.48999999999</v>
      </c>
    </row>
    <row r="248" spans="4:8">
      <c r="D248">
        <f>D247+1</f>
        <v>238</v>
      </c>
      <c r="E248" s="110">
        <f>-ROUND($C$6,2)</f>
        <v>1603.83</v>
      </c>
      <c r="F248" s="110">
        <f>E248-G248</f>
        <v>1950.32</v>
      </c>
      <c r="G248" s="110">
        <f>ROUND(H247*$C$3/12,2)</f>
        <v>-346.49</v>
      </c>
      <c r="H248" s="110">
        <f>H247-F248</f>
        <v>-102748.81</v>
      </c>
    </row>
    <row r="249" spans="4:8">
      <c r="D249">
        <f>D248+1</f>
        <v>239</v>
      </c>
      <c r="E249" s="110">
        <f>-ROUND($C$6,2)</f>
        <v>1603.83</v>
      </c>
      <c r="F249" s="110">
        <f>E249-G249</f>
        <v>1957.03</v>
      </c>
      <c r="G249" s="110">
        <f>ROUND(H248*$C$3/12,2)</f>
        <v>-353.2</v>
      </c>
      <c r="H249" s="110">
        <f>H248-F249</f>
        <v>-104705.84</v>
      </c>
    </row>
    <row r="250" spans="4:8">
      <c r="D250">
        <f>D249+1</f>
        <v>240</v>
      </c>
      <c r="E250" s="110">
        <f>-ROUND($C$6,2)</f>
        <v>1603.83</v>
      </c>
      <c r="F250" s="110">
        <f>E250-G250</f>
        <v>1963.76</v>
      </c>
      <c r="G250" s="110">
        <f>ROUND(H249*$C$3/12,2)</f>
        <v>-359.93</v>
      </c>
      <c r="H250" s="110">
        <f>H249-F250</f>
        <v>-106669.59999999999</v>
      </c>
    </row>
    <row r="251" spans="4:8">
      <c r="D251">
        <f>D250+1</f>
        <v>241</v>
      </c>
      <c r="E251" s="110">
        <f>-ROUND($C$6,2)</f>
        <v>1603.83</v>
      </c>
      <c r="F251" s="110">
        <f>E251-G251</f>
        <v>1970.51</v>
      </c>
      <c r="G251" s="110">
        <f>ROUND(H250*$C$3/12,2)</f>
        <v>-366.68</v>
      </c>
      <c r="H251" s="110">
        <f>H250-F251</f>
        <v>-108640.10999999999</v>
      </c>
    </row>
    <row r="252" spans="4:8">
      <c r="D252">
        <f>D251+1</f>
        <v>242</v>
      </c>
      <c r="E252" s="110">
        <f>-ROUND($C$6,2)</f>
        <v>1603.83</v>
      </c>
      <c r="F252" s="110">
        <f>E252-G252</f>
        <v>1977.28</v>
      </c>
      <c r="G252" s="110">
        <f>ROUND(H251*$C$3/12,2)</f>
        <v>-373.45</v>
      </c>
      <c r="H252" s="110">
        <f>H251-F252</f>
        <v>-110617.38999999998</v>
      </c>
    </row>
    <row r="253" spans="4:8">
      <c r="D253">
        <f>D252+1</f>
        <v>243</v>
      </c>
      <c r="E253" s="110">
        <f>-ROUND($C$6,2)</f>
        <v>1603.83</v>
      </c>
      <c r="F253" s="110">
        <f>E253-G253</f>
        <v>1984.08</v>
      </c>
      <c r="G253" s="110">
        <f>ROUND(H252*$C$3/12,2)</f>
        <v>-380.25</v>
      </c>
      <c r="H253" s="110">
        <f>H252-F253</f>
        <v>-112601.46999999999</v>
      </c>
    </row>
    <row r="254" spans="4:8">
      <c r="D254">
        <f>D253+1</f>
        <v>244</v>
      </c>
      <c r="E254" s="110">
        <f>-ROUND($C$6,2)</f>
        <v>1603.83</v>
      </c>
      <c r="F254" s="110">
        <f>E254-G254</f>
        <v>1990.8999999999999</v>
      </c>
      <c r="G254" s="110">
        <f>ROUND(H253*$C$3/12,2)</f>
        <v>-387.07</v>
      </c>
      <c r="H254" s="110">
        <f>H253-F254</f>
        <v>-114592.36999999998</v>
      </c>
    </row>
    <row r="255" spans="4:8">
      <c r="D255">
        <f>D254+1</f>
        <v>245</v>
      </c>
      <c r="E255" s="110">
        <f>-ROUND($C$6,2)</f>
        <v>1603.83</v>
      </c>
      <c r="F255" s="110">
        <f>E255-G255</f>
        <v>1997.74</v>
      </c>
      <c r="G255" s="110">
        <f>ROUND(H254*$C$3/12,2)</f>
        <v>-393.91</v>
      </c>
      <c r="H255" s="110">
        <f>H254-F255</f>
        <v>-116590.10999999999</v>
      </c>
    </row>
    <row r="256" spans="4:8">
      <c r="D256">
        <f>D255+1</f>
        <v>246</v>
      </c>
      <c r="E256" s="110">
        <f>-ROUND($C$6,2)</f>
        <v>1603.83</v>
      </c>
      <c r="F256" s="110">
        <f>E256-G256</f>
        <v>2004.61</v>
      </c>
      <c r="G256" s="110">
        <f>ROUND(H255*$C$3/12,2)</f>
        <v>-400.78</v>
      </c>
      <c r="H256" s="110">
        <f>H255-F256</f>
        <v>-118594.71999999999</v>
      </c>
    </row>
    <row r="257" spans="4:8">
      <c r="D257">
        <f>D256+1</f>
        <v>247</v>
      </c>
      <c r="E257" s="110">
        <f>-ROUND($C$6,2)</f>
        <v>1603.83</v>
      </c>
      <c r="F257" s="110">
        <f>E257-G257</f>
        <v>2011.5</v>
      </c>
      <c r="G257" s="110">
        <f>ROUND(H256*$C$3/12,2)</f>
        <v>-407.67</v>
      </c>
      <c r="H257" s="110">
        <f>H256-F257</f>
        <v>-120606.21999999999</v>
      </c>
    </row>
    <row r="258" spans="4:8">
      <c r="D258">
        <f>D257+1</f>
        <v>248</v>
      </c>
      <c r="E258" s="110">
        <f>-ROUND($C$6,2)</f>
        <v>1603.83</v>
      </c>
      <c r="F258" s="110">
        <f>E258-G258</f>
        <v>2018.4099999999999</v>
      </c>
      <c r="G258" s="110">
        <f>ROUND(H257*$C$3/12,2)</f>
        <v>-414.58</v>
      </c>
      <c r="H258" s="110">
        <f>H257-F258</f>
        <v>-122624.62999999999</v>
      </c>
    </row>
    <row r="259" spans="4:8">
      <c r="D259">
        <f>D258+1</f>
        <v>249</v>
      </c>
      <c r="E259" s="110">
        <f>-ROUND($C$6,2)</f>
        <v>1603.83</v>
      </c>
      <c r="F259" s="110">
        <f>E259-G259</f>
        <v>2025.35</v>
      </c>
      <c r="G259" s="110">
        <f>ROUND(H258*$C$3/12,2)</f>
        <v>-421.52</v>
      </c>
      <c r="H259" s="110">
        <f>H258-F259</f>
        <v>-124649.98</v>
      </c>
    </row>
    <row r="260" spans="4:8">
      <c r="D260">
        <f>D259+1</f>
        <v>250</v>
      </c>
      <c r="E260" s="110">
        <f>-ROUND($C$6,2)</f>
        <v>1603.83</v>
      </c>
      <c r="F260" s="110">
        <f>E260-G260</f>
        <v>2032.31</v>
      </c>
      <c r="G260" s="110">
        <f>ROUND(H259*$C$3/12,2)</f>
        <v>-428.48</v>
      </c>
      <c r="H260" s="110">
        <f>H259-F260</f>
        <v>-126682.29</v>
      </c>
    </row>
    <row r="261" spans="4:8">
      <c r="D261">
        <f>D260+1</f>
        <v>251</v>
      </c>
      <c r="E261" s="110">
        <f>-ROUND($C$6,2)</f>
        <v>1603.83</v>
      </c>
      <c r="F261" s="110">
        <f>E261-G261</f>
        <v>2039.3</v>
      </c>
      <c r="G261" s="110">
        <f>ROUND(H260*$C$3/12,2)</f>
        <v>-435.47</v>
      </c>
      <c r="H261" s="110">
        <f>H260-F261</f>
        <v>-128721.59</v>
      </c>
    </row>
    <row r="262" spans="4:8">
      <c r="D262">
        <f>D261+1</f>
        <v>252</v>
      </c>
      <c r="E262" s="110">
        <f>-ROUND($C$6,2)</f>
        <v>1603.83</v>
      </c>
      <c r="F262" s="110">
        <f>E262-G262</f>
        <v>2046.31</v>
      </c>
      <c r="G262" s="110">
        <f>ROUND(H261*$C$3/12,2)</f>
        <v>-442.48</v>
      </c>
      <c r="H262" s="110">
        <f>H261-F262</f>
        <v>-130767.9</v>
      </c>
    </row>
    <row r="263" spans="4:8">
      <c r="D263">
        <f>D262+1</f>
        <v>253</v>
      </c>
      <c r="E263" s="110">
        <f>-ROUND($C$6,2)</f>
        <v>1603.83</v>
      </c>
      <c r="F263" s="110">
        <f>E263-G263</f>
        <v>2053.34</v>
      </c>
      <c r="G263" s="110">
        <f>ROUND(H262*$C$3/12,2)</f>
        <v>-449.51</v>
      </c>
      <c r="H263" s="110">
        <f>H262-F263</f>
        <v>-132821.24</v>
      </c>
    </row>
    <row r="264" spans="4:8">
      <c r="D264">
        <f>D263+1</f>
        <v>254</v>
      </c>
      <c r="E264" s="110">
        <f>-ROUND($C$6,2)</f>
        <v>1603.83</v>
      </c>
      <c r="F264" s="110">
        <f>E264-G264</f>
        <v>2060.4</v>
      </c>
      <c r="G264" s="110">
        <f>ROUND(H263*$C$3/12,2)</f>
        <v>-456.57</v>
      </c>
      <c r="H264" s="110">
        <f>H263-F264</f>
        <v>-134881.63999999998</v>
      </c>
    </row>
    <row r="265" spans="4:8">
      <c r="D265">
        <f>D264+1</f>
        <v>255</v>
      </c>
      <c r="E265" s="110">
        <f>-ROUND($C$6,2)</f>
        <v>1603.83</v>
      </c>
      <c r="F265" s="110">
        <f>E265-G265</f>
        <v>2067.4899999999998</v>
      </c>
      <c r="G265" s="110">
        <f>ROUND(H264*$C$3/12,2)</f>
        <v>-463.66</v>
      </c>
      <c r="H265" s="110">
        <f>H264-F265</f>
        <v>-136949.12999999998</v>
      </c>
    </row>
    <row r="266" spans="4:8">
      <c r="D266">
        <f>D265+1</f>
        <v>256</v>
      </c>
      <c r="E266" s="110">
        <f>-ROUND($C$6,2)</f>
        <v>1603.83</v>
      </c>
      <c r="F266" s="110">
        <f>E266-G266</f>
        <v>2074.59</v>
      </c>
      <c r="G266" s="110">
        <f>ROUND(H265*$C$3/12,2)</f>
        <v>-470.76</v>
      </c>
      <c r="H266" s="110">
        <f>H265-F266</f>
        <v>-139023.71999999997</v>
      </c>
    </row>
    <row r="267" spans="4:8">
      <c r="D267">
        <f>D266+1</f>
        <v>257</v>
      </c>
      <c r="E267" s="110">
        <f>-ROUND($C$6,2)</f>
        <v>1603.83</v>
      </c>
      <c r="F267" s="110">
        <f>E267-G267</f>
        <v>2081.7199999999998</v>
      </c>
      <c r="G267" s="110">
        <f>ROUND(H266*$C$3/12,2)</f>
        <v>-477.89</v>
      </c>
      <c r="H267" s="110">
        <f>H266-F267</f>
        <v>-141105.43999999997</v>
      </c>
    </row>
    <row r="268" spans="4:8">
      <c r="D268">
        <f>D267+1</f>
        <v>258</v>
      </c>
      <c r="E268" s="110">
        <f>-ROUND($C$6,2)</f>
        <v>1603.83</v>
      </c>
      <c r="F268" s="110">
        <f>E268-G268</f>
        <v>2088.88</v>
      </c>
      <c r="G268" s="110">
        <f>ROUND(H267*$C$3/12,2)</f>
        <v>-485.05</v>
      </c>
      <c r="H268" s="110">
        <f>H267-F268</f>
        <v>-143194.31999999998</v>
      </c>
    </row>
    <row r="269" spans="4:8">
      <c r="D269">
        <f>D268+1</f>
        <v>259</v>
      </c>
      <c r="E269" s="110">
        <f>-ROUND($C$6,2)</f>
        <v>1603.83</v>
      </c>
      <c r="F269" s="110">
        <f>E269-G269</f>
        <v>2096.06</v>
      </c>
      <c r="G269" s="110">
        <f>ROUND(H268*$C$3/12,2)</f>
        <v>-492.23</v>
      </c>
      <c r="H269" s="110">
        <f>H268-F269</f>
        <v>-145290.37999999998</v>
      </c>
    </row>
    <row r="270" spans="4:8">
      <c r="D270">
        <f>D269+1</f>
        <v>260</v>
      </c>
      <c r="E270" s="110">
        <f>-ROUND($C$6,2)</f>
        <v>1603.83</v>
      </c>
      <c r="F270" s="110">
        <f>E270-G270</f>
        <v>2103.27</v>
      </c>
      <c r="G270" s="110">
        <f>ROUND(H269*$C$3/12,2)</f>
        <v>-499.44</v>
      </c>
      <c r="H270" s="110">
        <f>H269-F270</f>
        <v>-147393.64999999997</v>
      </c>
    </row>
    <row r="271" spans="4:8">
      <c r="D271">
        <f>D270+1</f>
        <v>261</v>
      </c>
      <c r="E271" s="110">
        <f>-ROUND($C$6,2)</f>
        <v>1603.83</v>
      </c>
      <c r="F271" s="110">
        <f>E271-G271</f>
        <v>2110.5</v>
      </c>
      <c r="G271" s="110">
        <f>ROUND(H270*$C$3/12,2)</f>
        <v>-506.67</v>
      </c>
      <c r="H271" s="110">
        <f>H270-F271</f>
        <v>-149504.14999999997</v>
      </c>
    </row>
    <row r="272" spans="4:8">
      <c r="D272">
        <f>D271+1</f>
        <v>262</v>
      </c>
      <c r="E272" s="110">
        <f>-ROUND($C$6,2)</f>
        <v>1603.83</v>
      </c>
      <c r="F272" s="110">
        <f>E272-G272</f>
        <v>2117.75</v>
      </c>
      <c r="G272" s="110">
        <f>ROUND(H271*$C$3/12,2)</f>
        <v>-513.91999999999996</v>
      </c>
      <c r="H272" s="110">
        <f>H271-F272</f>
        <v>-151621.89999999997</v>
      </c>
    </row>
    <row r="273" spans="4:8">
      <c r="D273">
        <f>D272+1</f>
        <v>263</v>
      </c>
      <c r="E273" s="110">
        <f>-ROUND($C$6,2)</f>
        <v>1603.83</v>
      </c>
      <c r="F273" s="110">
        <f>E273-G273</f>
        <v>2125.0299999999997</v>
      </c>
      <c r="G273" s="110">
        <f>ROUND(H272*$C$3/12,2)</f>
        <v>-521.20000000000005</v>
      </c>
      <c r="H273" s="110">
        <f>H272-F273</f>
        <v>-153746.92999999996</v>
      </c>
    </row>
    <row r="274" spans="4:8">
      <c r="D274">
        <f>D273+1</f>
        <v>264</v>
      </c>
      <c r="E274" s="110">
        <f>-ROUND($C$6,2)</f>
        <v>1603.83</v>
      </c>
      <c r="F274" s="110">
        <f>E274-G274</f>
        <v>2132.34</v>
      </c>
      <c r="G274" s="110">
        <f>ROUND(H273*$C$3/12,2)</f>
        <v>-528.51</v>
      </c>
      <c r="H274" s="110">
        <f>H273-F274</f>
        <v>-155879.26999999996</v>
      </c>
    </row>
    <row r="275" spans="4:8">
      <c r="D275">
        <f>D274+1</f>
        <v>265</v>
      </c>
      <c r="E275" s="110">
        <f>-ROUND($C$6,2)</f>
        <v>1603.83</v>
      </c>
      <c r="F275" s="110">
        <f>E275-G275</f>
        <v>2139.66</v>
      </c>
      <c r="G275" s="110">
        <f>ROUND(H274*$C$3/12,2)</f>
        <v>-535.83000000000004</v>
      </c>
      <c r="H275" s="110">
        <f>H274-F275</f>
        <v>-158018.92999999996</v>
      </c>
    </row>
    <row r="276" spans="4:8">
      <c r="D276">
        <f>D275+1</f>
        <v>266</v>
      </c>
      <c r="E276" s="110">
        <f>-ROUND($C$6,2)</f>
        <v>1603.83</v>
      </c>
      <c r="F276" s="110">
        <f>E276-G276</f>
        <v>2147.02</v>
      </c>
      <c r="G276" s="110">
        <f>ROUND(H275*$C$3/12,2)</f>
        <v>-543.19000000000005</v>
      </c>
      <c r="H276" s="110">
        <f>H275-F276</f>
        <v>-160165.94999999995</v>
      </c>
    </row>
    <row r="277" spans="4:8">
      <c r="D277">
        <f>D276+1</f>
        <v>267</v>
      </c>
      <c r="E277" s="110">
        <f>-ROUND($C$6,2)</f>
        <v>1603.83</v>
      </c>
      <c r="F277" s="110">
        <f>E277-G277</f>
        <v>2154.4</v>
      </c>
      <c r="G277" s="110">
        <f>ROUND(H276*$C$3/12,2)</f>
        <v>-550.57000000000005</v>
      </c>
      <c r="H277" s="110">
        <f>H276-F277</f>
        <v>-162320.34999999995</v>
      </c>
    </row>
    <row r="278" spans="4:8">
      <c r="D278">
        <f>D277+1</f>
        <v>268</v>
      </c>
      <c r="E278" s="110">
        <f>-ROUND($C$6,2)</f>
        <v>1603.83</v>
      </c>
      <c r="F278" s="110">
        <f>E278-G278</f>
        <v>2161.81</v>
      </c>
      <c r="G278" s="110">
        <f>ROUND(H277*$C$3/12,2)</f>
        <v>-557.98</v>
      </c>
      <c r="H278" s="110">
        <f>H277-F278</f>
        <v>-164482.15999999995</v>
      </c>
    </row>
    <row r="279" spans="4:8">
      <c r="D279">
        <f>D278+1</f>
        <v>269</v>
      </c>
      <c r="E279" s="110">
        <f>-ROUND($C$6,2)</f>
        <v>1603.83</v>
      </c>
      <c r="F279" s="110">
        <f>E279-G279</f>
        <v>2169.2399999999998</v>
      </c>
      <c r="G279" s="110">
        <f>ROUND(H278*$C$3/12,2)</f>
        <v>-565.41</v>
      </c>
      <c r="H279" s="110">
        <f>H278-F279</f>
        <v>-166651.39999999994</v>
      </c>
    </row>
    <row r="280" spans="4:8">
      <c r="D280">
        <f>D279+1</f>
        <v>270</v>
      </c>
      <c r="E280" s="110">
        <f>-ROUND($C$6,2)</f>
        <v>1603.83</v>
      </c>
      <c r="F280" s="110">
        <f>E280-G280</f>
        <v>2176.69</v>
      </c>
      <c r="G280" s="110">
        <f>ROUND(H279*$C$3/12,2)</f>
        <v>-572.86</v>
      </c>
      <c r="H280" s="110">
        <f>H279-F280</f>
        <v>-168828.08999999994</v>
      </c>
    </row>
    <row r="281" spans="4:8">
      <c r="D281">
        <f>D280+1</f>
        <v>271</v>
      </c>
      <c r="E281" s="110">
        <f>-ROUND($C$6,2)</f>
        <v>1603.83</v>
      </c>
      <c r="F281" s="110">
        <f>E281-G281</f>
        <v>2184.1799999999998</v>
      </c>
      <c r="G281" s="110">
        <f>ROUND(H280*$C$3/12,2)</f>
        <v>-580.35</v>
      </c>
      <c r="H281" s="110">
        <f>H280-F281</f>
        <v>-171012.26999999993</v>
      </c>
    </row>
    <row r="282" spans="4:8">
      <c r="D282">
        <f>D281+1</f>
        <v>272</v>
      </c>
      <c r="E282" s="110">
        <f>-ROUND($C$6,2)</f>
        <v>1603.83</v>
      </c>
      <c r="F282" s="110">
        <f>E282-G282</f>
        <v>2191.6799999999998</v>
      </c>
      <c r="G282" s="110">
        <f>ROUND(H281*$C$3/12,2)</f>
        <v>-587.85</v>
      </c>
      <c r="H282" s="110">
        <f>H281-F282</f>
        <v>-173203.94999999992</v>
      </c>
    </row>
    <row r="283" spans="4:8">
      <c r="D283">
        <f>D282+1</f>
        <v>273</v>
      </c>
      <c r="E283" s="110">
        <f>-ROUND($C$6,2)</f>
        <v>1603.83</v>
      </c>
      <c r="F283" s="110">
        <f>E283-G283</f>
        <v>2199.2199999999998</v>
      </c>
      <c r="G283" s="110">
        <f>ROUND(H282*$C$3/12,2)</f>
        <v>-595.39</v>
      </c>
      <c r="H283" s="110">
        <f>H282-F283</f>
        <v>-175403.16999999993</v>
      </c>
    </row>
    <row r="284" spans="4:8">
      <c r="D284">
        <f>D283+1</f>
        <v>274</v>
      </c>
      <c r="E284" s="110">
        <f>-ROUND($C$6,2)</f>
        <v>1603.83</v>
      </c>
      <c r="F284" s="110">
        <f>E284-G284</f>
        <v>2206.7799999999997</v>
      </c>
      <c r="G284" s="110">
        <f>ROUND(H283*$C$3/12,2)</f>
        <v>-602.95000000000005</v>
      </c>
      <c r="H284" s="110">
        <f>H283-F284</f>
        <v>-177609.94999999992</v>
      </c>
    </row>
    <row r="285" spans="4:8">
      <c r="D285">
        <f>D284+1</f>
        <v>275</v>
      </c>
      <c r="E285" s="110">
        <f>-ROUND($C$6,2)</f>
        <v>1603.83</v>
      </c>
      <c r="F285" s="110">
        <f>E285-G285</f>
        <v>2214.3599999999997</v>
      </c>
      <c r="G285" s="110">
        <f>ROUND(H284*$C$3/12,2)</f>
        <v>-610.53</v>
      </c>
      <c r="H285" s="110">
        <f>H284-F285</f>
        <v>-179824.30999999991</v>
      </c>
    </row>
    <row r="286" spans="4:8">
      <c r="D286">
        <f>D285+1</f>
        <v>276</v>
      </c>
      <c r="E286" s="110">
        <f>-ROUND($C$6,2)</f>
        <v>1603.83</v>
      </c>
      <c r="F286" s="110">
        <f>E286-G286</f>
        <v>2221.98</v>
      </c>
      <c r="G286" s="110">
        <f>ROUND(H285*$C$3/12,2)</f>
        <v>-618.15</v>
      </c>
      <c r="H286" s="110">
        <f>H285-F286</f>
        <v>-182046.28999999992</v>
      </c>
    </row>
    <row r="287" spans="4:8">
      <c r="D287">
        <f>D286+1</f>
        <v>277</v>
      </c>
      <c r="E287" s="110">
        <f>-ROUND($C$6,2)</f>
        <v>1603.83</v>
      </c>
      <c r="F287" s="110">
        <f>E287-G287</f>
        <v>2229.6099999999997</v>
      </c>
      <c r="G287" s="110">
        <f>ROUND(H286*$C$3/12,2)</f>
        <v>-625.78</v>
      </c>
      <c r="H287" s="110">
        <f>H286-F287</f>
        <v>-184275.89999999991</v>
      </c>
    </row>
    <row r="288" spans="4:8">
      <c r="D288">
        <f>D287+1</f>
        <v>278</v>
      </c>
      <c r="E288" s="110">
        <f>-ROUND($C$6,2)</f>
        <v>1603.83</v>
      </c>
      <c r="F288" s="110">
        <f>E288-G288</f>
        <v>2237.2799999999997</v>
      </c>
      <c r="G288" s="110">
        <f>ROUND(H287*$C$3/12,2)</f>
        <v>-633.45000000000005</v>
      </c>
      <c r="H288" s="110">
        <f>H287-F288</f>
        <v>-186513.17999999991</v>
      </c>
    </row>
    <row r="289" spans="4:8">
      <c r="D289">
        <f>D288+1</f>
        <v>279</v>
      </c>
      <c r="E289" s="110">
        <f>-ROUND($C$6,2)</f>
        <v>1603.83</v>
      </c>
      <c r="F289" s="110">
        <f>E289-G289</f>
        <v>2244.9699999999998</v>
      </c>
      <c r="G289" s="110">
        <f>ROUND(H288*$C$3/12,2)</f>
        <v>-641.14</v>
      </c>
      <c r="H289" s="110">
        <f>H288-F289</f>
        <v>-188758.14999999991</v>
      </c>
    </row>
    <row r="290" spans="4:8">
      <c r="D290">
        <f>D289+1</f>
        <v>280</v>
      </c>
      <c r="E290" s="110">
        <f>-ROUND($C$6,2)</f>
        <v>1603.83</v>
      </c>
      <c r="F290" s="110">
        <f>E290-G290</f>
        <v>2252.69</v>
      </c>
      <c r="G290" s="110">
        <f>ROUND(H289*$C$3/12,2)</f>
        <v>-648.86</v>
      </c>
      <c r="H290" s="110">
        <f>H289-F290</f>
        <v>-191010.83999999991</v>
      </c>
    </row>
    <row r="291" spans="4:8">
      <c r="D291">
        <f>D290+1</f>
        <v>281</v>
      </c>
      <c r="E291" s="110">
        <f>-ROUND($C$6,2)</f>
        <v>1603.83</v>
      </c>
      <c r="F291" s="110">
        <f>E291-G291</f>
        <v>2260.4299999999998</v>
      </c>
      <c r="G291" s="110">
        <f>ROUND(H290*$C$3/12,2)</f>
        <v>-656.6</v>
      </c>
      <c r="H291" s="110">
        <f>H290-F291</f>
        <v>-193271.2699999999</v>
      </c>
    </row>
    <row r="292" spans="4:8">
      <c r="D292">
        <f>D291+1</f>
        <v>282</v>
      </c>
      <c r="E292" s="110">
        <f>-ROUND($C$6,2)</f>
        <v>1603.83</v>
      </c>
      <c r="F292" s="110">
        <f>E292-G292</f>
        <v>2268.1999999999998</v>
      </c>
      <c r="G292" s="110">
        <f>ROUND(H291*$C$3/12,2)</f>
        <v>-664.37</v>
      </c>
      <c r="H292" s="110">
        <f>H291-F292</f>
        <v>-195539.46999999991</v>
      </c>
    </row>
    <row r="293" spans="4:8">
      <c r="D293">
        <f>D292+1</f>
        <v>283</v>
      </c>
      <c r="E293" s="110">
        <f>-ROUND($C$6,2)</f>
        <v>1603.83</v>
      </c>
      <c r="F293" s="110">
        <f>E293-G293</f>
        <v>2276</v>
      </c>
      <c r="G293" s="110">
        <f>ROUND(H292*$C$3/12,2)</f>
        <v>-672.17</v>
      </c>
      <c r="H293" s="110">
        <f>H292-F293</f>
        <v>-197815.46999999991</v>
      </c>
    </row>
    <row r="294" spans="4:8">
      <c r="D294">
        <f>D293+1</f>
        <v>284</v>
      </c>
      <c r="E294" s="110">
        <f>-ROUND($C$6,2)</f>
        <v>1603.83</v>
      </c>
      <c r="F294" s="110">
        <f>E294-G294</f>
        <v>2283.8199999999997</v>
      </c>
      <c r="G294" s="110">
        <f>ROUND(H293*$C$3/12,2)</f>
        <v>-679.99</v>
      </c>
      <c r="H294" s="110">
        <f>H293-F294</f>
        <v>-200099.28999999992</v>
      </c>
    </row>
    <row r="295" spans="4:8">
      <c r="D295">
        <f>D294+1</f>
        <v>285</v>
      </c>
      <c r="E295" s="110">
        <f>-ROUND($C$6,2)</f>
        <v>1603.83</v>
      </c>
      <c r="F295" s="110">
        <f>E295-G295</f>
        <v>2291.67</v>
      </c>
      <c r="G295" s="110">
        <f>ROUND(H294*$C$3/12,2)</f>
        <v>-687.84</v>
      </c>
      <c r="H295" s="110">
        <f>H294-F295</f>
        <v>-202390.95999999993</v>
      </c>
    </row>
    <row r="296" spans="4:8">
      <c r="D296">
        <f>D295+1</f>
        <v>286</v>
      </c>
      <c r="E296" s="110">
        <f>-ROUND($C$6,2)</f>
        <v>1603.83</v>
      </c>
      <c r="F296" s="110">
        <f>E296-G296</f>
        <v>2299.5500000000002</v>
      </c>
      <c r="G296" s="110">
        <f>ROUND(H295*$C$3/12,2)</f>
        <v>-695.72</v>
      </c>
      <c r="H296" s="110">
        <f>H295-F296</f>
        <v>-204690.50999999992</v>
      </c>
    </row>
    <row r="297" spans="4:8">
      <c r="D297">
        <f>D296+1</f>
        <v>287</v>
      </c>
      <c r="E297" s="110">
        <f>-ROUND($C$6,2)</f>
        <v>1603.83</v>
      </c>
      <c r="F297" s="110">
        <f>E297-G297</f>
        <v>2307.4499999999998</v>
      </c>
      <c r="G297" s="110">
        <f>ROUND(H296*$C$3/12,2)</f>
        <v>-703.62</v>
      </c>
      <c r="H297" s="110">
        <f>H296-F297</f>
        <v>-206997.95999999993</v>
      </c>
    </row>
    <row r="298" spans="4:8">
      <c r="D298">
        <f>D297+1</f>
        <v>288</v>
      </c>
      <c r="E298" s="110">
        <f>-ROUND($C$6,2)</f>
        <v>1603.83</v>
      </c>
      <c r="F298" s="110">
        <f>E298-G298</f>
        <v>2315.39</v>
      </c>
      <c r="G298" s="110">
        <f>ROUND(H297*$C$3/12,2)</f>
        <v>-711.56</v>
      </c>
      <c r="H298" s="110">
        <f>H297-F298</f>
        <v>-209313.34999999995</v>
      </c>
    </row>
    <row r="299" spans="4:8">
      <c r="D299">
        <f>D298+1</f>
        <v>289</v>
      </c>
      <c r="E299" s="110">
        <f>-ROUND($C$6,2)</f>
        <v>1603.83</v>
      </c>
      <c r="F299" s="110">
        <f>E299-G299</f>
        <v>2323.34</v>
      </c>
      <c r="G299" s="110">
        <f>ROUND(H298*$C$3/12,2)</f>
        <v>-719.51</v>
      </c>
      <c r="H299" s="110">
        <f>H298-F299</f>
        <v>-211636.68999999994</v>
      </c>
    </row>
    <row r="300" spans="4:8">
      <c r="D300">
        <f>D299+1</f>
        <v>290</v>
      </c>
      <c r="E300" s="110">
        <f>-ROUND($C$6,2)</f>
        <v>1603.83</v>
      </c>
      <c r="F300" s="110">
        <f>E300-G300</f>
        <v>2331.33</v>
      </c>
      <c r="G300" s="110">
        <f>ROUND(H299*$C$3/12,2)</f>
        <v>-727.5</v>
      </c>
      <c r="H300" s="110">
        <f>H299-F300</f>
        <v>-213968.01999999993</v>
      </c>
    </row>
    <row r="301" spans="4:8">
      <c r="D301">
        <f>D300+1</f>
        <v>291</v>
      </c>
      <c r="E301" s="110">
        <f>-ROUND($C$6,2)</f>
        <v>1603.83</v>
      </c>
      <c r="F301" s="110">
        <f>E301-G301</f>
        <v>2339.35</v>
      </c>
      <c r="G301" s="110">
        <f>ROUND(H300*$C$3/12,2)</f>
        <v>-735.52</v>
      </c>
      <c r="H301" s="110">
        <f>H300-F301</f>
        <v>-216307.36999999994</v>
      </c>
    </row>
    <row r="302" spans="4:8">
      <c r="D302">
        <f>D301+1</f>
        <v>292</v>
      </c>
      <c r="E302" s="110">
        <f>-ROUND($C$6,2)</f>
        <v>1603.83</v>
      </c>
      <c r="F302" s="110">
        <f>E302-G302</f>
        <v>2347.39</v>
      </c>
      <c r="G302" s="110">
        <f>ROUND(H301*$C$3/12,2)</f>
        <v>-743.56</v>
      </c>
      <c r="H302" s="110">
        <f>H301-F302</f>
        <v>-218654.75999999995</v>
      </c>
    </row>
    <row r="303" spans="4:8">
      <c r="D303">
        <f>D302+1</f>
        <v>293</v>
      </c>
      <c r="E303" s="110">
        <f>-ROUND($C$6,2)</f>
        <v>1603.83</v>
      </c>
      <c r="F303" s="110">
        <f>E303-G303</f>
        <v>2355.46</v>
      </c>
      <c r="G303" s="110">
        <f>ROUND(H302*$C$3/12,2)</f>
        <v>-751.63</v>
      </c>
      <c r="H303" s="110">
        <f>H302-F303</f>
        <v>-221010.21999999994</v>
      </c>
    </row>
    <row r="304" spans="4:8">
      <c r="D304">
        <f>D303+1</f>
        <v>294</v>
      </c>
      <c r="E304" s="110">
        <f>-ROUND($C$6,2)</f>
        <v>1603.83</v>
      </c>
      <c r="F304" s="110">
        <f>E304-G304</f>
        <v>2363.5500000000002</v>
      </c>
      <c r="G304" s="110">
        <f>ROUND(H303*$C$3/12,2)</f>
        <v>-759.72</v>
      </c>
      <c r="H304" s="110">
        <f>H303-F304</f>
        <v>-223373.76999999993</v>
      </c>
    </row>
    <row r="305" spans="4:8">
      <c r="D305">
        <f>D304+1</f>
        <v>295</v>
      </c>
      <c r="E305" s="110">
        <f>-ROUND($C$6,2)</f>
        <v>1603.83</v>
      </c>
      <c r="F305" s="110">
        <f>E305-G305</f>
        <v>2371.6799999999998</v>
      </c>
      <c r="G305" s="110">
        <f>ROUND(H304*$C$3/12,2)</f>
        <v>-767.85</v>
      </c>
      <c r="H305" s="110">
        <f>H304-F305</f>
        <v>-225745.44999999992</v>
      </c>
    </row>
    <row r="306" spans="4:8">
      <c r="D306">
        <f>D305+1</f>
        <v>296</v>
      </c>
      <c r="E306" s="110">
        <f>-ROUND($C$6,2)</f>
        <v>1603.83</v>
      </c>
      <c r="F306" s="110">
        <f>E306-G306</f>
        <v>2379.83</v>
      </c>
      <c r="G306" s="110">
        <f>ROUND(H305*$C$3/12,2)</f>
        <v>-776</v>
      </c>
      <c r="H306" s="110">
        <f>H305-F306</f>
        <v>-228125.27999999991</v>
      </c>
    </row>
    <row r="307" spans="4:8">
      <c r="D307">
        <f>D306+1</f>
        <v>297</v>
      </c>
      <c r="E307" s="110">
        <f>-ROUND($C$6,2)</f>
        <v>1603.83</v>
      </c>
      <c r="F307" s="110">
        <f>E307-G307</f>
        <v>2388.0099999999998</v>
      </c>
      <c r="G307" s="110">
        <f>ROUND(H306*$C$3/12,2)</f>
        <v>-784.18</v>
      </c>
      <c r="H307" s="110">
        <f>H306-F307</f>
        <v>-230513.28999999992</v>
      </c>
    </row>
    <row r="308" spans="4:8">
      <c r="D308">
        <f>D307+1</f>
        <v>298</v>
      </c>
      <c r="E308" s="110">
        <f>-ROUND($C$6,2)</f>
        <v>1603.83</v>
      </c>
      <c r="F308" s="110">
        <f>E308-G308</f>
        <v>2396.2199999999998</v>
      </c>
      <c r="G308" s="110">
        <f>ROUND(H307*$C$3/12,2)</f>
        <v>-792.39</v>
      </c>
      <c r="H308" s="110">
        <f>H307-F308</f>
        <v>-232909.50999999992</v>
      </c>
    </row>
    <row r="309" spans="4:8">
      <c r="D309">
        <f>D308+1</f>
        <v>299</v>
      </c>
      <c r="E309" s="110">
        <f>-ROUND($C$6,2)</f>
        <v>1603.83</v>
      </c>
      <c r="F309" s="110">
        <f>E309-G309</f>
        <v>2404.46</v>
      </c>
      <c r="G309" s="110">
        <f>ROUND(H308*$C$3/12,2)</f>
        <v>-800.63</v>
      </c>
      <c r="H309" s="110">
        <f>H308-F309</f>
        <v>-235313.96999999991</v>
      </c>
    </row>
    <row r="310" spans="4:8">
      <c r="D310">
        <f>D309+1</f>
        <v>300</v>
      </c>
      <c r="E310" s="110">
        <f>-ROUND($C$6,2)</f>
        <v>1603.83</v>
      </c>
      <c r="F310" s="110">
        <f>E310-G310</f>
        <v>2412.7199999999998</v>
      </c>
      <c r="G310" s="110">
        <f>ROUND(H309*$C$3/12,2)</f>
        <v>-808.89</v>
      </c>
      <c r="H310" s="110">
        <f>H309-F310</f>
        <v>-237726.68999999992</v>
      </c>
    </row>
    <row r="311" spans="4:8">
      <c r="D311">
        <f>D310+1</f>
        <v>301</v>
      </c>
      <c r="E311" s="110">
        <f>-ROUND($C$6,2)</f>
        <v>1603.83</v>
      </c>
      <c r="F311" s="110">
        <f>E311-G311</f>
        <v>2421.02</v>
      </c>
      <c r="G311" s="110">
        <f>ROUND(H310*$C$3/12,2)</f>
        <v>-817.19</v>
      </c>
      <c r="H311" s="110">
        <f>H310-F311</f>
        <v>-240147.7099999999</v>
      </c>
    </row>
    <row r="312" spans="4:8">
      <c r="D312">
        <f>D311+1</f>
        <v>302</v>
      </c>
      <c r="E312" s="110">
        <f>-ROUND($C$6,2)</f>
        <v>1603.83</v>
      </c>
      <c r="F312" s="110">
        <f>E312-G312</f>
        <v>2429.34</v>
      </c>
      <c r="G312" s="110">
        <f>ROUND(H311*$C$3/12,2)</f>
        <v>-825.51</v>
      </c>
      <c r="H312" s="110">
        <f>H311-F312</f>
        <v>-242577.0499999999</v>
      </c>
    </row>
    <row r="313" spans="4:8">
      <c r="D313">
        <f>D312+1</f>
        <v>303</v>
      </c>
      <c r="E313" s="110">
        <f>-ROUND($C$6,2)</f>
        <v>1603.83</v>
      </c>
      <c r="F313" s="110">
        <f>E313-G313</f>
        <v>2437.69</v>
      </c>
      <c r="G313" s="110">
        <f>ROUND(H312*$C$3/12,2)</f>
        <v>-833.86</v>
      </c>
      <c r="H313" s="110">
        <f>H312-F313</f>
        <v>-245014.7399999999</v>
      </c>
    </row>
    <row r="314" spans="4:8">
      <c r="D314">
        <f>D313+1</f>
        <v>304</v>
      </c>
      <c r="E314" s="110">
        <f>-ROUND($C$6,2)</f>
        <v>1603.83</v>
      </c>
      <c r="F314" s="110">
        <f>E314-G314</f>
        <v>2446.0699999999997</v>
      </c>
      <c r="G314" s="110">
        <f>ROUND(H313*$C$3/12,2)</f>
        <v>-842.24</v>
      </c>
      <c r="H314" s="110">
        <f>H313-F314</f>
        <v>-247460.80999999991</v>
      </c>
    </row>
    <row r="315" spans="4:8">
      <c r="D315">
        <f>D314+1</f>
        <v>305</v>
      </c>
      <c r="E315" s="110">
        <f>-ROUND($C$6,2)</f>
        <v>1603.83</v>
      </c>
      <c r="F315" s="110">
        <f>E315-G315</f>
        <v>2454.48</v>
      </c>
      <c r="G315" s="110">
        <f>ROUND(H314*$C$3/12,2)</f>
        <v>-850.65</v>
      </c>
      <c r="H315" s="110">
        <f>H314-F315</f>
        <v>-249915.28999999992</v>
      </c>
    </row>
    <row r="316" spans="4:8">
      <c r="D316">
        <f>D315+1</f>
        <v>306</v>
      </c>
      <c r="E316" s="110">
        <f>-ROUND($C$6,2)</f>
        <v>1603.83</v>
      </c>
      <c r="F316" s="110">
        <f>E316-G316</f>
        <v>2462.91</v>
      </c>
      <c r="G316" s="110">
        <f>ROUND(H315*$C$3/12,2)</f>
        <v>-859.08</v>
      </c>
      <c r="H316" s="110">
        <f>H315-F316</f>
        <v>-252378.19999999992</v>
      </c>
    </row>
    <row r="317" spans="4:8">
      <c r="D317">
        <f>D316+1</f>
        <v>307</v>
      </c>
      <c r="E317" s="110">
        <f>-ROUND($C$6,2)</f>
        <v>1603.83</v>
      </c>
      <c r="F317" s="110">
        <f>E317-G317</f>
        <v>2471.38</v>
      </c>
      <c r="G317" s="110">
        <f>ROUND(H316*$C$3/12,2)</f>
        <v>-867.55</v>
      </c>
      <c r="H317" s="110">
        <f>H316-F317</f>
        <v>-254849.57999999993</v>
      </c>
    </row>
    <row r="318" spans="4:8">
      <c r="D318">
        <f>D317+1</f>
        <v>308</v>
      </c>
      <c r="E318" s="110">
        <f>-ROUND($C$6,2)</f>
        <v>1603.83</v>
      </c>
      <c r="F318" s="110">
        <f>E318-G318</f>
        <v>2479.88</v>
      </c>
      <c r="G318" s="110">
        <f>ROUND(H317*$C$3/12,2)</f>
        <v>-876.05</v>
      </c>
      <c r="H318" s="110">
        <f>H317-F318</f>
        <v>-257329.45999999993</v>
      </c>
    </row>
    <row r="319" spans="4:8">
      <c r="D319">
        <f>D318+1</f>
        <v>309</v>
      </c>
      <c r="E319" s="110">
        <f>-ROUND($C$6,2)</f>
        <v>1603.83</v>
      </c>
      <c r="F319" s="110">
        <f>E319-G319</f>
        <v>2488.4</v>
      </c>
      <c r="G319" s="110">
        <f>ROUND(H318*$C$3/12,2)</f>
        <v>-884.57</v>
      </c>
      <c r="H319" s="110">
        <f>H318-F319</f>
        <v>-259817.85999999993</v>
      </c>
    </row>
    <row r="320" spans="4:8">
      <c r="D320">
        <f>D319+1</f>
        <v>310</v>
      </c>
      <c r="E320" s="110">
        <f>-ROUND($C$6,2)</f>
        <v>1603.83</v>
      </c>
      <c r="F320" s="110">
        <f>E320-G320</f>
        <v>2496.9499999999998</v>
      </c>
      <c r="G320" s="110">
        <f>ROUND(H319*$C$3/12,2)</f>
        <v>-893.12</v>
      </c>
      <c r="H320" s="110">
        <f>H319-F320</f>
        <v>-262314.80999999994</v>
      </c>
    </row>
    <row r="321" spans="4:8">
      <c r="D321">
        <f>D320+1</f>
        <v>311</v>
      </c>
      <c r="E321" s="110">
        <f>-ROUND($C$6,2)</f>
        <v>1603.83</v>
      </c>
      <c r="F321" s="110">
        <f>E321-G321</f>
        <v>2505.54</v>
      </c>
      <c r="G321" s="110">
        <f>ROUND(H320*$C$3/12,2)</f>
        <v>-901.71</v>
      </c>
      <c r="H321" s="110">
        <f>H320-F321</f>
        <v>-264820.34999999992</v>
      </c>
    </row>
    <row r="322" spans="4:8">
      <c r="D322">
        <f>D321+1</f>
        <v>312</v>
      </c>
      <c r="E322" s="110">
        <f>-ROUND($C$6,2)</f>
        <v>1603.83</v>
      </c>
      <c r="F322" s="110">
        <f>E322-G322</f>
        <v>2514.15</v>
      </c>
      <c r="G322" s="110">
        <f>ROUND(H321*$C$3/12,2)</f>
        <v>-910.32</v>
      </c>
      <c r="H322" s="110">
        <f>H321-F322</f>
        <v>-267334.49999999994</v>
      </c>
    </row>
    <row r="323" spans="4:8">
      <c r="D323">
        <f>D322+1</f>
        <v>313</v>
      </c>
      <c r="E323" s="110">
        <f>-ROUND($C$6,2)</f>
        <v>1603.83</v>
      </c>
      <c r="F323" s="110">
        <f>E323-G323</f>
        <v>2522.79</v>
      </c>
      <c r="G323" s="110">
        <f>ROUND(H322*$C$3/12,2)</f>
        <v>-918.96</v>
      </c>
      <c r="H323" s="110">
        <f>H322-F323</f>
        <v>-269857.28999999992</v>
      </c>
    </row>
    <row r="324" spans="4:8">
      <c r="D324">
        <f>D323+1</f>
        <v>314</v>
      </c>
      <c r="E324" s="110">
        <f>-ROUND($C$6,2)</f>
        <v>1603.83</v>
      </c>
      <c r="F324" s="110">
        <f>E324-G324</f>
        <v>2531.46</v>
      </c>
      <c r="G324" s="110">
        <f>ROUND(H323*$C$3/12,2)</f>
        <v>-927.63</v>
      </c>
      <c r="H324" s="110">
        <f>H323-F324</f>
        <v>-272388.74999999994</v>
      </c>
    </row>
    <row r="325" spans="4:8">
      <c r="D325">
        <f>D324+1</f>
        <v>315</v>
      </c>
      <c r="E325" s="110">
        <f>-ROUND($C$6,2)</f>
        <v>1603.83</v>
      </c>
      <c r="F325" s="110">
        <f>E325-G325</f>
        <v>2540.17</v>
      </c>
      <c r="G325" s="110">
        <f>ROUND(H324*$C$3/12,2)</f>
        <v>-936.34</v>
      </c>
      <c r="H325" s="110">
        <f>H324-F325</f>
        <v>-274928.91999999993</v>
      </c>
    </row>
    <row r="326" spans="4:8">
      <c r="D326">
        <f>D325+1</f>
        <v>316</v>
      </c>
      <c r="E326" s="110">
        <f>-ROUND($C$6,2)</f>
        <v>1603.83</v>
      </c>
      <c r="F326" s="110">
        <f>E326-G326</f>
        <v>2548.9</v>
      </c>
      <c r="G326" s="110">
        <f>ROUND(H325*$C$3/12,2)</f>
        <v>-945.07</v>
      </c>
      <c r="H326" s="110">
        <f>H325-F326</f>
        <v>-277477.81999999995</v>
      </c>
    </row>
    <row r="327" spans="4:8">
      <c r="D327">
        <f>D326+1</f>
        <v>317</v>
      </c>
      <c r="E327" s="110">
        <f>-ROUND($C$6,2)</f>
        <v>1603.83</v>
      </c>
      <c r="F327" s="110">
        <f>E327-G327</f>
        <v>2557.66</v>
      </c>
      <c r="G327" s="110">
        <f>ROUND(H326*$C$3/12,2)</f>
        <v>-953.83</v>
      </c>
      <c r="H327" s="110">
        <f>H326-F327</f>
        <v>-280035.47999999992</v>
      </c>
    </row>
    <row r="328" spans="4:8">
      <c r="D328">
        <f>D327+1</f>
        <v>318</v>
      </c>
      <c r="E328" s="110">
        <f>-ROUND($C$6,2)</f>
        <v>1603.83</v>
      </c>
      <c r="F328" s="110">
        <f>E328-G328</f>
        <v>2566.4499999999998</v>
      </c>
      <c r="G328" s="110">
        <f>ROUND(H327*$C$3/12,2)</f>
        <v>-962.62</v>
      </c>
      <c r="H328" s="110">
        <f>H327-F328</f>
        <v>-282601.92999999993</v>
      </c>
    </row>
    <row r="329" spans="4:8">
      <c r="D329">
        <f>D328+1</f>
        <v>319</v>
      </c>
      <c r="E329" s="110">
        <f>-ROUND($C$6,2)</f>
        <v>1603.83</v>
      </c>
      <c r="F329" s="110">
        <f>E329-G329</f>
        <v>2575.27</v>
      </c>
      <c r="G329" s="110">
        <f>ROUND(H328*$C$3/12,2)</f>
        <v>-971.44</v>
      </c>
      <c r="H329" s="110">
        <f>H328-F329</f>
        <v>-285177.19999999995</v>
      </c>
    </row>
    <row r="330" spans="4:8">
      <c r="D330">
        <f>D329+1</f>
        <v>320</v>
      </c>
      <c r="E330" s="110">
        <f>-ROUND($C$6,2)</f>
        <v>1603.83</v>
      </c>
      <c r="F330" s="110">
        <f>E330-G330</f>
        <v>2584.13</v>
      </c>
      <c r="G330" s="110">
        <f>ROUND(H329*$C$3/12,2)</f>
        <v>-980.3</v>
      </c>
      <c r="H330" s="110">
        <f>H329-F330</f>
        <v>-287761.32999999996</v>
      </c>
    </row>
    <row r="331" spans="4:8">
      <c r="D331">
        <f>D330+1</f>
        <v>321</v>
      </c>
      <c r="E331" s="110">
        <f>-ROUND($C$6,2)</f>
        <v>1603.83</v>
      </c>
      <c r="F331" s="110">
        <f>E331-G331</f>
        <v>2593.0099999999998</v>
      </c>
      <c r="G331" s="110">
        <f>ROUND(H330*$C$3/12,2)</f>
        <v>-989.18</v>
      </c>
      <c r="H331" s="110">
        <f>H330-F331</f>
        <v>-290354.33999999997</v>
      </c>
    </row>
    <row r="332" spans="4:8">
      <c r="D332">
        <f>D331+1</f>
        <v>322</v>
      </c>
      <c r="E332" s="110">
        <f>-ROUND($C$6,2)</f>
        <v>1603.83</v>
      </c>
      <c r="F332" s="110">
        <f>E332-G332</f>
        <v>2601.92</v>
      </c>
      <c r="G332" s="110">
        <f>ROUND(H331*$C$3/12,2)</f>
        <v>-998.09</v>
      </c>
      <c r="H332" s="110">
        <f>H331-F332</f>
        <v>-292956.25999999995</v>
      </c>
    </row>
    <row r="333" spans="4:8">
      <c r="D333">
        <f>D332+1</f>
        <v>323</v>
      </c>
      <c r="E333" s="110">
        <f>-ROUND($C$6,2)</f>
        <v>1603.83</v>
      </c>
      <c r="F333" s="110">
        <f>E333-G333</f>
        <v>2610.87</v>
      </c>
      <c r="G333" s="110">
        <f>ROUND(H332*$C$3/12,2)</f>
        <v>-1007.04</v>
      </c>
      <c r="H333" s="110">
        <f>H332-F333</f>
        <v>-295567.12999999995</v>
      </c>
    </row>
    <row r="334" spans="4:8">
      <c r="D334">
        <f>D333+1</f>
        <v>324</v>
      </c>
      <c r="E334" s="110">
        <f>-ROUND($C$6,2)</f>
        <v>1603.83</v>
      </c>
      <c r="F334" s="110">
        <f>E334-G334</f>
        <v>2619.84</v>
      </c>
      <c r="G334" s="110">
        <f>ROUND(H333*$C$3/12,2)</f>
        <v>-1016.01</v>
      </c>
      <c r="H334" s="110">
        <f>H333-F334</f>
        <v>-298186.96999999997</v>
      </c>
    </row>
    <row r="335" spans="4:8">
      <c r="D335">
        <f>D334+1</f>
        <v>325</v>
      </c>
      <c r="E335" s="110">
        <f>-ROUND($C$6,2)</f>
        <v>1603.83</v>
      </c>
      <c r="F335" s="110">
        <f>E335-G335</f>
        <v>2628.85</v>
      </c>
      <c r="G335" s="110">
        <f>ROUND(H334*$C$3/12,2)</f>
        <v>-1025.02</v>
      </c>
      <c r="H335" s="110">
        <f>H334-F335</f>
        <v>-300815.81999999995</v>
      </c>
    </row>
    <row r="336" spans="4:8">
      <c r="D336">
        <f>D335+1</f>
        <v>326</v>
      </c>
      <c r="E336" s="110">
        <f>-ROUND($C$6,2)</f>
        <v>1603.83</v>
      </c>
      <c r="F336" s="110">
        <f>E336-G336</f>
        <v>2637.88</v>
      </c>
      <c r="G336" s="110">
        <f>ROUND(H335*$C$3/12,2)</f>
        <v>-1034.05</v>
      </c>
      <c r="H336" s="110">
        <f>H335-F336</f>
        <v>-303453.69999999995</v>
      </c>
    </row>
    <row r="337" spans="4:8">
      <c r="D337">
        <f>D336+1</f>
        <v>327</v>
      </c>
      <c r="E337" s="110">
        <f>-ROUND($C$6,2)</f>
        <v>1603.83</v>
      </c>
      <c r="F337" s="110">
        <f>E337-G337</f>
        <v>2646.95</v>
      </c>
      <c r="G337" s="110">
        <f>ROUND(H336*$C$3/12,2)</f>
        <v>-1043.1199999999999</v>
      </c>
      <c r="H337" s="110">
        <f>H336-F337</f>
        <v>-306100.64999999997</v>
      </c>
    </row>
    <row r="338" spans="4:8">
      <c r="D338">
        <f>D337+1</f>
        <v>328</v>
      </c>
      <c r="E338" s="110">
        <f>-ROUND($C$6,2)</f>
        <v>1603.83</v>
      </c>
      <c r="F338" s="110">
        <f>E338-G338</f>
        <v>2656.05</v>
      </c>
      <c r="G338" s="110">
        <f>ROUND(H337*$C$3/12,2)</f>
        <v>-1052.22</v>
      </c>
      <c r="H338" s="110">
        <f>H337-F338</f>
        <v>-308756.69999999995</v>
      </c>
    </row>
    <row r="339" spans="4:8">
      <c r="D339">
        <f>D338+1</f>
        <v>329</v>
      </c>
      <c r="E339" s="110">
        <f>-ROUND($C$6,2)</f>
        <v>1603.83</v>
      </c>
      <c r="F339" s="110">
        <f>E339-G339</f>
        <v>2665.18</v>
      </c>
      <c r="G339" s="110">
        <f>ROUND(H338*$C$3/12,2)</f>
        <v>-1061.3499999999999</v>
      </c>
      <c r="H339" s="110">
        <f>H338-F339</f>
        <v>-311421.87999999995</v>
      </c>
    </row>
    <row r="340" spans="4:8">
      <c r="D340">
        <f>D339+1</f>
        <v>330</v>
      </c>
      <c r="E340" s="110">
        <f>-ROUND($C$6,2)</f>
        <v>1603.83</v>
      </c>
      <c r="F340" s="110">
        <f>E340-G340</f>
        <v>2674.34</v>
      </c>
      <c r="G340" s="110">
        <f>ROUND(H339*$C$3/12,2)</f>
        <v>-1070.51</v>
      </c>
      <c r="H340" s="110">
        <f>H339-F340</f>
        <v>-314096.21999999997</v>
      </c>
    </row>
    <row r="341" spans="4:8">
      <c r="D341">
        <f>D340+1</f>
        <v>331</v>
      </c>
      <c r="E341" s="110">
        <f>-ROUND($C$6,2)</f>
        <v>1603.83</v>
      </c>
      <c r="F341" s="110">
        <f>E341-G341</f>
        <v>2683.54</v>
      </c>
      <c r="G341" s="110">
        <f>ROUND(H340*$C$3/12,2)</f>
        <v>-1079.71</v>
      </c>
      <c r="H341" s="110">
        <f>H340-F341</f>
        <v>-316779.75999999995</v>
      </c>
    </row>
    <row r="342" spans="4:8">
      <c r="D342">
        <f>D341+1</f>
        <v>332</v>
      </c>
      <c r="E342" s="110">
        <f>-ROUND($C$6,2)</f>
        <v>1603.83</v>
      </c>
      <c r="F342" s="110">
        <f>E342-G342</f>
        <v>2692.76</v>
      </c>
      <c r="G342" s="110">
        <f>ROUND(H341*$C$3/12,2)</f>
        <v>-1088.93</v>
      </c>
      <c r="H342" s="110">
        <f>H341-F342</f>
        <v>-319472.51999999996</v>
      </c>
    </row>
    <row r="343" spans="4:8">
      <c r="D343">
        <f>D342+1</f>
        <v>333</v>
      </c>
      <c r="E343" s="110">
        <f>-ROUND($C$6,2)</f>
        <v>1603.83</v>
      </c>
      <c r="F343" s="110">
        <f>E343-G343</f>
        <v>2702.02</v>
      </c>
      <c r="G343" s="110">
        <f>ROUND(H342*$C$3/12,2)</f>
        <v>-1098.19</v>
      </c>
      <c r="H343" s="110">
        <f>H342-F343</f>
        <v>-322174.53999999998</v>
      </c>
    </row>
    <row r="344" spans="4:8">
      <c r="D344">
        <f>D343+1</f>
        <v>334</v>
      </c>
      <c r="E344" s="110">
        <f>-ROUND($C$6,2)</f>
        <v>1603.83</v>
      </c>
      <c r="F344" s="110">
        <f>E344-G344</f>
        <v>2711.3</v>
      </c>
      <c r="G344" s="110">
        <f>ROUND(H343*$C$3/12,2)</f>
        <v>-1107.47</v>
      </c>
      <c r="H344" s="110">
        <f>H343-F344</f>
        <v>-324885.83999999997</v>
      </c>
    </row>
    <row r="345" spans="4:8">
      <c r="D345">
        <f>D344+1</f>
        <v>335</v>
      </c>
      <c r="E345" s="110">
        <f>-ROUND($C$6,2)</f>
        <v>1603.83</v>
      </c>
      <c r="F345" s="110">
        <f>E345-G345</f>
        <v>2720.63</v>
      </c>
      <c r="G345" s="110">
        <f>ROUND(H344*$C$3/12,2)</f>
        <v>-1116.8</v>
      </c>
      <c r="H345" s="110">
        <f>H344-F345</f>
        <v>-327606.46999999997</v>
      </c>
    </row>
    <row r="346" spans="4:8">
      <c r="D346">
        <f>D345+1</f>
        <v>336</v>
      </c>
      <c r="E346" s="110">
        <f>-ROUND($C$6,2)</f>
        <v>1603.83</v>
      </c>
      <c r="F346" s="110">
        <f>E346-G346</f>
        <v>2729.98</v>
      </c>
      <c r="G346" s="110">
        <f>ROUND(H345*$C$3/12,2)</f>
        <v>-1126.1500000000001</v>
      </c>
      <c r="H346" s="110">
        <f>H345-F346</f>
        <v>-330336.44999999995</v>
      </c>
    </row>
    <row r="347" spans="4:8">
      <c r="D347">
        <f>D346+1</f>
        <v>337</v>
      </c>
      <c r="E347" s="110">
        <f>-ROUND($C$6,2)</f>
        <v>1603.83</v>
      </c>
      <c r="F347" s="110">
        <f>E347-G347</f>
        <v>2739.3599999999997</v>
      </c>
      <c r="G347" s="110">
        <f>ROUND(H346*$C$3/12,2)</f>
        <v>-1135.53</v>
      </c>
      <c r="H347" s="110">
        <f>H346-F347</f>
        <v>-333075.80999999994</v>
      </c>
    </row>
    <row r="348" spans="4:8">
      <c r="D348">
        <f>D347+1</f>
        <v>338</v>
      </c>
      <c r="E348" s="110">
        <f>-ROUND($C$6,2)</f>
        <v>1603.83</v>
      </c>
      <c r="F348" s="110">
        <f>E348-G348</f>
        <v>2748.7799999999997</v>
      </c>
      <c r="G348" s="110">
        <f>ROUND(H347*$C$3/12,2)</f>
        <v>-1144.95</v>
      </c>
      <c r="H348" s="110">
        <f>H347-F348</f>
        <v>-335824.58999999997</v>
      </c>
    </row>
    <row r="349" spans="4:8">
      <c r="D349">
        <f>D348+1</f>
        <v>339</v>
      </c>
      <c r="E349" s="110">
        <f>-ROUND($C$6,2)</f>
        <v>1603.83</v>
      </c>
      <c r="F349" s="110">
        <f>E349-G349</f>
        <v>2758.23</v>
      </c>
      <c r="G349" s="110">
        <f>ROUND(H348*$C$3/12,2)</f>
        <v>-1154.4000000000001</v>
      </c>
      <c r="H349" s="110">
        <f>H348-F349</f>
        <v>-338582.81999999995</v>
      </c>
    </row>
    <row r="350" spans="4:8">
      <c r="D350">
        <f>D349+1</f>
        <v>340</v>
      </c>
      <c r="E350" s="110">
        <f>-ROUND($C$6,2)</f>
        <v>1603.83</v>
      </c>
      <c r="F350" s="110">
        <f>E350-G350</f>
        <v>2767.71</v>
      </c>
      <c r="G350" s="110">
        <f>ROUND(H349*$C$3/12,2)</f>
        <v>-1163.8800000000001</v>
      </c>
      <c r="H350" s="110">
        <f>H349-F350</f>
        <v>-341350.52999999997</v>
      </c>
    </row>
    <row r="351" spans="4:8">
      <c r="D351">
        <f>D350+1</f>
        <v>341</v>
      </c>
      <c r="E351" s="110">
        <f>-ROUND($C$6,2)</f>
        <v>1603.83</v>
      </c>
      <c r="F351" s="110">
        <f>E351-G351</f>
        <v>2777.2200000000003</v>
      </c>
      <c r="G351" s="110">
        <f>ROUND(H350*$C$3/12,2)</f>
        <v>-1173.3900000000001</v>
      </c>
      <c r="H351" s="110">
        <f>H350-F351</f>
        <v>-344127.74999999994</v>
      </c>
    </row>
    <row r="352" spans="4:8">
      <c r="D352">
        <f>D351+1</f>
        <v>342</v>
      </c>
      <c r="E352" s="110">
        <f>-ROUND($C$6,2)</f>
        <v>1603.83</v>
      </c>
      <c r="F352" s="110">
        <f>E352-G352</f>
        <v>2786.77</v>
      </c>
      <c r="G352" s="110">
        <f>ROUND(H351*$C$3/12,2)</f>
        <v>-1182.94</v>
      </c>
      <c r="H352" s="110">
        <f>H351-F352</f>
        <v>-346914.51999999996</v>
      </c>
    </row>
    <row r="353" spans="4:8">
      <c r="D353">
        <f>D352+1</f>
        <v>343</v>
      </c>
      <c r="E353" s="110">
        <f>-ROUND($C$6,2)</f>
        <v>1603.83</v>
      </c>
      <c r="F353" s="110">
        <f>E353-G353</f>
        <v>2796.35</v>
      </c>
      <c r="G353" s="110">
        <f>ROUND(H352*$C$3/12,2)</f>
        <v>-1192.52</v>
      </c>
      <c r="H353" s="110">
        <f>H352-F353</f>
        <v>-349710.86999999994</v>
      </c>
    </row>
    <row r="354" spans="4:8">
      <c r="D354">
        <f>D353+1</f>
        <v>344</v>
      </c>
      <c r="E354" s="110">
        <f>-ROUND($C$6,2)</f>
        <v>1603.83</v>
      </c>
      <c r="F354" s="110">
        <f>E354-G354</f>
        <v>2805.96</v>
      </c>
      <c r="G354" s="110">
        <f>ROUND(H353*$C$3/12,2)</f>
        <v>-1202.1300000000001</v>
      </c>
      <c r="H354" s="110">
        <f>H353-F354</f>
        <v>-352516.82999999996</v>
      </c>
    </row>
    <row r="355" spans="4:8">
      <c r="D355">
        <f>D354+1</f>
        <v>345</v>
      </c>
      <c r="E355" s="110">
        <f>-ROUND($C$6,2)</f>
        <v>1603.83</v>
      </c>
      <c r="F355" s="110">
        <f>E355-G355</f>
        <v>2815.6099999999997</v>
      </c>
      <c r="G355" s="110">
        <f>ROUND(H354*$C$3/12,2)</f>
        <v>-1211.78</v>
      </c>
      <c r="H355" s="110">
        <f>H354-F355</f>
        <v>-355332.43999999994</v>
      </c>
    </row>
    <row r="356" spans="4:8">
      <c r="D356">
        <f>D355+1</f>
        <v>346</v>
      </c>
      <c r="E356" s="110">
        <f>-ROUND($C$6,2)</f>
        <v>1603.83</v>
      </c>
      <c r="F356" s="110">
        <f>E356-G356</f>
        <v>2825.29</v>
      </c>
      <c r="G356" s="110">
        <f>ROUND(H355*$C$3/12,2)</f>
        <v>-1221.46</v>
      </c>
      <c r="H356" s="110">
        <f>H355-F356</f>
        <v>-358157.72999999992</v>
      </c>
    </row>
    <row r="357" spans="4:8">
      <c r="D357">
        <f>D356+1</f>
        <v>347</v>
      </c>
      <c r="E357" s="110">
        <f>-ROUND($C$6,2)</f>
        <v>1603.83</v>
      </c>
      <c r="F357" s="110">
        <f>E357-G357</f>
        <v>2835</v>
      </c>
      <c r="G357" s="110">
        <f>ROUND(H356*$C$3/12,2)</f>
        <v>-1231.17</v>
      </c>
      <c r="H357" s="110">
        <f>H356-F357</f>
        <v>-360992.72999999992</v>
      </c>
    </row>
    <row r="358" spans="4:8">
      <c r="D358">
        <f>D357+1</f>
        <v>348</v>
      </c>
      <c r="E358" s="110">
        <f>-ROUND($C$6,2)</f>
        <v>1603.83</v>
      </c>
      <c r="F358" s="110">
        <f>E358-G358</f>
        <v>2844.74</v>
      </c>
      <c r="G358" s="110">
        <f>ROUND(H357*$C$3/12,2)</f>
        <v>-1240.9100000000001</v>
      </c>
      <c r="H358" s="110">
        <f>H357-F358</f>
        <v>-363837.46999999991</v>
      </c>
    </row>
    <row r="359" spans="4:8">
      <c r="D359">
        <f>D358+1</f>
        <v>349</v>
      </c>
      <c r="E359" s="110">
        <f>-ROUND($C$6,2)</f>
        <v>1603.83</v>
      </c>
      <c r="F359" s="110">
        <f>E359-G359</f>
        <v>2854.52</v>
      </c>
      <c r="G359" s="110">
        <f>ROUND(H358*$C$3/12,2)</f>
        <v>-1250.69</v>
      </c>
      <c r="H359" s="110">
        <f>H358-F359</f>
        <v>-366691.98999999993</v>
      </c>
    </row>
    <row r="360" spans="4:8">
      <c r="D360">
        <f>D359+1</f>
        <v>350</v>
      </c>
      <c r="E360" s="110">
        <f>-ROUND($C$6,2)</f>
        <v>1603.83</v>
      </c>
      <c r="F360" s="110">
        <f>E360-G360</f>
        <v>2864.33</v>
      </c>
      <c r="G360" s="110">
        <f>ROUND(H359*$C$3/12,2)</f>
        <v>-1260.5</v>
      </c>
      <c r="H360" s="110">
        <f>H359-F360</f>
        <v>-369556.31999999995</v>
      </c>
    </row>
    <row r="361" spans="4:8">
      <c r="D361">
        <f>D360+1</f>
        <v>351</v>
      </c>
      <c r="E361" s="110">
        <f>-ROUND($C$6,2)</f>
        <v>1603.83</v>
      </c>
      <c r="F361" s="110">
        <f>E361-G361</f>
        <v>2874.18</v>
      </c>
      <c r="G361" s="110">
        <f>ROUND(H360*$C$3/12,2)</f>
        <v>-1270.3499999999999</v>
      </c>
      <c r="H361" s="110">
        <f>H360-F361</f>
        <v>-372430.49999999994</v>
      </c>
    </row>
    <row r="362" spans="4:8">
      <c r="D362">
        <f>D361+1</f>
        <v>352</v>
      </c>
      <c r="E362" s="110">
        <f>-ROUND($C$6,2)</f>
        <v>1603.83</v>
      </c>
      <c r="F362" s="110">
        <f>E362-G362</f>
        <v>2884.06</v>
      </c>
      <c r="G362" s="110">
        <f>ROUND(H361*$C$3/12,2)</f>
        <v>-1280.23</v>
      </c>
      <c r="H362" s="110">
        <f>H361-F362</f>
        <v>-375314.55999999994</v>
      </c>
    </row>
    <row r="363" spans="4:8">
      <c r="D363">
        <f>D362+1</f>
        <v>353</v>
      </c>
      <c r="E363" s="110">
        <f>-ROUND($C$6,2)</f>
        <v>1603.83</v>
      </c>
      <c r="F363" s="110">
        <f>E363-G363</f>
        <v>2893.9700000000003</v>
      </c>
      <c r="G363" s="110">
        <f>ROUND(H362*$C$3/12,2)</f>
        <v>-1290.1400000000001</v>
      </c>
      <c r="H363" s="110">
        <f>H362-F363</f>
        <v>-378208.52999999991</v>
      </c>
    </row>
    <row r="364" spans="4:8">
      <c r="D364">
        <f>D363+1</f>
        <v>354</v>
      </c>
      <c r="E364" s="110">
        <f>-ROUND($C$6,2)</f>
        <v>1603.83</v>
      </c>
      <c r="F364" s="110">
        <f>E364-G364</f>
        <v>2903.92</v>
      </c>
      <c r="G364" s="110">
        <f>ROUND(H363*$C$3/12,2)</f>
        <v>-1300.0899999999999</v>
      </c>
      <c r="H364" s="110">
        <f>H363-F364</f>
        <v>-381112.4499999999</v>
      </c>
    </row>
    <row r="365" spans="4:8">
      <c r="D365">
        <f>D364+1</f>
        <v>355</v>
      </c>
      <c r="E365" s="110">
        <f>-ROUND($C$6,2)</f>
        <v>1603.83</v>
      </c>
      <c r="F365" s="110">
        <f>E365-G365</f>
        <v>2913.8999999999996</v>
      </c>
      <c r="G365" s="110">
        <f>ROUND(H364*$C$3/12,2)</f>
        <v>-1310.07</v>
      </c>
      <c r="H365" s="110">
        <f>H364-F365</f>
        <v>-384026.34999999992</v>
      </c>
    </row>
    <row r="366" spans="4:8">
      <c r="D366">
        <f>D365+1</f>
        <v>356</v>
      </c>
      <c r="E366" s="110">
        <f>-ROUND($C$6,2)</f>
        <v>1603.83</v>
      </c>
      <c r="F366" s="110">
        <f>E366-G366</f>
        <v>2923.92</v>
      </c>
      <c r="G366" s="110">
        <f>ROUND(H365*$C$3/12,2)</f>
        <v>-1320.09</v>
      </c>
      <c r="H366" s="110">
        <f>H365-F366</f>
        <v>-386950.2699999999</v>
      </c>
    </row>
    <row r="367" spans="4:8">
      <c r="D367">
        <f>D366+1</f>
        <v>357</v>
      </c>
      <c r="E367" s="110">
        <f>-ROUND($C$6,2)</f>
        <v>1603.83</v>
      </c>
      <c r="F367" s="110">
        <f>E367-G367</f>
        <v>2933.9700000000003</v>
      </c>
      <c r="G367" s="110">
        <f>ROUND(H366*$C$3/12,2)</f>
        <v>-1330.14</v>
      </c>
      <c r="H367" s="110">
        <f>H366-F367</f>
        <v>-389884.23999999987</v>
      </c>
    </row>
    <row r="368" spans="4:8">
      <c r="D368">
        <f>D367+1</f>
        <v>358</v>
      </c>
      <c r="E368" s="110">
        <f>-ROUND($C$6,2)</f>
        <v>1603.83</v>
      </c>
      <c r="F368" s="110">
        <f>E368-G368</f>
        <v>2944.06</v>
      </c>
      <c r="G368" s="110">
        <f>ROUND(H367*$C$3/12,2)</f>
        <v>-1340.23</v>
      </c>
      <c r="H368" s="110">
        <f>H367-F368</f>
        <v>-392828.29999999987</v>
      </c>
    </row>
    <row r="369" spans="4:8">
      <c r="D369">
        <f>D368+1</f>
        <v>359</v>
      </c>
      <c r="E369" s="110">
        <f>-ROUND($C$6,2)</f>
        <v>1603.83</v>
      </c>
      <c r="F369" s="110">
        <f>E369-G369</f>
        <v>2954.18</v>
      </c>
      <c r="G369" s="110">
        <f>ROUND(H368*$C$3/12,2)</f>
        <v>-1350.35</v>
      </c>
      <c r="H369" s="110">
        <f>H368-F369</f>
        <v>-395782.47999999986</v>
      </c>
    </row>
    <row r="370" spans="4:8">
      <c r="D370">
        <f>D369+1</f>
        <v>360</v>
      </c>
      <c r="E370" s="110">
        <f>-ROUND($C$6,2)</f>
        <v>1603.83</v>
      </c>
      <c r="F370" s="110">
        <f>E370-G370</f>
        <v>2964.33</v>
      </c>
      <c r="G370" s="110">
        <f>ROUND(H369*$C$3/12,2)</f>
        <v>-1360.5</v>
      </c>
      <c r="H370" s="110">
        <f>H369-F370</f>
        <v>-398746.80999999988</v>
      </c>
    </row>
  </sheetData>
  <conditionalFormatting sqref="D12:H370">
    <cfRule type="expression" dxfId="12" priority="1">
      <formula>$D12&gt;$C$4*12</formula>
    </cfRule>
  </conditionalFormatting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L370"/>
  <sheetViews>
    <sheetView workbookViewId="0">
      <selection activeCell="C15" sqref="C15"/>
    </sheetView>
  </sheetViews>
  <sheetFormatPr defaultRowHeight="15"/>
  <cols>
    <col min="1" max="1" width="6.7109375" customWidth="1"/>
    <col min="2" max="2" width="23.42578125" bestFit="1" customWidth="1"/>
    <col min="3" max="3" width="11.5703125" bestFit="1" customWidth="1"/>
    <col min="4" max="4" width="7.5703125" customWidth="1"/>
    <col min="5" max="7" width="9.5703125" customWidth="1"/>
    <col min="8" max="8" width="8" customWidth="1"/>
    <col min="9" max="9" width="11.5703125" customWidth="1"/>
    <col min="10" max="10" width="3.85546875" customWidth="1"/>
  </cols>
  <sheetData>
    <row r="2" spans="2:12">
      <c r="B2" s="134" t="s">
        <v>795</v>
      </c>
      <c r="C2" s="166">
        <v>215000</v>
      </c>
    </row>
    <row r="3" spans="2:12">
      <c r="B3" s="134" t="s">
        <v>794</v>
      </c>
      <c r="C3" s="167">
        <v>4.1250000000000002E-2</v>
      </c>
    </row>
    <row r="4" spans="2:12">
      <c r="B4" s="134" t="s">
        <v>793</v>
      </c>
      <c r="C4" s="166">
        <v>15</v>
      </c>
    </row>
    <row r="5" spans="2:12" ht="15.75" thickBot="1">
      <c r="B5" s="134"/>
    </row>
    <row r="6" spans="2:12" ht="15.75" thickBot="1">
      <c r="B6" s="134" t="s">
        <v>792</v>
      </c>
      <c r="C6" s="165">
        <f>PMT(C3/12,C4*12,C2,0,0)</f>
        <v>-1603.8302979919331</v>
      </c>
    </row>
    <row r="9" spans="2:12">
      <c r="D9" s="97" t="s">
        <v>791</v>
      </c>
      <c r="E9" s="97" t="s">
        <v>790</v>
      </c>
      <c r="F9" s="97" t="s">
        <v>788</v>
      </c>
      <c r="G9" s="97" t="s">
        <v>799</v>
      </c>
      <c r="H9" s="97" t="s">
        <v>787</v>
      </c>
      <c r="I9" s="97" t="s">
        <v>329</v>
      </c>
      <c r="K9" s="169" t="s">
        <v>798</v>
      </c>
      <c r="L9" s="168"/>
    </row>
    <row r="10" spans="2:12">
      <c r="I10" s="110">
        <f>C2</f>
        <v>215000</v>
      </c>
      <c r="K10" s="97" t="s">
        <v>797</v>
      </c>
      <c r="L10" s="97" t="s">
        <v>796</v>
      </c>
    </row>
    <row r="11" spans="2:12">
      <c r="D11" s="104">
        <v>1</v>
      </c>
      <c r="E11" s="110">
        <f>-ROUND($C$6,2)</f>
        <v>1603.83</v>
      </c>
      <c r="F11" s="110">
        <f>E11-H11</f>
        <v>864.77</v>
      </c>
      <c r="G11" s="164">
        <f>VLOOKUP(D11,$K$11:$L$23,2,TRUE)</f>
        <v>4.1250000000000002E-2</v>
      </c>
      <c r="H11" s="110">
        <f>ROUND(I10*G11/12,2)</f>
        <v>739.06</v>
      </c>
      <c r="I11" s="110">
        <f>I10-F11</f>
        <v>214135.23</v>
      </c>
      <c r="K11" s="139">
        <f>D11</f>
        <v>1</v>
      </c>
      <c r="L11" s="164">
        <f>C3</f>
        <v>4.1250000000000002E-2</v>
      </c>
    </row>
    <row r="12" spans="2:12">
      <c r="D12" s="104">
        <f>D11+1</f>
        <v>2</v>
      </c>
      <c r="E12" s="110">
        <f>-ROUND($C$6,2)</f>
        <v>1603.83</v>
      </c>
      <c r="F12" s="110">
        <f>E12-H12</f>
        <v>867.7399999999999</v>
      </c>
      <c r="G12" s="164">
        <f>VLOOKUP(D12,$K$11:$L$23,2,TRUE)</f>
        <v>4.1250000000000002E-2</v>
      </c>
      <c r="H12" s="110">
        <f>ROUND(I11*G12/12,2)</f>
        <v>736.09</v>
      </c>
      <c r="I12" s="110">
        <f>I11-F12</f>
        <v>213267.49000000002</v>
      </c>
      <c r="K12" s="166">
        <v>10</v>
      </c>
      <c r="L12" s="167">
        <v>3.875E-2</v>
      </c>
    </row>
    <row r="13" spans="2:12">
      <c r="D13" s="104">
        <f>D12+1</f>
        <v>3</v>
      </c>
      <c r="E13" s="110">
        <f>-ROUND($C$6,2)</f>
        <v>1603.83</v>
      </c>
      <c r="F13" s="110">
        <f>E13-H13</f>
        <v>870.71999999999991</v>
      </c>
      <c r="G13" s="164">
        <f>VLOOKUP(D13,$K$11:$L$23,2,TRUE)</f>
        <v>4.1250000000000002E-2</v>
      </c>
      <c r="H13" s="110">
        <f>ROUND(I12*G13/12,2)</f>
        <v>733.11</v>
      </c>
      <c r="I13" s="110">
        <f>I12-F13</f>
        <v>212396.77000000002</v>
      </c>
      <c r="K13" s="166">
        <v>98</v>
      </c>
      <c r="L13" s="167">
        <v>0.04</v>
      </c>
    </row>
    <row r="14" spans="2:12">
      <c r="D14" s="104">
        <f>D13+1</f>
        <v>4</v>
      </c>
      <c r="E14" s="110">
        <f>-ROUND($C$6,2)</f>
        <v>1603.83</v>
      </c>
      <c r="F14" s="110">
        <f>E14-H14</f>
        <v>873.71999999999991</v>
      </c>
      <c r="G14" s="164">
        <f>VLOOKUP(D14,$K$11:$L$23,2,TRUE)</f>
        <v>4.1250000000000002E-2</v>
      </c>
      <c r="H14" s="110">
        <f>ROUND(I13*G14/12,2)</f>
        <v>730.11</v>
      </c>
      <c r="I14" s="110">
        <f>I13-F14</f>
        <v>211523.05000000002</v>
      </c>
      <c r="K14" s="166"/>
      <c r="L14" s="167"/>
    </row>
    <row r="15" spans="2:12">
      <c r="D15" s="104">
        <f>D14+1</f>
        <v>5</v>
      </c>
      <c r="E15" s="110">
        <f>-ROUND($C$6,2)</f>
        <v>1603.83</v>
      </c>
      <c r="F15" s="110">
        <f>E15-H15</f>
        <v>876.71999999999991</v>
      </c>
      <c r="G15" s="164">
        <f>VLOOKUP(D15,$K$11:$L$23,2,TRUE)</f>
        <v>4.1250000000000002E-2</v>
      </c>
      <c r="H15" s="110">
        <f>ROUND(I14*G15/12,2)</f>
        <v>727.11</v>
      </c>
      <c r="I15" s="110">
        <f>I14-F15</f>
        <v>210646.33000000002</v>
      </c>
      <c r="K15" s="166"/>
      <c r="L15" s="167"/>
    </row>
    <row r="16" spans="2:12">
      <c r="D16" s="104">
        <f>D15+1</f>
        <v>6</v>
      </c>
      <c r="E16" s="110">
        <f>-ROUND($C$6,2)</f>
        <v>1603.83</v>
      </c>
      <c r="F16" s="110">
        <f>E16-H16</f>
        <v>879.7299999999999</v>
      </c>
      <c r="G16" s="164">
        <f>VLOOKUP(D16,$K$11:$L$23,2,TRUE)</f>
        <v>4.1250000000000002E-2</v>
      </c>
      <c r="H16" s="110">
        <f>ROUND(I15*G16/12,2)</f>
        <v>724.1</v>
      </c>
      <c r="I16" s="110">
        <f>I15-F16</f>
        <v>209766.6</v>
      </c>
      <c r="K16" s="166"/>
      <c r="L16" s="167"/>
    </row>
    <row r="17" spans="4:12">
      <c r="D17" s="104">
        <f>D16+1</f>
        <v>7</v>
      </c>
      <c r="E17" s="110">
        <f>-ROUND($C$6,2)</f>
        <v>1603.83</v>
      </c>
      <c r="F17" s="110">
        <f>E17-H17</f>
        <v>882.75999999999988</v>
      </c>
      <c r="G17" s="164">
        <f>VLOOKUP(D17,$K$11:$L$23,2,TRUE)</f>
        <v>4.1250000000000002E-2</v>
      </c>
      <c r="H17" s="110">
        <f>ROUND(I16*G17/12,2)</f>
        <v>721.07</v>
      </c>
      <c r="I17" s="110">
        <f>I16-F17</f>
        <v>208883.84</v>
      </c>
      <c r="K17" s="166"/>
      <c r="L17" s="167"/>
    </row>
    <row r="18" spans="4:12">
      <c r="D18" s="104">
        <f>D17+1</f>
        <v>8</v>
      </c>
      <c r="E18" s="110">
        <f>-ROUND($C$6,2)</f>
        <v>1603.83</v>
      </c>
      <c r="F18" s="110">
        <f>E18-H18</f>
        <v>885.79</v>
      </c>
      <c r="G18" s="164">
        <f>VLOOKUP(D18,$K$11:$L$23,2,TRUE)</f>
        <v>4.1250000000000002E-2</v>
      </c>
      <c r="H18" s="110">
        <f>ROUND(I17*G18/12,2)</f>
        <v>718.04</v>
      </c>
      <c r="I18" s="110">
        <f>I17-F18</f>
        <v>207998.05</v>
      </c>
      <c r="K18" s="166"/>
      <c r="L18" s="167"/>
    </row>
    <row r="19" spans="4:12">
      <c r="D19" s="104">
        <f>D18+1</f>
        <v>9</v>
      </c>
      <c r="E19" s="110">
        <f>-ROUND($C$6,2)</f>
        <v>1603.83</v>
      </c>
      <c r="F19" s="110">
        <f>E19-H19</f>
        <v>888.83999999999992</v>
      </c>
      <c r="G19" s="164">
        <f>VLOOKUP(D19,$K$11:$L$23,2,TRUE)</f>
        <v>4.1250000000000002E-2</v>
      </c>
      <c r="H19" s="110">
        <f>ROUND(I18*G19/12,2)</f>
        <v>714.99</v>
      </c>
      <c r="I19" s="110">
        <f>I18-F19</f>
        <v>207109.21</v>
      </c>
      <c r="K19" s="166"/>
      <c r="L19" s="167"/>
    </row>
    <row r="20" spans="4:12">
      <c r="D20" s="104">
        <f>D19+1</f>
        <v>10</v>
      </c>
      <c r="E20" s="110">
        <f>-ROUND($C$6,2)</f>
        <v>1603.83</v>
      </c>
      <c r="F20" s="110">
        <f>E20-H20</f>
        <v>935.04</v>
      </c>
      <c r="G20" s="164">
        <f>VLOOKUP(D20,$K$11:$L$23,2,TRUE)</f>
        <v>3.875E-2</v>
      </c>
      <c r="H20" s="110">
        <f>ROUND(I19*G20/12,2)</f>
        <v>668.79</v>
      </c>
      <c r="I20" s="110">
        <f>I19-F20</f>
        <v>206174.16999999998</v>
      </c>
      <c r="K20" s="98"/>
      <c r="L20" s="167"/>
    </row>
    <row r="21" spans="4:12">
      <c r="D21" s="104">
        <f>D20+1</f>
        <v>11</v>
      </c>
      <c r="E21" s="110">
        <f>-ROUND($C$6,2)</f>
        <v>1603.83</v>
      </c>
      <c r="F21" s="110">
        <f>E21-H21</f>
        <v>938.06</v>
      </c>
      <c r="G21" s="164">
        <f>VLOOKUP(D21,$K$11:$L$23,2,TRUE)</f>
        <v>3.875E-2</v>
      </c>
      <c r="H21" s="110">
        <f>ROUND(I20*G21/12,2)</f>
        <v>665.77</v>
      </c>
      <c r="I21" s="110">
        <f>I20-F21</f>
        <v>205236.11</v>
      </c>
      <c r="K21" s="98"/>
      <c r="L21" s="167"/>
    </row>
    <row r="22" spans="4:12">
      <c r="D22" s="104">
        <f>D21+1</f>
        <v>12</v>
      </c>
      <c r="E22" s="110">
        <f>-ROUND($C$6,2)</f>
        <v>1603.83</v>
      </c>
      <c r="F22" s="110">
        <f>E22-H22</f>
        <v>941.08999999999992</v>
      </c>
      <c r="G22" s="164">
        <f>VLOOKUP(D22,$K$11:$L$23,2,TRUE)</f>
        <v>3.875E-2</v>
      </c>
      <c r="H22" s="110">
        <f>ROUND(I21*G22/12,2)</f>
        <v>662.74</v>
      </c>
      <c r="I22" s="110">
        <f>I21-F22</f>
        <v>204295.02</v>
      </c>
      <c r="K22" s="98"/>
      <c r="L22" s="167"/>
    </row>
    <row r="23" spans="4:12">
      <c r="D23" s="104">
        <f>D22+1</f>
        <v>13</v>
      </c>
      <c r="E23" s="110">
        <f>-ROUND($C$6,2)</f>
        <v>1603.83</v>
      </c>
      <c r="F23" s="110">
        <f>E23-H23</f>
        <v>944.12999999999988</v>
      </c>
      <c r="G23" s="164">
        <f>VLOOKUP(D23,$K$11:$L$23,2,TRUE)</f>
        <v>3.875E-2</v>
      </c>
      <c r="H23" s="110">
        <f>ROUND(I22*G23/12,2)</f>
        <v>659.7</v>
      </c>
      <c r="I23" s="110">
        <f>I22-F23</f>
        <v>203350.88999999998</v>
      </c>
      <c r="K23" s="98"/>
      <c r="L23" s="98"/>
    </row>
    <row r="24" spans="4:12">
      <c r="D24" s="104">
        <f>D23+1</f>
        <v>14</v>
      </c>
      <c r="E24" s="110">
        <f>-ROUND($C$6,2)</f>
        <v>1603.83</v>
      </c>
      <c r="F24" s="110">
        <f>E24-H24</f>
        <v>947.18</v>
      </c>
      <c r="G24" s="164">
        <f>VLOOKUP(D24,$K$11:$L$23,2,TRUE)</f>
        <v>3.875E-2</v>
      </c>
      <c r="H24" s="110">
        <f>ROUND(I23*G24/12,2)</f>
        <v>656.65</v>
      </c>
      <c r="I24" s="110">
        <f>I23-F24</f>
        <v>202403.71</v>
      </c>
    </row>
    <row r="25" spans="4:12">
      <c r="D25" s="104">
        <f>D24+1</f>
        <v>15</v>
      </c>
      <c r="E25" s="110">
        <f>-ROUND($C$6,2)</f>
        <v>1603.83</v>
      </c>
      <c r="F25" s="110">
        <f>E25-H25</f>
        <v>950.2299999999999</v>
      </c>
      <c r="G25" s="164">
        <f>VLOOKUP(D25,$K$11:$L$23,2,TRUE)</f>
        <v>3.875E-2</v>
      </c>
      <c r="H25" s="110">
        <f>ROUND(I24*G25/12,2)</f>
        <v>653.6</v>
      </c>
      <c r="I25" s="110">
        <f>I24-F25</f>
        <v>201453.47999999998</v>
      </c>
    </row>
    <row r="26" spans="4:12">
      <c r="D26" s="104">
        <f>D25+1</f>
        <v>16</v>
      </c>
      <c r="E26" s="110">
        <f>-ROUND($C$6,2)</f>
        <v>1603.83</v>
      </c>
      <c r="F26" s="110">
        <f>E26-H26</f>
        <v>953.3</v>
      </c>
      <c r="G26" s="164">
        <f>VLOOKUP(D26,$K$11:$L$23,2,TRUE)</f>
        <v>3.875E-2</v>
      </c>
      <c r="H26" s="110">
        <f>ROUND(I25*G26/12,2)</f>
        <v>650.53</v>
      </c>
      <c r="I26" s="110">
        <f>I25-F26</f>
        <v>200500.18</v>
      </c>
    </row>
    <row r="27" spans="4:12">
      <c r="D27" s="104">
        <f>D26+1</f>
        <v>17</v>
      </c>
      <c r="E27" s="110">
        <f>-ROUND($C$6,2)</f>
        <v>1603.83</v>
      </c>
      <c r="F27" s="110">
        <f>E27-H27</f>
        <v>956.37999999999988</v>
      </c>
      <c r="G27" s="164">
        <f>VLOOKUP(D27,$K$11:$L$23,2,TRUE)</f>
        <v>3.875E-2</v>
      </c>
      <c r="H27" s="110">
        <f>ROUND(I26*G27/12,2)</f>
        <v>647.45000000000005</v>
      </c>
      <c r="I27" s="110">
        <f>I26-F27</f>
        <v>199543.8</v>
      </c>
    </row>
    <row r="28" spans="4:12">
      <c r="D28" s="104">
        <f>D27+1</f>
        <v>18</v>
      </c>
      <c r="E28" s="110">
        <f>-ROUND($C$6,2)</f>
        <v>1603.83</v>
      </c>
      <c r="F28" s="110">
        <f>E28-H28</f>
        <v>959.46999999999991</v>
      </c>
      <c r="G28" s="164">
        <f>VLOOKUP(D28,$K$11:$L$23,2,TRUE)</f>
        <v>3.875E-2</v>
      </c>
      <c r="H28" s="110">
        <f>ROUND(I27*G28/12,2)</f>
        <v>644.36</v>
      </c>
      <c r="I28" s="110">
        <f>I27-F28</f>
        <v>198584.33</v>
      </c>
    </row>
    <row r="29" spans="4:12">
      <c r="D29" s="104">
        <f>D28+1</f>
        <v>19</v>
      </c>
      <c r="E29" s="110">
        <f>-ROUND($C$6,2)</f>
        <v>1603.83</v>
      </c>
      <c r="F29" s="110">
        <f>E29-H29</f>
        <v>962.56999999999994</v>
      </c>
      <c r="G29" s="164">
        <f>VLOOKUP(D29,$K$11:$L$23,2,TRUE)</f>
        <v>3.875E-2</v>
      </c>
      <c r="H29" s="110">
        <f>ROUND(I28*G29/12,2)</f>
        <v>641.26</v>
      </c>
      <c r="I29" s="110">
        <f>I28-F29</f>
        <v>197621.75999999998</v>
      </c>
    </row>
    <row r="30" spans="4:12">
      <c r="D30" s="104">
        <f>D29+1</f>
        <v>20</v>
      </c>
      <c r="E30" s="110">
        <f>-ROUND($C$6,2)</f>
        <v>1603.83</v>
      </c>
      <c r="F30" s="110">
        <f>E30-H30</f>
        <v>965.68</v>
      </c>
      <c r="G30" s="164">
        <f>VLOOKUP(D30,$K$11:$L$23,2,TRUE)</f>
        <v>3.875E-2</v>
      </c>
      <c r="H30" s="110">
        <f>ROUND(I29*G30/12,2)</f>
        <v>638.15</v>
      </c>
      <c r="I30" s="110">
        <f>I29-F30</f>
        <v>196656.08</v>
      </c>
    </row>
    <row r="31" spans="4:12">
      <c r="D31" s="104">
        <f>D30+1</f>
        <v>21</v>
      </c>
      <c r="E31" s="110">
        <f>-ROUND($C$6,2)</f>
        <v>1603.83</v>
      </c>
      <c r="F31" s="110">
        <f>E31-H31</f>
        <v>968.79</v>
      </c>
      <c r="G31" s="164">
        <f>VLOOKUP(D31,$K$11:$L$23,2,TRUE)</f>
        <v>3.875E-2</v>
      </c>
      <c r="H31" s="110">
        <f>ROUND(I30*G31/12,2)</f>
        <v>635.04</v>
      </c>
      <c r="I31" s="110">
        <f>I30-F31</f>
        <v>195687.28999999998</v>
      </c>
    </row>
    <row r="32" spans="4:12">
      <c r="D32" s="104">
        <f>D31+1</f>
        <v>22</v>
      </c>
      <c r="E32" s="110">
        <f>-ROUND($C$6,2)</f>
        <v>1603.83</v>
      </c>
      <c r="F32" s="110">
        <f>E32-H32</f>
        <v>971.92</v>
      </c>
      <c r="G32" s="164">
        <f>VLOOKUP(D32,$K$11:$L$23,2,TRUE)</f>
        <v>3.875E-2</v>
      </c>
      <c r="H32" s="110">
        <f>ROUND(I31*G32/12,2)</f>
        <v>631.91</v>
      </c>
      <c r="I32" s="110">
        <f>I31-F32</f>
        <v>194715.36999999997</v>
      </c>
    </row>
    <row r="33" spans="4:9">
      <c r="D33" s="104">
        <f>D32+1</f>
        <v>23</v>
      </c>
      <c r="E33" s="110">
        <f>-ROUND($C$6,2)</f>
        <v>1603.83</v>
      </c>
      <c r="F33" s="110">
        <f>E33-H33</f>
        <v>975.06</v>
      </c>
      <c r="G33" s="164">
        <f>VLOOKUP(D33,$K$11:$L$23,2,TRUE)</f>
        <v>3.875E-2</v>
      </c>
      <c r="H33" s="110">
        <f>ROUND(I32*G33/12,2)</f>
        <v>628.77</v>
      </c>
      <c r="I33" s="110">
        <f>I32-F33</f>
        <v>193740.30999999997</v>
      </c>
    </row>
    <row r="34" spans="4:9">
      <c r="D34" s="104">
        <f>D33+1</f>
        <v>24</v>
      </c>
      <c r="E34" s="110">
        <f>-ROUND($C$6,2)</f>
        <v>1603.83</v>
      </c>
      <c r="F34" s="110">
        <f>E34-H34</f>
        <v>978.20999999999992</v>
      </c>
      <c r="G34" s="164">
        <f>VLOOKUP(D34,$K$11:$L$23,2,TRUE)</f>
        <v>3.875E-2</v>
      </c>
      <c r="H34" s="110">
        <f>ROUND(I33*G34/12,2)</f>
        <v>625.62</v>
      </c>
      <c r="I34" s="110">
        <f>I33-F34</f>
        <v>192762.09999999998</v>
      </c>
    </row>
    <row r="35" spans="4:9">
      <c r="D35" s="104">
        <f>D34+1</f>
        <v>25</v>
      </c>
      <c r="E35" s="110">
        <f>-ROUND($C$6,2)</f>
        <v>1603.83</v>
      </c>
      <c r="F35" s="110">
        <f>E35-H35</f>
        <v>981.36999999999989</v>
      </c>
      <c r="G35" s="164">
        <f>VLOOKUP(D35,$K$11:$L$23,2,TRUE)</f>
        <v>3.875E-2</v>
      </c>
      <c r="H35" s="110">
        <f>ROUND(I34*G35/12,2)</f>
        <v>622.46</v>
      </c>
      <c r="I35" s="110">
        <f>I34-F35</f>
        <v>191780.72999999998</v>
      </c>
    </row>
    <row r="36" spans="4:9">
      <c r="D36" s="104">
        <f>D35+1</f>
        <v>26</v>
      </c>
      <c r="E36" s="110">
        <f>-ROUND($C$6,2)</f>
        <v>1603.83</v>
      </c>
      <c r="F36" s="110">
        <f>E36-H36</f>
        <v>984.54</v>
      </c>
      <c r="G36" s="164">
        <f>VLOOKUP(D36,$K$11:$L$23,2,TRUE)</f>
        <v>3.875E-2</v>
      </c>
      <c r="H36" s="110">
        <f>ROUND(I35*G36/12,2)</f>
        <v>619.29</v>
      </c>
      <c r="I36" s="110">
        <f>I35-F36</f>
        <v>190796.18999999997</v>
      </c>
    </row>
    <row r="37" spans="4:9">
      <c r="D37" s="104">
        <f>D36+1</f>
        <v>27</v>
      </c>
      <c r="E37" s="110">
        <f>-ROUND($C$6,2)</f>
        <v>1603.83</v>
      </c>
      <c r="F37" s="110">
        <f>E37-H37</f>
        <v>987.71999999999991</v>
      </c>
      <c r="G37" s="164">
        <f>VLOOKUP(D37,$K$11:$L$23,2,TRUE)</f>
        <v>3.875E-2</v>
      </c>
      <c r="H37" s="110">
        <f>ROUND(I36*G37/12,2)</f>
        <v>616.11</v>
      </c>
      <c r="I37" s="110">
        <f>I36-F37</f>
        <v>189808.46999999997</v>
      </c>
    </row>
    <row r="38" spans="4:9">
      <c r="D38" s="104">
        <f>D37+1</f>
        <v>28</v>
      </c>
      <c r="E38" s="110">
        <f>-ROUND($C$6,2)</f>
        <v>1603.83</v>
      </c>
      <c r="F38" s="110">
        <f>E38-H38</f>
        <v>990.91</v>
      </c>
      <c r="G38" s="164">
        <f>VLOOKUP(D38,$K$11:$L$23,2,TRUE)</f>
        <v>3.875E-2</v>
      </c>
      <c r="H38" s="110">
        <f>ROUND(I37*G38/12,2)</f>
        <v>612.91999999999996</v>
      </c>
      <c r="I38" s="110">
        <f>I37-F38</f>
        <v>188817.55999999997</v>
      </c>
    </row>
    <row r="39" spans="4:9">
      <c r="D39" s="104">
        <f>D38+1</f>
        <v>29</v>
      </c>
      <c r="E39" s="110">
        <f>-ROUND($C$6,2)</f>
        <v>1603.83</v>
      </c>
      <c r="F39" s="110">
        <f>E39-H39</f>
        <v>994.1099999999999</v>
      </c>
      <c r="G39" s="164">
        <f>VLOOKUP(D39,$K$11:$L$23,2,TRUE)</f>
        <v>3.875E-2</v>
      </c>
      <c r="H39" s="110">
        <f>ROUND(I38*G39/12,2)</f>
        <v>609.72</v>
      </c>
      <c r="I39" s="110">
        <f>I38-F39</f>
        <v>187823.44999999998</v>
      </c>
    </row>
    <row r="40" spans="4:9">
      <c r="D40" s="104">
        <f>D39+1</f>
        <v>30</v>
      </c>
      <c r="E40" s="110">
        <f>-ROUND($C$6,2)</f>
        <v>1603.83</v>
      </c>
      <c r="F40" s="110">
        <f>E40-H40</f>
        <v>997.31999999999994</v>
      </c>
      <c r="G40" s="164">
        <f>VLOOKUP(D40,$K$11:$L$23,2,TRUE)</f>
        <v>3.875E-2</v>
      </c>
      <c r="H40" s="110">
        <f>ROUND(I39*G40/12,2)</f>
        <v>606.51</v>
      </c>
      <c r="I40" s="110">
        <f>I39-F40</f>
        <v>186826.12999999998</v>
      </c>
    </row>
    <row r="41" spans="4:9">
      <c r="D41" s="104">
        <f>D40+1</f>
        <v>31</v>
      </c>
      <c r="E41" s="110">
        <f>-ROUND($C$6,2)</f>
        <v>1603.83</v>
      </c>
      <c r="F41" s="110">
        <f>E41-H41</f>
        <v>1000.54</v>
      </c>
      <c r="G41" s="164">
        <f>VLOOKUP(D41,$K$11:$L$23,2,TRUE)</f>
        <v>3.875E-2</v>
      </c>
      <c r="H41" s="110">
        <f>ROUND(I40*G41/12,2)</f>
        <v>603.29</v>
      </c>
      <c r="I41" s="110">
        <f>I40-F41</f>
        <v>185825.58999999997</v>
      </c>
    </row>
    <row r="42" spans="4:9">
      <c r="D42" s="104">
        <f>D41+1</f>
        <v>32</v>
      </c>
      <c r="E42" s="110">
        <f>-ROUND($C$6,2)</f>
        <v>1603.83</v>
      </c>
      <c r="F42" s="110">
        <f>E42-H42</f>
        <v>1003.77</v>
      </c>
      <c r="G42" s="164">
        <f>VLOOKUP(D42,$K$11:$L$23,2,TRUE)</f>
        <v>3.875E-2</v>
      </c>
      <c r="H42" s="110">
        <f>ROUND(I41*G42/12,2)</f>
        <v>600.05999999999995</v>
      </c>
      <c r="I42" s="110">
        <f>I41-F42</f>
        <v>184821.81999999998</v>
      </c>
    </row>
    <row r="43" spans="4:9">
      <c r="D43" s="104">
        <f>D42+1</f>
        <v>33</v>
      </c>
      <c r="E43" s="110">
        <f>-ROUND($C$6,2)</f>
        <v>1603.83</v>
      </c>
      <c r="F43" s="110">
        <f>E43-H43</f>
        <v>1007.0099999999999</v>
      </c>
      <c r="G43" s="164">
        <f>VLOOKUP(D43,$K$11:$L$23,2,TRUE)</f>
        <v>3.875E-2</v>
      </c>
      <c r="H43" s="110">
        <f>ROUND(I42*G43/12,2)</f>
        <v>596.82000000000005</v>
      </c>
      <c r="I43" s="110">
        <f>I42-F43</f>
        <v>183814.80999999997</v>
      </c>
    </row>
    <row r="44" spans="4:9">
      <c r="D44" s="104">
        <f>D43+1</f>
        <v>34</v>
      </c>
      <c r="E44" s="110">
        <f>-ROUND($C$6,2)</f>
        <v>1603.83</v>
      </c>
      <c r="F44" s="110">
        <f>E44-H44</f>
        <v>1010.2599999999999</v>
      </c>
      <c r="G44" s="164">
        <f>VLOOKUP(D44,$K$11:$L$23,2,TRUE)</f>
        <v>3.875E-2</v>
      </c>
      <c r="H44" s="110">
        <f>ROUND(I43*G44/12,2)</f>
        <v>593.57000000000005</v>
      </c>
      <c r="I44" s="110">
        <f>I43-F44</f>
        <v>182804.54999999996</v>
      </c>
    </row>
    <row r="45" spans="4:9">
      <c r="D45" s="104">
        <f>D44+1</f>
        <v>35</v>
      </c>
      <c r="E45" s="110">
        <f>-ROUND($C$6,2)</f>
        <v>1603.83</v>
      </c>
      <c r="F45" s="110">
        <f>E45-H45</f>
        <v>1013.52</v>
      </c>
      <c r="G45" s="164">
        <f>VLOOKUP(D45,$K$11:$L$23,2,TRUE)</f>
        <v>3.875E-2</v>
      </c>
      <c r="H45" s="110">
        <f>ROUND(I44*G45/12,2)</f>
        <v>590.30999999999995</v>
      </c>
      <c r="I45" s="110">
        <f>I44-F45</f>
        <v>181791.02999999997</v>
      </c>
    </row>
    <row r="46" spans="4:9">
      <c r="D46" s="104">
        <f>D45+1</f>
        <v>36</v>
      </c>
      <c r="E46" s="110">
        <f>-ROUND($C$6,2)</f>
        <v>1603.83</v>
      </c>
      <c r="F46" s="110">
        <f>E46-H46</f>
        <v>1016.8</v>
      </c>
      <c r="G46" s="164">
        <f>VLOOKUP(D46,$K$11:$L$23,2,TRUE)</f>
        <v>3.875E-2</v>
      </c>
      <c r="H46" s="110">
        <f>ROUND(I45*G46/12,2)</f>
        <v>587.03</v>
      </c>
      <c r="I46" s="110">
        <f>I45-F46</f>
        <v>180774.22999999998</v>
      </c>
    </row>
    <row r="47" spans="4:9">
      <c r="D47" s="104">
        <f>D46+1</f>
        <v>37</v>
      </c>
      <c r="E47" s="110">
        <f>-ROUND($C$6,2)</f>
        <v>1603.83</v>
      </c>
      <c r="F47" s="110">
        <f>E47-H47</f>
        <v>1020.0799999999999</v>
      </c>
      <c r="G47" s="164">
        <f>VLOOKUP(D47,$K$11:$L$23,2,TRUE)</f>
        <v>3.875E-2</v>
      </c>
      <c r="H47" s="110">
        <f>ROUND(I46*G47/12,2)</f>
        <v>583.75</v>
      </c>
      <c r="I47" s="110">
        <f>I46-F47</f>
        <v>179754.15</v>
      </c>
    </row>
    <row r="48" spans="4:9">
      <c r="D48" s="104">
        <f>D47+1</f>
        <v>38</v>
      </c>
      <c r="E48" s="110">
        <f>-ROUND($C$6,2)</f>
        <v>1603.83</v>
      </c>
      <c r="F48" s="110">
        <f>E48-H48</f>
        <v>1023.3699999999999</v>
      </c>
      <c r="G48" s="164">
        <f>VLOOKUP(D48,$K$11:$L$23,2,TRUE)</f>
        <v>3.875E-2</v>
      </c>
      <c r="H48" s="110">
        <f>ROUND(I47*G48/12,2)</f>
        <v>580.46</v>
      </c>
      <c r="I48" s="110">
        <f>I47-F48</f>
        <v>178730.78</v>
      </c>
    </row>
    <row r="49" spans="4:9">
      <c r="D49" s="104">
        <f>D48+1</f>
        <v>39</v>
      </c>
      <c r="E49" s="110">
        <f>-ROUND($C$6,2)</f>
        <v>1603.83</v>
      </c>
      <c r="F49" s="110">
        <f>E49-H49</f>
        <v>1026.6799999999998</v>
      </c>
      <c r="G49" s="164">
        <f>VLOOKUP(D49,$K$11:$L$23,2,TRUE)</f>
        <v>3.875E-2</v>
      </c>
      <c r="H49" s="110">
        <f>ROUND(I48*G49/12,2)</f>
        <v>577.15</v>
      </c>
      <c r="I49" s="110">
        <f>I48-F49</f>
        <v>177704.1</v>
      </c>
    </row>
    <row r="50" spans="4:9">
      <c r="D50" s="104">
        <f>D49+1</f>
        <v>40</v>
      </c>
      <c r="E50" s="110">
        <f>-ROUND($C$6,2)</f>
        <v>1603.83</v>
      </c>
      <c r="F50" s="110">
        <f>E50-H50</f>
        <v>1029.9899999999998</v>
      </c>
      <c r="G50" s="164">
        <f>VLOOKUP(D50,$K$11:$L$23,2,TRUE)</f>
        <v>3.875E-2</v>
      </c>
      <c r="H50" s="110">
        <f>ROUND(I49*G50/12,2)</f>
        <v>573.84</v>
      </c>
      <c r="I50" s="110">
        <f>I49-F50</f>
        <v>176674.11000000002</v>
      </c>
    </row>
    <row r="51" spans="4:9">
      <c r="D51" s="104">
        <f>D50+1</f>
        <v>41</v>
      </c>
      <c r="E51" s="110">
        <f>-ROUND($C$6,2)</f>
        <v>1603.83</v>
      </c>
      <c r="F51" s="110">
        <f>E51-H51</f>
        <v>1033.32</v>
      </c>
      <c r="G51" s="164">
        <f>VLOOKUP(D51,$K$11:$L$23,2,TRUE)</f>
        <v>3.875E-2</v>
      </c>
      <c r="H51" s="110">
        <f>ROUND(I50*G51/12,2)</f>
        <v>570.51</v>
      </c>
      <c r="I51" s="110">
        <f>I50-F51</f>
        <v>175640.79</v>
      </c>
    </row>
    <row r="52" spans="4:9">
      <c r="D52" s="104">
        <f>D51+1</f>
        <v>42</v>
      </c>
      <c r="E52" s="110">
        <f>-ROUND($C$6,2)</f>
        <v>1603.83</v>
      </c>
      <c r="F52" s="110">
        <f>E52-H52</f>
        <v>1036.6599999999999</v>
      </c>
      <c r="G52" s="164">
        <f>VLOOKUP(D52,$K$11:$L$23,2,TRUE)</f>
        <v>3.875E-2</v>
      </c>
      <c r="H52" s="110">
        <f>ROUND(I51*G52/12,2)</f>
        <v>567.16999999999996</v>
      </c>
      <c r="I52" s="110">
        <f>I51-F52</f>
        <v>174604.13</v>
      </c>
    </row>
    <row r="53" spans="4:9">
      <c r="D53" s="104">
        <f>D52+1</f>
        <v>43</v>
      </c>
      <c r="E53" s="110">
        <f>-ROUND($C$6,2)</f>
        <v>1603.83</v>
      </c>
      <c r="F53" s="110">
        <f>E53-H53</f>
        <v>1040</v>
      </c>
      <c r="G53" s="164">
        <f>VLOOKUP(D53,$K$11:$L$23,2,TRUE)</f>
        <v>3.875E-2</v>
      </c>
      <c r="H53" s="110">
        <f>ROUND(I52*G53/12,2)</f>
        <v>563.83000000000004</v>
      </c>
      <c r="I53" s="110">
        <f>I52-F53</f>
        <v>173564.13</v>
      </c>
    </row>
    <row r="54" spans="4:9">
      <c r="D54" s="104">
        <f>D53+1</f>
        <v>44</v>
      </c>
      <c r="E54" s="110">
        <f>-ROUND($C$6,2)</f>
        <v>1603.83</v>
      </c>
      <c r="F54" s="110">
        <f>E54-H54</f>
        <v>1043.3599999999999</v>
      </c>
      <c r="G54" s="164">
        <f>VLOOKUP(D54,$K$11:$L$23,2,TRUE)</f>
        <v>3.875E-2</v>
      </c>
      <c r="H54" s="110">
        <f>ROUND(I53*G54/12,2)</f>
        <v>560.47</v>
      </c>
      <c r="I54" s="110">
        <f>I53-F54</f>
        <v>172520.77000000002</v>
      </c>
    </row>
    <row r="55" spans="4:9">
      <c r="D55" s="104">
        <f>D54+1</f>
        <v>45</v>
      </c>
      <c r="E55" s="110">
        <f>-ROUND($C$6,2)</f>
        <v>1603.83</v>
      </c>
      <c r="F55" s="110">
        <f>E55-H55</f>
        <v>1046.73</v>
      </c>
      <c r="G55" s="164">
        <f>VLOOKUP(D55,$K$11:$L$23,2,TRUE)</f>
        <v>3.875E-2</v>
      </c>
      <c r="H55" s="110">
        <f>ROUND(I54*G55/12,2)</f>
        <v>557.1</v>
      </c>
      <c r="I55" s="110">
        <f>I54-F55</f>
        <v>171474.04</v>
      </c>
    </row>
    <row r="56" spans="4:9">
      <c r="D56" s="104">
        <f>D55+1</f>
        <v>46</v>
      </c>
      <c r="E56" s="110">
        <f>-ROUND($C$6,2)</f>
        <v>1603.83</v>
      </c>
      <c r="F56" s="110">
        <f>E56-H56</f>
        <v>1050.1099999999999</v>
      </c>
      <c r="G56" s="164">
        <f>VLOOKUP(D56,$K$11:$L$23,2,TRUE)</f>
        <v>3.875E-2</v>
      </c>
      <c r="H56" s="110">
        <f>ROUND(I55*G56/12,2)</f>
        <v>553.72</v>
      </c>
      <c r="I56" s="110">
        <f>I55-F56</f>
        <v>170423.93000000002</v>
      </c>
    </row>
    <row r="57" spans="4:9">
      <c r="D57" s="104">
        <f>D56+1</f>
        <v>47</v>
      </c>
      <c r="E57" s="110">
        <f>-ROUND($C$6,2)</f>
        <v>1603.83</v>
      </c>
      <c r="F57" s="110">
        <f>E57-H57</f>
        <v>1053.5</v>
      </c>
      <c r="G57" s="164">
        <f>VLOOKUP(D57,$K$11:$L$23,2,TRUE)</f>
        <v>3.875E-2</v>
      </c>
      <c r="H57" s="110">
        <f>ROUND(I56*G57/12,2)</f>
        <v>550.33000000000004</v>
      </c>
      <c r="I57" s="110">
        <f>I56-F57</f>
        <v>169370.43000000002</v>
      </c>
    </row>
    <row r="58" spans="4:9">
      <c r="D58" s="104">
        <f>D57+1</f>
        <v>48</v>
      </c>
      <c r="E58" s="110">
        <f>-ROUND($C$6,2)</f>
        <v>1603.83</v>
      </c>
      <c r="F58" s="110">
        <f>E58-H58</f>
        <v>1056.9000000000001</v>
      </c>
      <c r="G58" s="164">
        <f>VLOOKUP(D58,$K$11:$L$23,2,TRUE)</f>
        <v>3.875E-2</v>
      </c>
      <c r="H58" s="110">
        <f>ROUND(I57*G58/12,2)</f>
        <v>546.92999999999995</v>
      </c>
      <c r="I58" s="110">
        <f>I57-F58</f>
        <v>168313.53000000003</v>
      </c>
    </row>
    <row r="59" spans="4:9">
      <c r="D59" s="104">
        <f>D58+1</f>
        <v>49</v>
      </c>
      <c r="E59" s="110">
        <f>-ROUND($C$6,2)</f>
        <v>1603.83</v>
      </c>
      <c r="F59" s="110">
        <f>E59-H59</f>
        <v>1060.32</v>
      </c>
      <c r="G59" s="164">
        <f>VLOOKUP(D59,$K$11:$L$23,2,TRUE)</f>
        <v>3.875E-2</v>
      </c>
      <c r="H59" s="110">
        <f>ROUND(I58*G59/12,2)</f>
        <v>543.51</v>
      </c>
      <c r="I59" s="110">
        <f>I58-F59</f>
        <v>167253.21000000002</v>
      </c>
    </row>
    <row r="60" spans="4:9">
      <c r="D60" s="104">
        <f>D59+1</f>
        <v>50</v>
      </c>
      <c r="E60" s="110">
        <f>-ROUND($C$6,2)</f>
        <v>1603.83</v>
      </c>
      <c r="F60" s="110">
        <f>E60-H60</f>
        <v>1063.7399999999998</v>
      </c>
      <c r="G60" s="164">
        <f>VLOOKUP(D60,$K$11:$L$23,2,TRUE)</f>
        <v>3.875E-2</v>
      </c>
      <c r="H60" s="110">
        <f>ROUND(I59*G60/12,2)</f>
        <v>540.09</v>
      </c>
      <c r="I60" s="110">
        <f>I59-F60</f>
        <v>166189.47000000003</v>
      </c>
    </row>
    <row r="61" spans="4:9">
      <c r="D61" s="104">
        <f>D60+1</f>
        <v>51</v>
      </c>
      <c r="E61" s="110">
        <f>-ROUND($C$6,2)</f>
        <v>1603.83</v>
      </c>
      <c r="F61" s="110">
        <f>E61-H61</f>
        <v>1067.1799999999998</v>
      </c>
      <c r="G61" s="164">
        <f>VLOOKUP(D61,$K$11:$L$23,2,TRUE)</f>
        <v>3.875E-2</v>
      </c>
      <c r="H61" s="110">
        <f>ROUND(I60*G61/12,2)</f>
        <v>536.65</v>
      </c>
      <c r="I61" s="110">
        <f>I60-F61</f>
        <v>165122.29000000004</v>
      </c>
    </row>
    <row r="62" spans="4:9">
      <c r="D62" s="104">
        <f>D61+1</f>
        <v>52</v>
      </c>
      <c r="E62" s="110">
        <f>-ROUND($C$6,2)</f>
        <v>1603.83</v>
      </c>
      <c r="F62" s="110">
        <f>E62-H62</f>
        <v>1070.6199999999999</v>
      </c>
      <c r="G62" s="164">
        <f>VLOOKUP(D62,$K$11:$L$23,2,TRUE)</f>
        <v>3.875E-2</v>
      </c>
      <c r="H62" s="110">
        <f>ROUND(I61*G62/12,2)</f>
        <v>533.21</v>
      </c>
      <c r="I62" s="110">
        <f>I61-F62</f>
        <v>164051.67000000004</v>
      </c>
    </row>
    <row r="63" spans="4:9">
      <c r="D63" s="104">
        <f>D62+1</f>
        <v>53</v>
      </c>
      <c r="E63" s="110">
        <f>-ROUND($C$6,2)</f>
        <v>1603.83</v>
      </c>
      <c r="F63" s="110">
        <f>E63-H63</f>
        <v>1074.08</v>
      </c>
      <c r="G63" s="164">
        <f>VLOOKUP(D63,$K$11:$L$23,2,TRUE)</f>
        <v>3.875E-2</v>
      </c>
      <c r="H63" s="110">
        <f>ROUND(I62*G63/12,2)</f>
        <v>529.75</v>
      </c>
      <c r="I63" s="110">
        <f>I62-F63</f>
        <v>162977.59000000005</v>
      </c>
    </row>
    <row r="64" spans="4:9">
      <c r="D64" s="104">
        <f>D63+1</f>
        <v>54</v>
      </c>
      <c r="E64" s="110">
        <f>-ROUND($C$6,2)</f>
        <v>1603.83</v>
      </c>
      <c r="F64" s="110">
        <f>E64-H64</f>
        <v>1077.55</v>
      </c>
      <c r="G64" s="164">
        <f>VLOOKUP(D64,$K$11:$L$23,2,TRUE)</f>
        <v>3.875E-2</v>
      </c>
      <c r="H64" s="110">
        <f>ROUND(I63*G64/12,2)</f>
        <v>526.28</v>
      </c>
      <c r="I64" s="110">
        <f>I63-F64</f>
        <v>161900.04000000007</v>
      </c>
    </row>
    <row r="65" spans="4:9">
      <c r="D65" s="104">
        <f>D64+1</f>
        <v>55</v>
      </c>
      <c r="E65" s="110">
        <f>-ROUND($C$6,2)</f>
        <v>1603.83</v>
      </c>
      <c r="F65" s="110">
        <f>E65-H65</f>
        <v>1081.03</v>
      </c>
      <c r="G65" s="164">
        <f>VLOOKUP(D65,$K$11:$L$23,2,TRUE)</f>
        <v>3.875E-2</v>
      </c>
      <c r="H65" s="110">
        <f>ROUND(I64*G65/12,2)</f>
        <v>522.79999999999995</v>
      </c>
      <c r="I65" s="110">
        <f>I64-F65</f>
        <v>160819.01000000007</v>
      </c>
    </row>
    <row r="66" spans="4:9">
      <c r="D66" s="104">
        <f>D65+1</f>
        <v>56</v>
      </c>
      <c r="E66" s="110">
        <f>-ROUND($C$6,2)</f>
        <v>1603.83</v>
      </c>
      <c r="F66" s="110">
        <f>E66-H66</f>
        <v>1084.52</v>
      </c>
      <c r="G66" s="164">
        <f>VLOOKUP(D66,$K$11:$L$23,2,TRUE)</f>
        <v>3.875E-2</v>
      </c>
      <c r="H66" s="110">
        <f>ROUND(I65*G66/12,2)</f>
        <v>519.30999999999995</v>
      </c>
      <c r="I66" s="110">
        <f>I65-F66</f>
        <v>159734.49000000008</v>
      </c>
    </row>
    <row r="67" spans="4:9">
      <c r="D67" s="104">
        <f>D66+1</f>
        <v>57</v>
      </c>
      <c r="E67" s="110">
        <f>-ROUND($C$6,2)</f>
        <v>1603.83</v>
      </c>
      <c r="F67" s="110">
        <f>E67-H67</f>
        <v>1088.02</v>
      </c>
      <c r="G67" s="164">
        <f>VLOOKUP(D67,$K$11:$L$23,2,TRUE)</f>
        <v>3.875E-2</v>
      </c>
      <c r="H67" s="110">
        <f>ROUND(I66*G67/12,2)</f>
        <v>515.80999999999995</v>
      </c>
      <c r="I67" s="110">
        <f>I66-F67</f>
        <v>158646.47000000009</v>
      </c>
    </row>
    <row r="68" spans="4:9">
      <c r="D68" s="104">
        <f>D67+1</f>
        <v>58</v>
      </c>
      <c r="E68" s="110">
        <f>-ROUND($C$6,2)</f>
        <v>1603.83</v>
      </c>
      <c r="F68" s="110">
        <f>E68-H68</f>
        <v>1091.53</v>
      </c>
      <c r="G68" s="164">
        <f>VLOOKUP(D68,$K$11:$L$23,2,TRUE)</f>
        <v>3.875E-2</v>
      </c>
      <c r="H68" s="110">
        <f>ROUND(I67*G68/12,2)</f>
        <v>512.29999999999995</v>
      </c>
      <c r="I68" s="110">
        <f>I67-F68</f>
        <v>157554.94000000009</v>
      </c>
    </row>
    <row r="69" spans="4:9">
      <c r="D69" s="104">
        <f>D68+1</f>
        <v>59</v>
      </c>
      <c r="E69" s="110">
        <f>-ROUND($C$6,2)</f>
        <v>1603.83</v>
      </c>
      <c r="F69" s="110">
        <f>E69-H69</f>
        <v>1095.06</v>
      </c>
      <c r="G69" s="164">
        <f>VLOOKUP(D69,$K$11:$L$23,2,TRUE)</f>
        <v>3.875E-2</v>
      </c>
      <c r="H69" s="110">
        <f>ROUND(I68*G69/12,2)</f>
        <v>508.77</v>
      </c>
      <c r="I69" s="110">
        <f>I68-F69</f>
        <v>156459.88000000009</v>
      </c>
    </row>
    <row r="70" spans="4:9">
      <c r="D70" s="104">
        <f>D69+1</f>
        <v>60</v>
      </c>
      <c r="E70" s="110">
        <f>-ROUND($C$6,2)</f>
        <v>1603.83</v>
      </c>
      <c r="F70" s="110">
        <f>E70-H70</f>
        <v>1098.5899999999999</v>
      </c>
      <c r="G70" s="164">
        <f>VLOOKUP(D70,$K$11:$L$23,2,TRUE)</f>
        <v>3.875E-2</v>
      </c>
      <c r="H70" s="110">
        <f>ROUND(I69*G70/12,2)</f>
        <v>505.24</v>
      </c>
      <c r="I70" s="110">
        <f>I69-F70</f>
        <v>155361.2900000001</v>
      </c>
    </row>
    <row r="71" spans="4:9">
      <c r="D71" s="104">
        <f>D70+1</f>
        <v>61</v>
      </c>
      <c r="E71" s="110">
        <f>-ROUND($C$6,2)</f>
        <v>1603.83</v>
      </c>
      <c r="F71" s="110">
        <f>E71-H71</f>
        <v>1102.1399999999999</v>
      </c>
      <c r="G71" s="164">
        <f>VLOOKUP(D71,$K$11:$L$23,2,TRUE)</f>
        <v>3.875E-2</v>
      </c>
      <c r="H71" s="110">
        <f>ROUND(I70*G71/12,2)</f>
        <v>501.69</v>
      </c>
      <c r="I71" s="110">
        <f>I70-F71</f>
        <v>154259.15000000008</v>
      </c>
    </row>
    <row r="72" spans="4:9">
      <c r="D72" s="104">
        <f>D71+1</f>
        <v>62</v>
      </c>
      <c r="E72" s="110">
        <f>-ROUND($C$6,2)</f>
        <v>1603.83</v>
      </c>
      <c r="F72" s="110">
        <f>E72-H72</f>
        <v>1105.6999999999998</v>
      </c>
      <c r="G72" s="164">
        <f>VLOOKUP(D72,$K$11:$L$23,2,TRUE)</f>
        <v>3.875E-2</v>
      </c>
      <c r="H72" s="110">
        <f>ROUND(I71*G72/12,2)</f>
        <v>498.13</v>
      </c>
      <c r="I72" s="110">
        <f>I71-F72</f>
        <v>153153.45000000007</v>
      </c>
    </row>
    <row r="73" spans="4:9">
      <c r="D73" s="104">
        <f>D72+1</f>
        <v>63</v>
      </c>
      <c r="E73" s="110">
        <f>-ROUND($C$6,2)</f>
        <v>1603.83</v>
      </c>
      <c r="F73" s="110">
        <f>E73-H73</f>
        <v>1109.27</v>
      </c>
      <c r="G73" s="164">
        <f>VLOOKUP(D73,$K$11:$L$23,2,TRUE)</f>
        <v>3.875E-2</v>
      </c>
      <c r="H73" s="110">
        <f>ROUND(I72*G73/12,2)</f>
        <v>494.56</v>
      </c>
      <c r="I73" s="110">
        <f>I72-F73</f>
        <v>152044.18000000008</v>
      </c>
    </row>
    <row r="74" spans="4:9">
      <c r="D74" s="104">
        <f>D73+1</f>
        <v>64</v>
      </c>
      <c r="E74" s="110">
        <f>-ROUND($C$6,2)</f>
        <v>1603.83</v>
      </c>
      <c r="F74" s="110">
        <f>E74-H74</f>
        <v>1112.8499999999999</v>
      </c>
      <c r="G74" s="164">
        <f>VLOOKUP(D74,$K$11:$L$23,2,TRUE)</f>
        <v>3.875E-2</v>
      </c>
      <c r="H74" s="110">
        <f>ROUND(I73*G74/12,2)</f>
        <v>490.98</v>
      </c>
      <c r="I74" s="110">
        <f>I73-F74</f>
        <v>150931.33000000007</v>
      </c>
    </row>
    <row r="75" spans="4:9">
      <c r="D75" s="104">
        <f>D74+1</f>
        <v>65</v>
      </c>
      <c r="E75" s="110">
        <f>-ROUND($C$6,2)</f>
        <v>1603.83</v>
      </c>
      <c r="F75" s="110">
        <f>E75-H75</f>
        <v>1116.4499999999998</v>
      </c>
      <c r="G75" s="164">
        <f>VLOOKUP(D75,$K$11:$L$23,2,TRUE)</f>
        <v>3.875E-2</v>
      </c>
      <c r="H75" s="110">
        <f>ROUND(I74*G75/12,2)</f>
        <v>487.38</v>
      </c>
      <c r="I75" s="110">
        <f>I74-F75</f>
        <v>149814.88000000006</v>
      </c>
    </row>
    <row r="76" spans="4:9">
      <c r="D76" s="104">
        <f>D75+1</f>
        <v>66</v>
      </c>
      <c r="E76" s="110">
        <f>-ROUND($C$6,2)</f>
        <v>1603.83</v>
      </c>
      <c r="F76" s="110">
        <f>E76-H76</f>
        <v>1120.05</v>
      </c>
      <c r="G76" s="164">
        <f>VLOOKUP(D76,$K$11:$L$23,2,TRUE)</f>
        <v>3.875E-2</v>
      </c>
      <c r="H76" s="110">
        <f>ROUND(I75*G76/12,2)</f>
        <v>483.78</v>
      </c>
      <c r="I76" s="110">
        <f>I75-F76</f>
        <v>148694.83000000007</v>
      </c>
    </row>
    <row r="77" spans="4:9">
      <c r="D77" s="104">
        <f>D76+1</f>
        <v>67</v>
      </c>
      <c r="E77" s="110">
        <f>-ROUND($C$6,2)</f>
        <v>1603.83</v>
      </c>
      <c r="F77" s="110">
        <f>E77-H77</f>
        <v>1123.6699999999998</v>
      </c>
      <c r="G77" s="164">
        <f>VLOOKUP(D77,$K$11:$L$23,2,TRUE)</f>
        <v>3.875E-2</v>
      </c>
      <c r="H77" s="110">
        <f>ROUND(I76*G77/12,2)</f>
        <v>480.16</v>
      </c>
      <c r="I77" s="110">
        <f>I76-F77</f>
        <v>147571.16000000006</v>
      </c>
    </row>
    <row r="78" spans="4:9">
      <c r="D78" s="104">
        <f>D77+1</f>
        <v>68</v>
      </c>
      <c r="E78" s="110">
        <f>-ROUND($C$6,2)</f>
        <v>1603.83</v>
      </c>
      <c r="F78" s="110">
        <f>E78-H78</f>
        <v>1127.3</v>
      </c>
      <c r="G78" s="164">
        <f>VLOOKUP(D78,$K$11:$L$23,2,TRUE)</f>
        <v>3.875E-2</v>
      </c>
      <c r="H78" s="110">
        <f>ROUND(I77*G78/12,2)</f>
        <v>476.53</v>
      </c>
      <c r="I78" s="110">
        <f>I77-F78</f>
        <v>146443.86000000007</v>
      </c>
    </row>
    <row r="79" spans="4:9">
      <c r="D79" s="104">
        <f>D78+1</f>
        <v>69</v>
      </c>
      <c r="E79" s="110">
        <f>-ROUND($C$6,2)</f>
        <v>1603.83</v>
      </c>
      <c r="F79" s="110">
        <f>E79-H79</f>
        <v>1130.94</v>
      </c>
      <c r="G79" s="164">
        <f>VLOOKUP(D79,$K$11:$L$23,2,TRUE)</f>
        <v>3.875E-2</v>
      </c>
      <c r="H79" s="110">
        <f>ROUND(I78*G79/12,2)</f>
        <v>472.89</v>
      </c>
      <c r="I79" s="110">
        <f>I78-F79</f>
        <v>145312.92000000007</v>
      </c>
    </row>
    <row r="80" spans="4:9">
      <c r="D80" s="104">
        <f>D79+1</f>
        <v>70</v>
      </c>
      <c r="E80" s="110">
        <f>-ROUND($C$6,2)</f>
        <v>1603.83</v>
      </c>
      <c r="F80" s="110">
        <f>E80-H80</f>
        <v>1134.5899999999999</v>
      </c>
      <c r="G80" s="164">
        <f>VLOOKUP(D80,$K$11:$L$23,2,TRUE)</f>
        <v>3.875E-2</v>
      </c>
      <c r="H80" s="110">
        <f>ROUND(I79*G80/12,2)</f>
        <v>469.24</v>
      </c>
      <c r="I80" s="110">
        <f>I79-F80</f>
        <v>144178.33000000007</v>
      </c>
    </row>
    <row r="81" spans="4:9">
      <c r="D81" s="104">
        <f>D80+1</f>
        <v>71</v>
      </c>
      <c r="E81" s="110">
        <f>-ROUND($C$6,2)</f>
        <v>1603.83</v>
      </c>
      <c r="F81" s="110">
        <f>E81-H81</f>
        <v>1138.25</v>
      </c>
      <c r="G81" s="164">
        <f>VLOOKUP(D81,$K$11:$L$23,2,TRUE)</f>
        <v>3.875E-2</v>
      </c>
      <c r="H81" s="110">
        <f>ROUND(I80*G81/12,2)</f>
        <v>465.58</v>
      </c>
      <c r="I81" s="110">
        <f>I80-F81</f>
        <v>143040.08000000007</v>
      </c>
    </row>
    <row r="82" spans="4:9">
      <c r="D82" s="104">
        <f>D81+1</f>
        <v>72</v>
      </c>
      <c r="E82" s="110">
        <f>-ROUND($C$6,2)</f>
        <v>1603.83</v>
      </c>
      <c r="F82" s="110">
        <f>E82-H82</f>
        <v>1141.9299999999998</v>
      </c>
      <c r="G82" s="164">
        <f>VLOOKUP(D82,$K$11:$L$23,2,TRUE)</f>
        <v>3.875E-2</v>
      </c>
      <c r="H82" s="110">
        <f>ROUND(I81*G82/12,2)</f>
        <v>461.9</v>
      </c>
      <c r="I82" s="110">
        <f>I81-F82</f>
        <v>141898.15000000008</v>
      </c>
    </row>
    <row r="83" spans="4:9">
      <c r="D83" s="104">
        <f>D82+1</f>
        <v>73</v>
      </c>
      <c r="E83" s="110">
        <f>-ROUND($C$6,2)</f>
        <v>1603.83</v>
      </c>
      <c r="F83" s="110">
        <f>E83-H83</f>
        <v>1145.6199999999999</v>
      </c>
      <c r="G83" s="164">
        <f>VLOOKUP(D83,$K$11:$L$23,2,TRUE)</f>
        <v>3.875E-2</v>
      </c>
      <c r="H83" s="110">
        <f>ROUND(I82*G83/12,2)</f>
        <v>458.21</v>
      </c>
      <c r="I83" s="110">
        <f>I82-F83</f>
        <v>140752.53000000009</v>
      </c>
    </row>
    <row r="84" spans="4:9">
      <c r="D84" s="104">
        <f>D83+1</f>
        <v>74</v>
      </c>
      <c r="E84" s="110">
        <f>-ROUND($C$6,2)</f>
        <v>1603.83</v>
      </c>
      <c r="F84" s="110">
        <f>E84-H84</f>
        <v>1149.32</v>
      </c>
      <c r="G84" s="164">
        <f>VLOOKUP(D84,$K$11:$L$23,2,TRUE)</f>
        <v>3.875E-2</v>
      </c>
      <c r="H84" s="110">
        <f>ROUND(I83*G84/12,2)</f>
        <v>454.51</v>
      </c>
      <c r="I84" s="110">
        <f>I83-F84</f>
        <v>139603.21000000008</v>
      </c>
    </row>
    <row r="85" spans="4:9">
      <c r="D85" s="104">
        <f>D84+1</f>
        <v>75</v>
      </c>
      <c r="E85" s="110">
        <f>-ROUND($C$6,2)</f>
        <v>1603.83</v>
      </c>
      <c r="F85" s="110">
        <f>E85-H85</f>
        <v>1153.03</v>
      </c>
      <c r="G85" s="164">
        <f>VLOOKUP(D85,$K$11:$L$23,2,TRUE)</f>
        <v>3.875E-2</v>
      </c>
      <c r="H85" s="110">
        <f>ROUND(I84*G85/12,2)</f>
        <v>450.8</v>
      </c>
      <c r="I85" s="110">
        <f>I84-F85</f>
        <v>138450.18000000008</v>
      </c>
    </row>
    <row r="86" spans="4:9">
      <c r="D86" s="104">
        <f>D85+1</f>
        <v>76</v>
      </c>
      <c r="E86" s="110">
        <f>-ROUND($C$6,2)</f>
        <v>1603.83</v>
      </c>
      <c r="F86" s="110">
        <f>E86-H86</f>
        <v>1156.75</v>
      </c>
      <c r="G86" s="164">
        <f>VLOOKUP(D86,$K$11:$L$23,2,TRUE)</f>
        <v>3.875E-2</v>
      </c>
      <c r="H86" s="110">
        <f>ROUND(I85*G86/12,2)</f>
        <v>447.08</v>
      </c>
      <c r="I86" s="110">
        <f>I85-F86</f>
        <v>137293.43000000008</v>
      </c>
    </row>
    <row r="87" spans="4:9">
      <c r="D87" s="104">
        <f>D86+1</f>
        <v>77</v>
      </c>
      <c r="E87" s="110">
        <f>-ROUND($C$6,2)</f>
        <v>1603.83</v>
      </c>
      <c r="F87" s="110">
        <f>E87-H87</f>
        <v>1160.49</v>
      </c>
      <c r="G87" s="164">
        <f>VLOOKUP(D87,$K$11:$L$23,2,TRUE)</f>
        <v>3.875E-2</v>
      </c>
      <c r="H87" s="110">
        <f>ROUND(I86*G87/12,2)</f>
        <v>443.34</v>
      </c>
      <c r="I87" s="110">
        <f>I86-F87</f>
        <v>136132.94000000009</v>
      </c>
    </row>
    <row r="88" spans="4:9">
      <c r="D88" s="104">
        <f>D87+1</f>
        <v>78</v>
      </c>
      <c r="E88" s="110">
        <f>-ROUND($C$6,2)</f>
        <v>1603.83</v>
      </c>
      <c r="F88" s="110">
        <f>E88-H88</f>
        <v>1164.23</v>
      </c>
      <c r="G88" s="164">
        <f>VLOOKUP(D88,$K$11:$L$23,2,TRUE)</f>
        <v>3.875E-2</v>
      </c>
      <c r="H88" s="110">
        <f>ROUND(I87*G88/12,2)</f>
        <v>439.6</v>
      </c>
      <c r="I88" s="110">
        <f>I87-F88</f>
        <v>134968.71000000008</v>
      </c>
    </row>
    <row r="89" spans="4:9">
      <c r="D89" s="104">
        <f>D88+1</f>
        <v>79</v>
      </c>
      <c r="E89" s="110">
        <f>-ROUND($C$6,2)</f>
        <v>1603.83</v>
      </c>
      <c r="F89" s="110">
        <f>E89-H89</f>
        <v>1167.99</v>
      </c>
      <c r="G89" s="164">
        <f>VLOOKUP(D89,$K$11:$L$23,2,TRUE)</f>
        <v>3.875E-2</v>
      </c>
      <c r="H89" s="110">
        <f>ROUND(I88*G89/12,2)</f>
        <v>435.84</v>
      </c>
      <c r="I89" s="110">
        <f>I88-F89</f>
        <v>133800.72000000009</v>
      </c>
    </row>
    <row r="90" spans="4:9">
      <c r="D90" s="104">
        <f>D89+1</f>
        <v>80</v>
      </c>
      <c r="E90" s="110">
        <f>-ROUND($C$6,2)</f>
        <v>1603.83</v>
      </c>
      <c r="F90" s="110">
        <f>E90-H90</f>
        <v>1171.77</v>
      </c>
      <c r="G90" s="164">
        <f>VLOOKUP(D90,$K$11:$L$23,2,TRUE)</f>
        <v>3.875E-2</v>
      </c>
      <c r="H90" s="110">
        <f>ROUND(I89*G90/12,2)</f>
        <v>432.06</v>
      </c>
      <c r="I90" s="110">
        <f>I89-F90</f>
        <v>132628.9500000001</v>
      </c>
    </row>
    <row r="91" spans="4:9">
      <c r="D91" s="104">
        <f>D90+1</f>
        <v>81</v>
      </c>
      <c r="E91" s="110">
        <f>-ROUND($C$6,2)</f>
        <v>1603.83</v>
      </c>
      <c r="F91" s="110">
        <f>E91-H91</f>
        <v>1175.55</v>
      </c>
      <c r="G91" s="164">
        <f>VLOOKUP(D91,$K$11:$L$23,2,TRUE)</f>
        <v>3.875E-2</v>
      </c>
      <c r="H91" s="110">
        <f>ROUND(I90*G91/12,2)</f>
        <v>428.28</v>
      </c>
      <c r="I91" s="110">
        <f>I90-F91</f>
        <v>131453.40000000011</v>
      </c>
    </row>
    <row r="92" spans="4:9">
      <c r="D92" s="104">
        <f>D91+1</f>
        <v>82</v>
      </c>
      <c r="E92" s="110">
        <f>-ROUND($C$6,2)</f>
        <v>1603.83</v>
      </c>
      <c r="F92" s="110">
        <f>E92-H92</f>
        <v>1179.3499999999999</v>
      </c>
      <c r="G92" s="164">
        <f>VLOOKUP(D92,$K$11:$L$23,2,TRUE)</f>
        <v>3.875E-2</v>
      </c>
      <c r="H92" s="110">
        <f>ROUND(I91*G92/12,2)</f>
        <v>424.48</v>
      </c>
      <c r="I92" s="110">
        <f>I91-F92</f>
        <v>130274.0500000001</v>
      </c>
    </row>
    <row r="93" spans="4:9">
      <c r="D93" s="104">
        <f>D92+1</f>
        <v>83</v>
      </c>
      <c r="E93" s="110">
        <f>-ROUND($C$6,2)</f>
        <v>1603.83</v>
      </c>
      <c r="F93" s="110">
        <f>E93-H93</f>
        <v>1183.1499999999999</v>
      </c>
      <c r="G93" s="164">
        <f>VLOOKUP(D93,$K$11:$L$23,2,TRUE)</f>
        <v>3.875E-2</v>
      </c>
      <c r="H93" s="110">
        <f>ROUND(I92*G93/12,2)</f>
        <v>420.68</v>
      </c>
      <c r="I93" s="110">
        <f>I92-F93</f>
        <v>129090.90000000011</v>
      </c>
    </row>
    <row r="94" spans="4:9">
      <c r="D94" s="104">
        <f>D93+1</f>
        <v>84</v>
      </c>
      <c r="E94" s="110">
        <f>-ROUND($C$6,2)</f>
        <v>1603.83</v>
      </c>
      <c r="F94" s="110">
        <f>E94-H94</f>
        <v>1186.9699999999998</v>
      </c>
      <c r="G94" s="164">
        <f>VLOOKUP(D94,$K$11:$L$23,2,TRUE)</f>
        <v>3.875E-2</v>
      </c>
      <c r="H94" s="110">
        <f>ROUND(I93*G94/12,2)</f>
        <v>416.86</v>
      </c>
      <c r="I94" s="110">
        <f>I93-F94</f>
        <v>127903.93000000011</v>
      </c>
    </row>
    <row r="95" spans="4:9">
      <c r="D95" s="104">
        <f>D94+1</f>
        <v>85</v>
      </c>
      <c r="E95" s="110">
        <f>-ROUND($C$6,2)</f>
        <v>1603.83</v>
      </c>
      <c r="F95" s="110">
        <f>E95-H95</f>
        <v>1190.81</v>
      </c>
      <c r="G95" s="164">
        <f>VLOOKUP(D95,$K$11:$L$23,2,TRUE)</f>
        <v>3.875E-2</v>
      </c>
      <c r="H95" s="110">
        <f>ROUND(I94*G95/12,2)</f>
        <v>413.02</v>
      </c>
      <c r="I95" s="110">
        <f>I94-F95</f>
        <v>126713.12000000011</v>
      </c>
    </row>
    <row r="96" spans="4:9">
      <c r="D96" s="104">
        <f>D95+1</f>
        <v>86</v>
      </c>
      <c r="E96" s="110">
        <f>-ROUND($C$6,2)</f>
        <v>1603.83</v>
      </c>
      <c r="F96" s="110">
        <f>E96-H96</f>
        <v>1194.6499999999999</v>
      </c>
      <c r="G96" s="164">
        <f>VLOOKUP(D96,$K$11:$L$23,2,TRUE)</f>
        <v>3.875E-2</v>
      </c>
      <c r="H96" s="110">
        <f>ROUND(I95*G96/12,2)</f>
        <v>409.18</v>
      </c>
      <c r="I96" s="110">
        <f>I95-F96</f>
        <v>125518.47000000012</v>
      </c>
    </row>
    <row r="97" spans="4:9">
      <c r="D97" s="104">
        <f>D96+1</f>
        <v>87</v>
      </c>
      <c r="E97" s="110">
        <f>-ROUND($C$6,2)</f>
        <v>1603.83</v>
      </c>
      <c r="F97" s="110">
        <f>E97-H97</f>
        <v>1198.51</v>
      </c>
      <c r="G97" s="164">
        <f>VLOOKUP(D97,$K$11:$L$23,2,TRUE)</f>
        <v>3.875E-2</v>
      </c>
      <c r="H97" s="110">
        <f>ROUND(I96*G97/12,2)</f>
        <v>405.32</v>
      </c>
      <c r="I97" s="110">
        <f>I96-F97</f>
        <v>124319.96000000012</v>
      </c>
    </row>
    <row r="98" spans="4:9">
      <c r="D98" s="104">
        <f>D97+1</f>
        <v>88</v>
      </c>
      <c r="E98" s="110">
        <f>-ROUND($C$6,2)</f>
        <v>1603.83</v>
      </c>
      <c r="F98" s="110">
        <f>E98-H98</f>
        <v>1202.3799999999999</v>
      </c>
      <c r="G98" s="164">
        <f>VLOOKUP(D98,$K$11:$L$23,2,TRUE)</f>
        <v>3.875E-2</v>
      </c>
      <c r="H98" s="110">
        <f>ROUND(I97*G98/12,2)</f>
        <v>401.45</v>
      </c>
      <c r="I98" s="110">
        <f>I97-F98</f>
        <v>123117.58000000012</v>
      </c>
    </row>
    <row r="99" spans="4:9">
      <c r="D99" s="104">
        <f>D98+1</f>
        <v>89</v>
      </c>
      <c r="E99" s="110">
        <f>-ROUND($C$6,2)</f>
        <v>1603.83</v>
      </c>
      <c r="F99" s="110">
        <f>E99-H99</f>
        <v>1206.26</v>
      </c>
      <c r="G99" s="164">
        <f>VLOOKUP(D99,$K$11:$L$23,2,TRUE)</f>
        <v>3.875E-2</v>
      </c>
      <c r="H99" s="110">
        <f>ROUND(I98*G99/12,2)</f>
        <v>397.57</v>
      </c>
      <c r="I99" s="110">
        <f>I98-F99</f>
        <v>121911.32000000012</v>
      </c>
    </row>
    <row r="100" spans="4:9">
      <c r="D100" s="104">
        <f>D99+1</f>
        <v>90</v>
      </c>
      <c r="E100" s="110">
        <f>-ROUND($C$6,2)</f>
        <v>1603.83</v>
      </c>
      <c r="F100" s="110">
        <f>E100-H100</f>
        <v>1210.1599999999999</v>
      </c>
      <c r="G100" s="164">
        <f>VLOOKUP(D100,$K$11:$L$23,2,TRUE)</f>
        <v>3.875E-2</v>
      </c>
      <c r="H100" s="110">
        <f>ROUND(I99*G100/12,2)</f>
        <v>393.67</v>
      </c>
      <c r="I100" s="110">
        <f>I99-F100</f>
        <v>120701.16000000012</v>
      </c>
    </row>
    <row r="101" spans="4:9">
      <c r="D101" s="104">
        <f>D100+1</f>
        <v>91</v>
      </c>
      <c r="E101" s="110">
        <f>-ROUND($C$6,2)</f>
        <v>1603.83</v>
      </c>
      <c r="F101" s="110">
        <f>E101-H101</f>
        <v>1214.07</v>
      </c>
      <c r="G101" s="164">
        <f>VLOOKUP(D101,$K$11:$L$23,2,TRUE)</f>
        <v>3.875E-2</v>
      </c>
      <c r="H101" s="110">
        <f>ROUND(I100*G101/12,2)</f>
        <v>389.76</v>
      </c>
      <c r="I101" s="110">
        <f>I100-F101</f>
        <v>119487.09000000011</v>
      </c>
    </row>
    <row r="102" spans="4:9">
      <c r="D102" s="104">
        <f>D101+1</f>
        <v>92</v>
      </c>
      <c r="E102" s="110">
        <f>-ROUND($C$6,2)</f>
        <v>1603.83</v>
      </c>
      <c r="F102" s="110">
        <f>E102-H102</f>
        <v>1217.99</v>
      </c>
      <c r="G102" s="164">
        <f>VLOOKUP(D102,$K$11:$L$23,2,TRUE)</f>
        <v>3.875E-2</v>
      </c>
      <c r="H102" s="110">
        <f>ROUND(I101*G102/12,2)</f>
        <v>385.84</v>
      </c>
      <c r="I102" s="110">
        <f>I101-F102</f>
        <v>118269.10000000011</v>
      </c>
    </row>
    <row r="103" spans="4:9">
      <c r="D103" s="104">
        <f>D102+1</f>
        <v>93</v>
      </c>
      <c r="E103" s="110">
        <f>-ROUND($C$6,2)</f>
        <v>1603.83</v>
      </c>
      <c r="F103" s="110">
        <f>E103-H103</f>
        <v>1221.9199999999998</v>
      </c>
      <c r="G103" s="164">
        <f>VLOOKUP(D103,$K$11:$L$23,2,TRUE)</f>
        <v>3.875E-2</v>
      </c>
      <c r="H103" s="110">
        <f>ROUND(I102*G103/12,2)</f>
        <v>381.91</v>
      </c>
      <c r="I103" s="110">
        <f>I102-F103</f>
        <v>117047.18000000011</v>
      </c>
    </row>
    <row r="104" spans="4:9">
      <c r="D104" s="104">
        <f>D103+1</f>
        <v>94</v>
      </c>
      <c r="E104" s="110">
        <f>-ROUND($C$6,2)</f>
        <v>1603.83</v>
      </c>
      <c r="F104" s="110">
        <f>E104-H104</f>
        <v>1225.8699999999999</v>
      </c>
      <c r="G104" s="164">
        <f>VLOOKUP(D104,$K$11:$L$23,2,TRUE)</f>
        <v>3.875E-2</v>
      </c>
      <c r="H104" s="110">
        <f>ROUND(I103*G104/12,2)</f>
        <v>377.96</v>
      </c>
      <c r="I104" s="110">
        <f>I103-F104</f>
        <v>115821.31000000011</v>
      </c>
    </row>
    <row r="105" spans="4:9">
      <c r="D105" s="104">
        <f>D104+1</f>
        <v>95</v>
      </c>
      <c r="E105" s="110">
        <f>-ROUND($C$6,2)</f>
        <v>1603.83</v>
      </c>
      <c r="F105" s="110">
        <f>E105-H105</f>
        <v>1229.82</v>
      </c>
      <c r="G105" s="164">
        <f>VLOOKUP(D105,$K$11:$L$23,2,TRUE)</f>
        <v>3.875E-2</v>
      </c>
      <c r="H105" s="110">
        <f>ROUND(I104*G105/12,2)</f>
        <v>374.01</v>
      </c>
      <c r="I105" s="110">
        <f>I104-F105</f>
        <v>114591.49000000011</v>
      </c>
    </row>
    <row r="106" spans="4:9">
      <c r="D106" s="104">
        <f>D105+1</f>
        <v>96</v>
      </c>
      <c r="E106" s="110">
        <f>-ROUND($C$6,2)</f>
        <v>1603.83</v>
      </c>
      <c r="F106" s="110">
        <f>E106-H106</f>
        <v>1233.79</v>
      </c>
      <c r="G106" s="164">
        <f>VLOOKUP(D106,$K$11:$L$23,2,TRUE)</f>
        <v>3.875E-2</v>
      </c>
      <c r="H106" s="110">
        <f>ROUND(I105*G106/12,2)</f>
        <v>370.04</v>
      </c>
      <c r="I106" s="110">
        <f>I105-F106</f>
        <v>113357.70000000011</v>
      </c>
    </row>
    <row r="107" spans="4:9">
      <c r="D107" s="104">
        <f>D106+1</f>
        <v>97</v>
      </c>
      <c r="E107" s="110">
        <f>-ROUND($C$6,2)</f>
        <v>1603.83</v>
      </c>
      <c r="F107" s="110">
        <f>E107-H107</f>
        <v>1237.78</v>
      </c>
      <c r="G107" s="164">
        <f>VLOOKUP(D107,$K$11:$L$23,2,TRUE)</f>
        <v>3.875E-2</v>
      </c>
      <c r="H107" s="110">
        <f>ROUND(I106*G107/12,2)</f>
        <v>366.05</v>
      </c>
      <c r="I107" s="110">
        <f>I106-F107</f>
        <v>112119.92000000011</v>
      </c>
    </row>
    <row r="108" spans="4:9">
      <c r="D108" s="104">
        <f>D107+1</f>
        <v>98</v>
      </c>
      <c r="E108" s="110">
        <f>-ROUND($C$6,2)</f>
        <v>1603.83</v>
      </c>
      <c r="F108" s="110">
        <f>E108-H108</f>
        <v>1230.0999999999999</v>
      </c>
      <c r="G108" s="164">
        <f>VLOOKUP(D108,$K$11:$L$23,2,TRUE)</f>
        <v>0.04</v>
      </c>
      <c r="H108" s="110">
        <f>ROUND(I107*G108/12,2)</f>
        <v>373.73</v>
      </c>
      <c r="I108" s="110">
        <f>I107-F108</f>
        <v>110889.82000000011</v>
      </c>
    </row>
    <row r="109" spans="4:9">
      <c r="D109" s="104">
        <f>D108+1</f>
        <v>99</v>
      </c>
      <c r="E109" s="110">
        <f>-ROUND($C$6,2)</f>
        <v>1603.83</v>
      </c>
      <c r="F109" s="110">
        <f>E109-H109</f>
        <v>1234.1999999999998</v>
      </c>
      <c r="G109" s="164">
        <f>VLOOKUP(D109,$K$11:$L$23,2,TRUE)</f>
        <v>0.04</v>
      </c>
      <c r="H109" s="110">
        <f>ROUND(I108*G109/12,2)</f>
        <v>369.63</v>
      </c>
      <c r="I109" s="110">
        <f>I108-F109</f>
        <v>109655.62000000011</v>
      </c>
    </row>
    <row r="110" spans="4:9">
      <c r="D110" s="104">
        <f>D109+1</f>
        <v>100</v>
      </c>
      <c r="E110" s="110">
        <f>-ROUND($C$6,2)</f>
        <v>1603.83</v>
      </c>
      <c r="F110" s="110">
        <f>E110-H110</f>
        <v>1238.31</v>
      </c>
      <c r="G110" s="164">
        <f>VLOOKUP(D110,$K$11:$L$23,2,TRUE)</f>
        <v>0.04</v>
      </c>
      <c r="H110" s="110">
        <f>ROUND(I109*G110/12,2)</f>
        <v>365.52</v>
      </c>
      <c r="I110" s="110">
        <f>I109-F110</f>
        <v>108417.31000000011</v>
      </c>
    </row>
    <row r="111" spans="4:9">
      <c r="D111" s="104">
        <f>D110+1</f>
        <v>101</v>
      </c>
      <c r="E111" s="110">
        <f>-ROUND($C$6,2)</f>
        <v>1603.83</v>
      </c>
      <c r="F111" s="110">
        <f>E111-H111</f>
        <v>1242.44</v>
      </c>
      <c r="G111" s="164">
        <f>VLOOKUP(D111,$K$11:$L$23,2,TRUE)</f>
        <v>0.04</v>
      </c>
      <c r="H111" s="110">
        <f>ROUND(I110*G111/12,2)</f>
        <v>361.39</v>
      </c>
      <c r="I111" s="110">
        <f>I110-F111</f>
        <v>107174.87000000011</v>
      </c>
    </row>
    <row r="112" spans="4:9">
      <c r="D112" s="104">
        <f>D111+1</f>
        <v>102</v>
      </c>
      <c r="E112" s="110">
        <f>-ROUND($C$6,2)</f>
        <v>1603.83</v>
      </c>
      <c r="F112" s="110">
        <f>E112-H112</f>
        <v>1246.58</v>
      </c>
      <c r="G112" s="164">
        <f>VLOOKUP(D112,$K$11:$L$23,2,TRUE)</f>
        <v>0.04</v>
      </c>
      <c r="H112" s="110">
        <f>ROUND(I111*G112/12,2)</f>
        <v>357.25</v>
      </c>
      <c r="I112" s="110">
        <f>I111-F112</f>
        <v>105928.29000000011</v>
      </c>
    </row>
    <row r="113" spans="4:9">
      <c r="D113" s="104">
        <f>D112+1</f>
        <v>103</v>
      </c>
      <c r="E113" s="110">
        <f>-ROUND($C$6,2)</f>
        <v>1603.83</v>
      </c>
      <c r="F113" s="110">
        <f>E113-H113</f>
        <v>1250.74</v>
      </c>
      <c r="G113" s="164">
        <f>VLOOKUP(D113,$K$11:$L$23,2,TRUE)</f>
        <v>0.04</v>
      </c>
      <c r="H113" s="110">
        <f>ROUND(I112*G113/12,2)</f>
        <v>353.09</v>
      </c>
      <c r="I113" s="110">
        <f>I112-F113</f>
        <v>104677.5500000001</v>
      </c>
    </row>
    <row r="114" spans="4:9">
      <c r="D114" s="104">
        <f>D113+1</f>
        <v>104</v>
      </c>
      <c r="E114" s="110">
        <f>-ROUND($C$6,2)</f>
        <v>1603.83</v>
      </c>
      <c r="F114" s="110">
        <f>E114-H114</f>
        <v>1254.8999999999999</v>
      </c>
      <c r="G114" s="164">
        <f>VLOOKUP(D114,$K$11:$L$23,2,TRUE)</f>
        <v>0.04</v>
      </c>
      <c r="H114" s="110">
        <f>ROUND(I113*G114/12,2)</f>
        <v>348.93</v>
      </c>
      <c r="I114" s="110">
        <f>I113-F114</f>
        <v>103422.65000000011</v>
      </c>
    </row>
    <row r="115" spans="4:9">
      <c r="D115" s="104">
        <f>D114+1</f>
        <v>105</v>
      </c>
      <c r="E115" s="110">
        <f>-ROUND($C$6,2)</f>
        <v>1603.83</v>
      </c>
      <c r="F115" s="110">
        <f>E115-H115</f>
        <v>1259.0899999999999</v>
      </c>
      <c r="G115" s="164">
        <f>VLOOKUP(D115,$K$11:$L$23,2,TRUE)</f>
        <v>0.04</v>
      </c>
      <c r="H115" s="110">
        <f>ROUND(I114*G115/12,2)</f>
        <v>344.74</v>
      </c>
      <c r="I115" s="110">
        <f>I114-F115</f>
        <v>102163.56000000011</v>
      </c>
    </row>
    <row r="116" spans="4:9">
      <c r="D116" s="104">
        <f>D115+1</f>
        <v>106</v>
      </c>
      <c r="E116" s="110">
        <f>-ROUND($C$6,2)</f>
        <v>1603.83</v>
      </c>
      <c r="F116" s="110">
        <f>E116-H116</f>
        <v>1263.28</v>
      </c>
      <c r="G116" s="164">
        <f>VLOOKUP(D116,$K$11:$L$23,2,TRUE)</f>
        <v>0.04</v>
      </c>
      <c r="H116" s="110">
        <f>ROUND(I115*G116/12,2)</f>
        <v>340.55</v>
      </c>
      <c r="I116" s="110">
        <f>I115-F116</f>
        <v>100900.28000000012</v>
      </c>
    </row>
    <row r="117" spans="4:9">
      <c r="D117" s="104">
        <f>D116+1</f>
        <v>107</v>
      </c>
      <c r="E117" s="110">
        <f>-ROUND($C$6,2)</f>
        <v>1603.83</v>
      </c>
      <c r="F117" s="110">
        <f>E117-H117</f>
        <v>1267.5</v>
      </c>
      <c r="G117" s="164">
        <f>VLOOKUP(D117,$K$11:$L$23,2,TRUE)</f>
        <v>0.04</v>
      </c>
      <c r="H117" s="110">
        <f>ROUND(I116*G117/12,2)</f>
        <v>336.33</v>
      </c>
      <c r="I117" s="110">
        <f>I116-F117</f>
        <v>99632.780000000115</v>
      </c>
    </row>
    <row r="118" spans="4:9">
      <c r="D118" s="104">
        <f>D117+1</f>
        <v>108</v>
      </c>
      <c r="E118" s="110">
        <f>-ROUND($C$6,2)</f>
        <v>1603.83</v>
      </c>
      <c r="F118" s="110">
        <f>E118-H118</f>
        <v>1271.7199999999998</v>
      </c>
      <c r="G118" s="164">
        <f>VLOOKUP(D118,$K$11:$L$23,2,TRUE)</f>
        <v>0.04</v>
      </c>
      <c r="H118" s="110">
        <f>ROUND(I117*G118/12,2)</f>
        <v>332.11</v>
      </c>
      <c r="I118" s="110">
        <f>I117-F118</f>
        <v>98361.060000000114</v>
      </c>
    </row>
    <row r="119" spans="4:9">
      <c r="D119" s="104">
        <f>D118+1</f>
        <v>109</v>
      </c>
      <c r="E119" s="110">
        <f>-ROUND($C$6,2)</f>
        <v>1603.83</v>
      </c>
      <c r="F119" s="110">
        <f>E119-H119</f>
        <v>1275.96</v>
      </c>
      <c r="G119" s="164">
        <f>VLOOKUP(D119,$K$11:$L$23,2,TRUE)</f>
        <v>0.04</v>
      </c>
      <c r="H119" s="110">
        <f>ROUND(I118*G119/12,2)</f>
        <v>327.87</v>
      </c>
      <c r="I119" s="110">
        <f>I118-F119</f>
        <v>97085.100000000108</v>
      </c>
    </row>
    <row r="120" spans="4:9">
      <c r="D120" s="104">
        <f>D119+1</f>
        <v>110</v>
      </c>
      <c r="E120" s="110">
        <f>-ROUND($C$6,2)</f>
        <v>1603.83</v>
      </c>
      <c r="F120" s="110">
        <f>E120-H120</f>
        <v>1280.21</v>
      </c>
      <c r="G120" s="164">
        <f>VLOOKUP(D120,$K$11:$L$23,2,TRUE)</f>
        <v>0.04</v>
      </c>
      <c r="H120" s="110">
        <f>ROUND(I119*G120/12,2)</f>
        <v>323.62</v>
      </c>
      <c r="I120" s="110">
        <f>I119-F120</f>
        <v>95804.890000000101</v>
      </c>
    </row>
    <row r="121" spans="4:9">
      <c r="D121" s="104">
        <f>D120+1</f>
        <v>111</v>
      </c>
      <c r="E121" s="110">
        <f>-ROUND($C$6,2)</f>
        <v>1603.83</v>
      </c>
      <c r="F121" s="110">
        <f>E121-H121</f>
        <v>1284.48</v>
      </c>
      <c r="G121" s="164">
        <f>VLOOKUP(D121,$K$11:$L$23,2,TRUE)</f>
        <v>0.04</v>
      </c>
      <c r="H121" s="110">
        <f>ROUND(I120*G121/12,2)</f>
        <v>319.35000000000002</v>
      </c>
      <c r="I121" s="110">
        <f>I120-F121</f>
        <v>94520.410000000105</v>
      </c>
    </row>
    <row r="122" spans="4:9">
      <c r="D122" s="104">
        <f>D121+1</f>
        <v>112</v>
      </c>
      <c r="E122" s="110">
        <f>-ROUND($C$6,2)</f>
        <v>1603.83</v>
      </c>
      <c r="F122" s="110">
        <f>E122-H122</f>
        <v>1288.76</v>
      </c>
      <c r="G122" s="164">
        <f>VLOOKUP(D122,$K$11:$L$23,2,TRUE)</f>
        <v>0.04</v>
      </c>
      <c r="H122" s="110">
        <f>ROUND(I121*G122/12,2)</f>
        <v>315.07</v>
      </c>
      <c r="I122" s="110">
        <f>I121-F122</f>
        <v>93231.650000000111</v>
      </c>
    </row>
    <row r="123" spans="4:9">
      <c r="D123" s="104">
        <f>D122+1</f>
        <v>113</v>
      </c>
      <c r="E123" s="110">
        <f>-ROUND($C$6,2)</f>
        <v>1603.83</v>
      </c>
      <c r="F123" s="110">
        <f>E123-H123</f>
        <v>1293.06</v>
      </c>
      <c r="G123" s="164">
        <f>VLOOKUP(D123,$K$11:$L$23,2,TRUE)</f>
        <v>0.04</v>
      </c>
      <c r="H123" s="110">
        <f>ROUND(I122*G123/12,2)</f>
        <v>310.77</v>
      </c>
      <c r="I123" s="110">
        <f>I122-F123</f>
        <v>91938.590000000113</v>
      </c>
    </row>
    <row r="124" spans="4:9">
      <c r="D124" s="104">
        <f>D123+1</f>
        <v>114</v>
      </c>
      <c r="E124" s="110">
        <f>-ROUND($C$6,2)</f>
        <v>1603.83</v>
      </c>
      <c r="F124" s="110">
        <f>E124-H124</f>
        <v>1297.3699999999999</v>
      </c>
      <c r="G124" s="164">
        <f>VLOOKUP(D124,$K$11:$L$23,2,TRUE)</f>
        <v>0.04</v>
      </c>
      <c r="H124" s="110">
        <f>ROUND(I123*G124/12,2)</f>
        <v>306.45999999999998</v>
      </c>
      <c r="I124" s="110">
        <f>I123-F124</f>
        <v>90641.220000000118</v>
      </c>
    </row>
    <row r="125" spans="4:9">
      <c r="D125" s="104">
        <f>D124+1</f>
        <v>115</v>
      </c>
      <c r="E125" s="110">
        <f>-ROUND($C$6,2)</f>
        <v>1603.83</v>
      </c>
      <c r="F125" s="110">
        <f>E125-H125</f>
        <v>1301.69</v>
      </c>
      <c r="G125" s="164">
        <f>VLOOKUP(D125,$K$11:$L$23,2,TRUE)</f>
        <v>0.04</v>
      </c>
      <c r="H125" s="110">
        <f>ROUND(I124*G125/12,2)</f>
        <v>302.14</v>
      </c>
      <c r="I125" s="110">
        <f>I124-F125</f>
        <v>89339.530000000115</v>
      </c>
    </row>
    <row r="126" spans="4:9">
      <c r="D126" s="104">
        <f>D125+1</f>
        <v>116</v>
      </c>
      <c r="E126" s="110">
        <f>-ROUND($C$6,2)</f>
        <v>1603.83</v>
      </c>
      <c r="F126" s="110">
        <f>E126-H126</f>
        <v>1306.03</v>
      </c>
      <c r="G126" s="164">
        <f>VLOOKUP(D126,$K$11:$L$23,2,TRUE)</f>
        <v>0.04</v>
      </c>
      <c r="H126" s="110">
        <f>ROUND(I125*G126/12,2)</f>
        <v>297.8</v>
      </c>
      <c r="I126" s="110">
        <f>I125-F126</f>
        <v>88033.500000000116</v>
      </c>
    </row>
    <row r="127" spans="4:9">
      <c r="D127" s="104">
        <f>D126+1</f>
        <v>117</v>
      </c>
      <c r="E127" s="110">
        <f>-ROUND($C$6,2)</f>
        <v>1603.83</v>
      </c>
      <c r="F127" s="110">
        <f>E127-H127</f>
        <v>1310.3799999999999</v>
      </c>
      <c r="G127" s="164">
        <f>VLOOKUP(D127,$K$11:$L$23,2,TRUE)</f>
        <v>0.04</v>
      </c>
      <c r="H127" s="110">
        <f>ROUND(I126*G127/12,2)</f>
        <v>293.45</v>
      </c>
      <c r="I127" s="110">
        <f>I126-F127</f>
        <v>86723.120000000112</v>
      </c>
    </row>
    <row r="128" spans="4:9">
      <c r="D128" s="104">
        <f>D127+1</f>
        <v>118</v>
      </c>
      <c r="E128" s="110">
        <f>-ROUND($C$6,2)</f>
        <v>1603.83</v>
      </c>
      <c r="F128" s="110">
        <f>E128-H128</f>
        <v>1314.75</v>
      </c>
      <c r="G128" s="164">
        <f>VLOOKUP(D128,$K$11:$L$23,2,TRUE)</f>
        <v>0.04</v>
      </c>
      <c r="H128" s="110">
        <f>ROUND(I127*G128/12,2)</f>
        <v>289.08</v>
      </c>
      <c r="I128" s="110">
        <f>I127-F128</f>
        <v>85408.370000000112</v>
      </c>
    </row>
    <row r="129" spans="4:9">
      <c r="D129" s="104">
        <f>D128+1</f>
        <v>119</v>
      </c>
      <c r="E129" s="110">
        <f>-ROUND($C$6,2)</f>
        <v>1603.83</v>
      </c>
      <c r="F129" s="110">
        <f>E129-H129</f>
        <v>1319.1399999999999</v>
      </c>
      <c r="G129" s="164">
        <f>VLOOKUP(D129,$K$11:$L$23,2,TRUE)</f>
        <v>0.04</v>
      </c>
      <c r="H129" s="110">
        <f>ROUND(I128*G129/12,2)</f>
        <v>284.69</v>
      </c>
      <c r="I129" s="110">
        <f>I128-F129</f>
        <v>84089.230000000112</v>
      </c>
    </row>
    <row r="130" spans="4:9">
      <c r="D130" s="104">
        <f>D129+1</f>
        <v>120</v>
      </c>
      <c r="E130" s="110">
        <f>-ROUND($C$6,2)</f>
        <v>1603.83</v>
      </c>
      <c r="F130" s="110">
        <f>E130-H130</f>
        <v>1323.53</v>
      </c>
      <c r="G130" s="164">
        <f>VLOOKUP(D130,$K$11:$L$23,2,TRUE)</f>
        <v>0.04</v>
      </c>
      <c r="H130" s="110">
        <f>ROUND(I129*G130/12,2)</f>
        <v>280.3</v>
      </c>
      <c r="I130" s="110">
        <f>I129-F130</f>
        <v>82765.700000000114</v>
      </c>
    </row>
    <row r="131" spans="4:9">
      <c r="D131" s="104">
        <f>D130+1</f>
        <v>121</v>
      </c>
      <c r="E131" s="110">
        <f>-ROUND($C$6,2)</f>
        <v>1603.83</v>
      </c>
      <c r="F131" s="110">
        <f>E131-H131</f>
        <v>1327.94</v>
      </c>
      <c r="G131" s="164">
        <f>VLOOKUP(D131,$K$11:$L$23,2,TRUE)</f>
        <v>0.04</v>
      </c>
      <c r="H131" s="110">
        <f>ROUND(I130*G131/12,2)</f>
        <v>275.89</v>
      </c>
      <c r="I131" s="110">
        <f>I130-F131</f>
        <v>81437.760000000111</v>
      </c>
    </row>
    <row r="132" spans="4:9">
      <c r="D132" s="104">
        <f>D131+1</f>
        <v>122</v>
      </c>
      <c r="E132" s="110">
        <f>-ROUND($C$6,2)</f>
        <v>1603.83</v>
      </c>
      <c r="F132" s="110">
        <f>E132-H132</f>
        <v>1332.37</v>
      </c>
      <c r="G132" s="164">
        <f>VLOOKUP(D132,$K$11:$L$23,2,TRUE)</f>
        <v>0.04</v>
      </c>
      <c r="H132" s="110">
        <f>ROUND(I131*G132/12,2)</f>
        <v>271.45999999999998</v>
      </c>
      <c r="I132" s="110">
        <f>I131-F132</f>
        <v>80105.390000000116</v>
      </c>
    </row>
    <row r="133" spans="4:9">
      <c r="D133" s="104">
        <f>D132+1</f>
        <v>123</v>
      </c>
      <c r="E133" s="110">
        <f>-ROUND($C$6,2)</f>
        <v>1603.83</v>
      </c>
      <c r="F133" s="110">
        <f>E133-H133</f>
        <v>1336.81</v>
      </c>
      <c r="G133" s="164">
        <f>VLOOKUP(D133,$K$11:$L$23,2,TRUE)</f>
        <v>0.04</v>
      </c>
      <c r="H133" s="110">
        <f>ROUND(I132*G133/12,2)</f>
        <v>267.02</v>
      </c>
      <c r="I133" s="110">
        <f>I132-F133</f>
        <v>78768.580000000118</v>
      </c>
    </row>
    <row r="134" spans="4:9">
      <c r="D134" s="104">
        <f>D133+1</f>
        <v>124</v>
      </c>
      <c r="E134" s="110">
        <f>-ROUND($C$6,2)</f>
        <v>1603.83</v>
      </c>
      <c r="F134" s="110">
        <f>E134-H134</f>
        <v>1341.27</v>
      </c>
      <c r="G134" s="164">
        <f>VLOOKUP(D134,$K$11:$L$23,2,TRUE)</f>
        <v>0.04</v>
      </c>
      <c r="H134" s="110">
        <f>ROUND(I133*G134/12,2)</f>
        <v>262.56</v>
      </c>
      <c r="I134" s="110">
        <f>I133-F134</f>
        <v>77427.310000000114</v>
      </c>
    </row>
    <row r="135" spans="4:9">
      <c r="D135" s="104">
        <f>D134+1</f>
        <v>125</v>
      </c>
      <c r="E135" s="110">
        <f>-ROUND($C$6,2)</f>
        <v>1603.83</v>
      </c>
      <c r="F135" s="110">
        <f>E135-H135</f>
        <v>1345.74</v>
      </c>
      <c r="G135" s="164">
        <f>VLOOKUP(D135,$K$11:$L$23,2,TRUE)</f>
        <v>0.04</v>
      </c>
      <c r="H135" s="110">
        <f>ROUND(I134*G135/12,2)</f>
        <v>258.08999999999997</v>
      </c>
      <c r="I135" s="110">
        <f>I134-F135</f>
        <v>76081.570000000109</v>
      </c>
    </row>
    <row r="136" spans="4:9">
      <c r="D136" s="104">
        <f>D135+1</f>
        <v>126</v>
      </c>
      <c r="E136" s="110">
        <f>-ROUND($C$6,2)</f>
        <v>1603.83</v>
      </c>
      <c r="F136" s="110">
        <f>E136-H136</f>
        <v>1350.2199999999998</v>
      </c>
      <c r="G136" s="164">
        <f>VLOOKUP(D136,$K$11:$L$23,2,TRUE)</f>
        <v>0.04</v>
      </c>
      <c r="H136" s="110">
        <f>ROUND(I135*G136/12,2)</f>
        <v>253.61</v>
      </c>
      <c r="I136" s="110">
        <f>I135-F136</f>
        <v>74731.350000000108</v>
      </c>
    </row>
    <row r="137" spans="4:9">
      <c r="D137" s="104">
        <f>D136+1</f>
        <v>127</v>
      </c>
      <c r="E137" s="110">
        <f>-ROUND($C$6,2)</f>
        <v>1603.83</v>
      </c>
      <c r="F137" s="110">
        <f>E137-H137</f>
        <v>1354.73</v>
      </c>
      <c r="G137" s="164">
        <f>VLOOKUP(D137,$K$11:$L$23,2,TRUE)</f>
        <v>0.04</v>
      </c>
      <c r="H137" s="110">
        <f>ROUND(I136*G137/12,2)</f>
        <v>249.1</v>
      </c>
      <c r="I137" s="110">
        <f>I136-F137</f>
        <v>73376.620000000112</v>
      </c>
    </row>
    <row r="138" spans="4:9">
      <c r="D138" s="104">
        <f>D137+1</f>
        <v>128</v>
      </c>
      <c r="E138" s="110">
        <f>-ROUND($C$6,2)</f>
        <v>1603.83</v>
      </c>
      <c r="F138" s="110">
        <f>E138-H138</f>
        <v>1359.24</v>
      </c>
      <c r="G138" s="164">
        <f>VLOOKUP(D138,$K$11:$L$23,2,TRUE)</f>
        <v>0.04</v>
      </c>
      <c r="H138" s="110">
        <f>ROUND(I137*G138/12,2)</f>
        <v>244.59</v>
      </c>
      <c r="I138" s="110">
        <f>I137-F138</f>
        <v>72017.380000000107</v>
      </c>
    </row>
    <row r="139" spans="4:9">
      <c r="D139" s="104">
        <f>D138+1</f>
        <v>129</v>
      </c>
      <c r="E139" s="110">
        <f>-ROUND($C$6,2)</f>
        <v>1603.83</v>
      </c>
      <c r="F139" s="110">
        <f>E139-H139</f>
        <v>1363.77</v>
      </c>
      <c r="G139" s="164">
        <f>VLOOKUP(D139,$K$11:$L$23,2,TRUE)</f>
        <v>0.04</v>
      </c>
      <c r="H139" s="110">
        <f>ROUND(I138*G139/12,2)</f>
        <v>240.06</v>
      </c>
      <c r="I139" s="110">
        <f>I138-F139</f>
        <v>70653.610000000102</v>
      </c>
    </row>
    <row r="140" spans="4:9">
      <c r="D140" s="104">
        <f>D139+1</f>
        <v>130</v>
      </c>
      <c r="E140" s="110">
        <f>-ROUND($C$6,2)</f>
        <v>1603.83</v>
      </c>
      <c r="F140" s="110">
        <f>E140-H140</f>
        <v>1368.32</v>
      </c>
      <c r="G140" s="164">
        <f>VLOOKUP(D140,$K$11:$L$23,2,TRUE)</f>
        <v>0.04</v>
      </c>
      <c r="H140" s="110">
        <f>ROUND(I139*G140/12,2)</f>
        <v>235.51</v>
      </c>
      <c r="I140" s="110">
        <f>I139-F140</f>
        <v>69285.290000000095</v>
      </c>
    </row>
    <row r="141" spans="4:9">
      <c r="D141" s="104">
        <f>D140+1</f>
        <v>131</v>
      </c>
      <c r="E141" s="110">
        <f>-ROUND($C$6,2)</f>
        <v>1603.83</v>
      </c>
      <c r="F141" s="110">
        <f>E141-H141</f>
        <v>1372.8799999999999</v>
      </c>
      <c r="G141" s="164">
        <f>VLOOKUP(D141,$K$11:$L$23,2,TRUE)</f>
        <v>0.04</v>
      </c>
      <c r="H141" s="110">
        <f>ROUND(I140*G141/12,2)</f>
        <v>230.95</v>
      </c>
      <c r="I141" s="110">
        <f>I140-F141</f>
        <v>67912.410000000091</v>
      </c>
    </row>
    <row r="142" spans="4:9">
      <c r="D142" s="104">
        <f>D141+1</f>
        <v>132</v>
      </c>
      <c r="E142" s="110">
        <f>-ROUND($C$6,2)</f>
        <v>1603.83</v>
      </c>
      <c r="F142" s="110">
        <f>E142-H142</f>
        <v>1377.46</v>
      </c>
      <c r="G142" s="164">
        <f>VLOOKUP(D142,$K$11:$L$23,2,TRUE)</f>
        <v>0.04</v>
      </c>
      <c r="H142" s="110">
        <f>ROUND(I141*G142/12,2)</f>
        <v>226.37</v>
      </c>
      <c r="I142" s="110">
        <f>I141-F142</f>
        <v>66534.950000000084</v>
      </c>
    </row>
    <row r="143" spans="4:9">
      <c r="D143" s="104">
        <f>D142+1</f>
        <v>133</v>
      </c>
      <c r="E143" s="110">
        <f>-ROUND($C$6,2)</f>
        <v>1603.83</v>
      </c>
      <c r="F143" s="110">
        <f>E143-H143</f>
        <v>1382.05</v>
      </c>
      <c r="G143" s="164">
        <f>VLOOKUP(D143,$K$11:$L$23,2,TRUE)</f>
        <v>0.04</v>
      </c>
      <c r="H143" s="110">
        <f>ROUND(I142*G143/12,2)</f>
        <v>221.78</v>
      </c>
      <c r="I143" s="110">
        <f>I142-F143</f>
        <v>65152.900000000081</v>
      </c>
    </row>
    <row r="144" spans="4:9">
      <c r="D144" s="104">
        <f>D143+1</f>
        <v>134</v>
      </c>
      <c r="E144" s="110">
        <f>-ROUND($C$6,2)</f>
        <v>1603.83</v>
      </c>
      <c r="F144" s="110">
        <f>E144-H144</f>
        <v>1386.6499999999999</v>
      </c>
      <c r="G144" s="164">
        <f>VLOOKUP(D144,$K$11:$L$23,2,TRUE)</f>
        <v>0.04</v>
      </c>
      <c r="H144" s="110">
        <f>ROUND(I143*G144/12,2)</f>
        <v>217.18</v>
      </c>
      <c r="I144" s="110">
        <f>I143-F144</f>
        <v>63766.25000000008</v>
      </c>
    </row>
    <row r="145" spans="4:9">
      <c r="D145" s="104">
        <f>D144+1</f>
        <v>135</v>
      </c>
      <c r="E145" s="110">
        <f>-ROUND($C$6,2)</f>
        <v>1603.83</v>
      </c>
      <c r="F145" s="110">
        <f>E145-H145</f>
        <v>1391.28</v>
      </c>
      <c r="G145" s="164">
        <f>VLOOKUP(D145,$K$11:$L$23,2,TRUE)</f>
        <v>0.04</v>
      </c>
      <c r="H145" s="110">
        <f>ROUND(I144*G145/12,2)</f>
        <v>212.55</v>
      </c>
      <c r="I145" s="110">
        <f>I144-F145</f>
        <v>62374.970000000081</v>
      </c>
    </row>
    <row r="146" spans="4:9">
      <c r="D146" s="104">
        <f>D145+1</f>
        <v>136</v>
      </c>
      <c r="E146" s="110">
        <f>-ROUND($C$6,2)</f>
        <v>1603.83</v>
      </c>
      <c r="F146" s="110">
        <f>E146-H146</f>
        <v>1395.9099999999999</v>
      </c>
      <c r="G146" s="164">
        <f>VLOOKUP(D146,$K$11:$L$23,2,TRUE)</f>
        <v>0.04</v>
      </c>
      <c r="H146" s="110">
        <f>ROUND(I145*G146/12,2)</f>
        <v>207.92</v>
      </c>
      <c r="I146" s="110">
        <f>I145-F146</f>
        <v>60979.060000000085</v>
      </c>
    </row>
    <row r="147" spans="4:9">
      <c r="D147" s="104">
        <f>D146+1</f>
        <v>137</v>
      </c>
      <c r="E147" s="110">
        <f>-ROUND($C$6,2)</f>
        <v>1603.83</v>
      </c>
      <c r="F147" s="110">
        <f>E147-H147</f>
        <v>1400.57</v>
      </c>
      <c r="G147" s="164">
        <f>VLOOKUP(D147,$K$11:$L$23,2,TRUE)</f>
        <v>0.04</v>
      </c>
      <c r="H147" s="110">
        <f>ROUND(I146*G147/12,2)</f>
        <v>203.26</v>
      </c>
      <c r="I147" s="110">
        <f>I146-F147</f>
        <v>59578.490000000085</v>
      </c>
    </row>
    <row r="148" spans="4:9">
      <c r="D148" s="104">
        <f>D147+1</f>
        <v>138</v>
      </c>
      <c r="E148" s="110">
        <f>-ROUND($C$6,2)</f>
        <v>1603.83</v>
      </c>
      <c r="F148" s="110">
        <f>E148-H148</f>
        <v>1405.24</v>
      </c>
      <c r="G148" s="164">
        <f>VLOOKUP(D148,$K$11:$L$23,2,TRUE)</f>
        <v>0.04</v>
      </c>
      <c r="H148" s="110">
        <f>ROUND(I147*G148/12,2)</f>
        <v>198.59</v>
      </c>
      <c r="I148" s="110">
        <f>I147-F148</f>
        <v>58173.250000000087</v>
      </c>
    </row>
    <row r="149" spans="4:9">
      <c r="D149" s="104">
        <f>D148+1</f>
        <v>139</v>
      </c>
      <c r="E149" s="110">
        <f>-ROUND($C$6,2)</f>
        <v>1603.83</v>
      </c>
      <c r="F149" s="110">
        <f>E149-H149</f>
        <v>1409.9199999999998</v>
      </c>
      <c r="G149" s="164">
        <f>VLOOKUP(D149,$K$11:$L$23,2,TRUE)</f>
        <v>0.04</v>
      </c>
      <c r="H149" s="110">
        <f>ROUND(I148*G149/12,2)</f>
        <v>193.91</v>
      </c>
      <c r="I149" s="110">
        <f>I148-F149</f>
        <v>56763.330000000089</v>
      </c>
    </row>
    <row r="150" spans="4:9">
      <c r="D150" s="104">
        <f>D149+1</f>
        <v>140</v>
      </c>
      <c r="E150" s="110">
        <f>-ROUND($C$6,2)</f>
        <v>1603.83</v>
      </c>
      <c r="F150" s="110">
        <f>E150-H150</f>
        <v>1414.62</v>
      </c>
      <c r="G150" s="164">
        <f>VLOOKUP(D150,$K$11:$L$23,2,TRUE)</f>
        <v>0.04</v>
      </c>
      <c r="H150" s="110">
        <f>ROUND(I149*G150/12,2)</f>
        <v>189.21</v>
      </c>
      <c r="I150" s="110">
        <f>I149-F150</f>
        <v>55348.710000000086</v>
      </c>
    </row>
    <row r="151" spans="4:9">
      <c r="D151" s="104">
        <f>D150+1</f>
        <v>141</v>
      </c>
      <c r="E151" s="110">
        <f>-ROUND($C$6,2)</f>
        <v>1603.83</v>
      </c>
      <c r="F151" s="110">
        <f>E151-H151</f>
        <v>1419.33</v>
      </c>
      <c r="G151" s="164">
        <f>VLOOKUP(D151,$K$11:$L$23,2,TRUE)</f>
        <v>0.04</v>
      </c>
      <c r="H151" s="110">
        <f>ROUND(I150*G151/12,2)</f>
        <v>184.5</v>
      </c>
      <c r="I151" s="110">
        <f>I150-F151</f>
        <v>53929.380000000085</v>
      </c>
    </row>
    <row r="152" spans="4:9">
      <c r="D152" s="104">
        <f>D151+1</f>
        <v>142</v>
      </c>
      <c r="E152" s="110">
        <f>-ROUND($C$6,2)</f>
        <v>1603.83</v>
      </c>
      <c r="F152" s="110">
        <f>E152-H152</f>
        <v>1424.07</v>
      </c>
      <c r="G152" s="164">
        <f>VLOOKUP(D152,$K$11:$L$23,2,TRUE)</f>
        <v>0.04</v>
      </c>
      <c r="H152" s="110">
        <f>ROUND(I151*G152/12,2)</f>
        <v>179.76</v>
      </c>
      <c r="I152" s="110">
        <f>I151-F152</f>
        <v>52505.310000000085</v>
      </c>
    </row>
    <row r="153" spans="4:9">
      <c r="D153" s="104">
        <f>D152+1</f>
        <v>143</v>
      </c>
      <c r="E153" s="110">
        <f>-ROUND($C$6,2)</f>
        <v>1603.83</v>
      </c>
      <c r="F153" s="110">
        <f>E153-H153</f>
        <v>1428.81</v>
      </c>
      <c r="G153" s="164">
        <f>VLOOKUP(D153,$K$11:$L$23,2,TRUE)</f>
        <v>0.04</v>
      </c>
      <c r="H153" s="110">
        <f>ROUND(I152*G153/12,2)</f>
        <v>175.02</v>
      </c>
      <c r="I153" s="110">
        <f>I152-F153</f>
        <v>51076.500000000087</v>
      </c>
    </row>
    <row r="154" spans="4:9">
      <c r="D154" s="104">
        <f>D153+1</f>
        <v>144</v>
      </c>
      <c r="E154" s="110">
        <f>-ROUND($C$6,2)</f>
        <v>1603.83</v>
      </c>
      <c r="F154" s="110">
        <f>E154-H154</f>
        <v>1433.57</v>
      </c>
      <c r="G154" s="164">
        <f>VLOOKUP(D154,$K$11:$L$23,2,TRUE)</f>
        <v>0.04</v>
      </c>
      <c r="H154" s="110">
        <f>ROUND(I153*G154/12,2)</f>
        <v>170.26</v>
      </c>
      <c r="I154" s="110">
        <f>I153-F154</f>
        <v>49642.930000000088</v>
      </c>
    </row>
    <row r="155" spans="4:9">
      <c r="D155" s="104">
        <f>D154+1</f>
        <v>145</v>
      </c>
      <c r="E155" s="110">
        <f>-ROUND($C$6,2)</f>
        <v>1603.83</v>
      </c>
      <c r="F155" s="110">
        <f>E155-H155</f>
        <v>1438.35</v>
      </c>
      <c r="G155" s="164">
        <f>VLOOKUP(D155,$K$11:$L$23,2,TRUE)</f>
        <v>0.04</v>
      </c>
      <c r="H155" s="110">
        <f>ROUND(I154*G155/12,2)</f>
        <v>165.48</v>
      </c>
      <c r="I155" s="110">
        <f>I154-F155</f>
        <v>48204.580000000089</v>
      </c>
    </row>
    <row r="156" spans="4:9">
      <c r="D156" s="104">
        <f>D155+1</f>
        <v>146</v>
      </c>
      <c r="E156" s="110">
        <f>-ROUND($C$6,2)</f>
        <v>1603.83</v>
      </c>
      <c r="F156" s="110">
        <f>E156-H156</f>
        <v>1443.1499999999999</v>
      </c>
      <c r="G156" s="164">
        <f>VLOOKUP(D156,$K$11:$L$23,2,TRUE)</f>
        <v>0.04</v>
      </c>
      <c r="H156" s="110">
        <f>ROUND(I155*G156/12,2)</f>
        <v>160.68</v>
      </c>
      <c r="I156" s="110">
        <f>I155-F156</f>
        <v>46761.430000000088</v>
      </c>
    </row>
    <row r="157" spans="4:9">
      <c r="D157" s="104">
        <f>D156+1</f>
        <v>147</v>
      </c>
      <c r="E157" s="110">
        <f>-ROUND($C$6,2)</f>
        <v>1603.83</v>
      </c>
      <c r="F157" s="110">
        <f>E157-H157</f>
        <v>1447.96</v>
      </c>
      <c r="G157" s="164">
        <f>VLOOKUP(D157,$K$11:$L$23,2,TRUE)</f>
        <v>0.04</v>
      </c>
      <c r="H157" s="110">
        <f>ROUND(I156*G157/12,2)</f>
        <v>155.87</v>
      </c>
      <c r="I157" s="110">
        <f>I156-F157</f>
        <v>45313.470000000088</v>
      </c>
    </row>
    <row r="158" spans="4:9">
      <c r="D158" s="104">
        <f>D157+1</f>
        <v>148</v>
      </c>
      <c r="E158" s="110">
        <f>-ROUND($C$6,2)</f>
        <v>1603.83</v>
      </c>
      <c r="F158" s="110">
        <f>E158-H158</f>
        <v>1452.79</v>
      </c>
      <c r="G158" s="164">
        <f>VLOOKUP(D158,$K$11:$L$23,2,TRUE)</f>
        <v>0.04</v>
      </c>
      <c r="H158" s="110">
        <f>ROUND(I157*G158/12,2)</f>
        <v>151.04</v>
      </c>
      <c r="I158" s="110">
        <f>I157-F158</f>
        <v>43860.680000000088</v>
      </c>
    </row>
    <row r="159" spans="4:9">
      <c r="D159" s="104">
        <f>D158+1</f>
        <v>149</v>
      </c>
      <c r="E159" s="110">
        <f>-ROUND($C$6,2)</f>
        <v>1603.83</v>
      </c>
      <c r="F159" s="110">
        <f>E159-H159</f>
        <v>1457.6299999999999</v>
      </c>
      <c r="G159" s="164">
        <f>VLOOKUP(D159,$K$11:$L$23,2,TRUE)</f>
        <v>0.04</v>
      </c>
      <c r="H159" s="110">
        <f>ROUND(I158*G159/12,2)</f>
        <v>146.19999999999999</v>
      </c>
      <c r="I159" s="110">
        <f>I158-F159</f>
        <v>42403.05000000009</v>
      </c>
    </row>
    <row r="160" spans="4:9">
      <c r="D160" s="104">
        <f>D159+1</f>
        <v>150</v>
      </c>
      <c r="E160" s="110">
        <f>-ROUND($C$6,2)</f>
        <v>1603.83</v>
      </c>
      <c r="F160" s="110">
        <f>E160-H160</f>
        <v>1462.49</v>
      </c>
      <c r="G160" s="164">
        <f>VLOOKUP(D160,$K$11:$L$23,2,TRUE)</f>
        <v>0.04</v>
      </c>
      <c r="H160" s="110">
        <f>ROUND(I159*G160/12,2)</f>
        <v>141.34</v>
      </c>
      <c r="I160" s="110">
        <f>I159-F160</f>
        <v>40940.560000000092</v>
      </c>
    </row>
    <row r="161" spans="4:9">
      <c r="D161" s="104">
        <f>D160+1</f>
        <v>151</v>
      </c>
      <c r="E161" s="110">
        <f>-ROUND($C$6,2)</f>
        <v>1603.83</v>
      </c>
      <c r="F161" s="110">
        <f>E161-H161</f>
        <v>1467.36</v>
      </c>
      <c r="G161" s="164">
        <f>VLOOKUP(D161,$K$11:$L$23,2,TRUE)</f>
        <v>0.04</v>
      </c>
      <c r="H161" s="110">
        <f>ROUND(I160*G161/12,2)</f>
        <v>136.47</v>
      </c>
      <c r="I161" s="110">
        <f>I160-F161</f>
        <v>39473.200000000092</v>
      </c>
    </row>
    <row r="162" spans="4:9">
      <c r="D162" s="104">
        <f>D161+1</f>
        <v>152</v>
      </c>
      <c r="E162" s="110">
        <f>-ROUND($C$6,2)</f>
        <v>1603.83</v>
      </c>
      <c r="F162" s="110">
        <f>E162-H162</f>
        <v>1472.25</v>
      </c>
      <c r="G162" s="164">
        <f>VLOOKUP(D162,$K$11:$L$23,2,TRUE)</f>
        <v>0.04</v>
      </c>
      <c r="H162" s="110">
        <f>ROUND(I161*G162/12,2)</f>
        <v>131.58000000000001</v>
      </c>
      <c r="I162" s="110">
        <f>I161-F162</f>
        <v>38000.950000000092</v>
      </c>
    </row>
    <row r="163" spans="4:9">
      <c r="D163" s="104">
        <f>D162+1</f>
        <v>153</v>
      </c>
      <c r="E163" s="110">
        <f>-ROUND($C$6,2)</f>
        <v>1603.83</v>
      </c>
      <c r="F163" s="110">
        <f>E163-H163</f>
        <v>1477.1599999999999</v>
      </c>
      <c r="G163" s="164">
        <f>VLOOKUP(D163,$K$11:$L$23,2,TRUE)</f>
        <v>0.04</v>
      </c>
      <c r="H163" s="110">
        <f>ROUND(I162*G163/12,2)</f>
        <v>126.67</v>
      </c>
      <c r="I163" s="110">
        <f>I162-F163</f>
        <v>36523.790000000095</v>
      </c>
    </row>
    <row r="164" spans="4:9">
      <c r="D164" s="104">
        <f>D163+1</f>
        <v>154</v>
      </c>
      <c r="E164" s="110">
        <f>-ROUND($C$6,2)</f>
        <v>1603.83</v>
      </c>
      <c r="F164" s="110">
        <f>E164-H164</f>
        <v>1482.08</v>
      </c>
      <c r="G164" s="164">
        <f>VLOOKUP(D164,$K$11:$L$23,2,TRUE)</f>
        <v>0.04</v>
      </c>
      <c r="H164" s="110">
        <f>ROUND(I163*G164/12,2)</f>
        <v>121.75</v>
      </c>
      <c r="I164" s="110">
        <f>I163-F164</f>
        <v>35041.710000000094</v>
      </c>
    </row>
    <row r="165" spans="4:9">
      <c r="D165" s="104">
        <f>D164+1</f>
        <v>155</v>
      </c>
      <c r="E165" s="110">
        <f>-ROUND($C$6,2)</f>
        <v>1603.83</v>
      </c>
      <c r="F165" s="110">
        <f>E165-H165</f>
        <v>1487.02</v>
      </c>
      <c r="G165" s="164">
        <f>VLOOKUP(D165,$K$11:$L$23,2,TRUE)</f>
        <v>0.04</v>
      </c>
      <c r="H165" s="110">
        <f>ROUND(I164*G165/12,2)</f>
        <v>116.81</v>
      </c>
      <c r="I165" s="110">
        <f>I164-F165</f>
        <v>33554.690000000097</v>
      </c>
    </row>
    <row r="166" spans="4:9">
      <c r="D166" s="104">
        <f>D165+1</f>
        <v>156</v>
      </c>
      <c r="E166" s="110">
        <f>-ROUND($C$6,2)</f>
        <v>1603.83</v>
      </c>
      <c r="F166" s="110">
        <f>E166-H166</f>
        <v>1491.98</v>
      </c>
      <c r="G166" s="164">
        <f>VLOOKUP(D166,$K$11:$L$23,2,TRUE)</f>
        <v>0.04</v>
      </c>
      <c r="H166" s="110">
        <f>ROUND(I165*G166/12,2)</f>
        <v>111.85</v>
      </c>
      <c r="I166" s="110">
        <f>I165-F166</f>
        <v>32062.710000000097</v>
      </c>
    </row>
    <row r="167" spans="4:9">
      <c r="D167" s="104">
        <f>D166+1</f>
        <v>157</v>
      </c>
      <c r="E167" s="110">
        <f>-ROUND($C$6,2)</f>
        <v>1603.83</v>
      </c>
      <c r="F167" s="110">
        <f>E167-H167</f>
        <v>1496.9499999999998</v>
      </c>
      <c r="G167" s="164">
        <f>VLOOKUP(D167,$K$11:$L$23,2,TRUE)</f>
        <v>0.04</v>
      </c>
      <c r="H167" s="110">
        <f>ROUND(I166*G167/12,2)</f>
        <v>106.88</v>
      </c>
      <c r="I167" s="110">
        <f>I166-F167</f>
        <v>30565.760000000097</v>
      </c>
    </row>
    <row r="168" spans="4:9">
      <c r="D168" s="104">
        <f>D167+1</f>
        <v>158</v>
      </c>
      <c r="E168" s="110">
        <f>-ROUND($C$6,2)</f>
        <v>1603.83</v>
      </c>
      <c r="F168" s="110">
        <f>E168-H168</f>
        <v>1501.9399999999998</v>
      </c>
      <c r="G168" s="164">
        <f>VLOOKUP(D168,$K$11:$L$23,2,TRUE)</f>
        <v>0.04</v>
      </c>
      <c r="H168" s="110">
        <f>ROUND(I167*G168/12,2)</f>
        <v>101.89</v>
      </c>
      <c r="I168" s="110">
        <f>I167-F168</f>
        <v>29063.820000000098</v>
      </c>
    </row>
    <row r="169" spans="4:9">
      <c r="D169" s="104">
        <f>D168+1</f>
        <v>159</v>
      </c>
      <c r="E169" s="110">
        <f>-ROUND($C$6,2)</f>
        <v>1603.83</v>
      </c>
      <c r="F169" s="110">
        <f>E169-H169</f>
        <v>1506.9499999999998</v>
      </c>
      <c r="G169" s="164">
        <f>VLOOKUP(D169,$K$11:$L$23,2,TRUE)</f>
        <v>0.04</v>
      </c>
      <c r="H169" s="110">
        <f>ROUND(I168*G169/12,2)</f>
        <v>96.88</v>
      </c>
      <c r="I169" s="110">
        <f>I168-F169</f>
        <v>27556.870000000097</v>
      </c>
    </row>
    <row r="170" spans="4:9">
      <c r="D170" s="104">
        <f>D169+1</f>
        <v>160</v>
      </c>
      <c r="E170" s="110">
        <f>-ROUND($C$6,2)</f>
        <v>1603.83</v>
      </c>
      <c r="F170" s="110">
        <f>E170-H170</f>
        <v>1511.97</v>
      </c>
      <c r="G170" s="164">
        <f>VLOOKUP(D170,$K$11:$L$23,2,TRUE)</f>
        <v>0.04</v>
      </c>
      <c r="H170" s="110">
        <f>ROUND(I169*G170/12,2)</f>
        <v>91.86</v>
      </c>
      <c r="I170" s="110">
        <f>I169-F170</f>
        <v>26044.900000000096</v>
      </c>
    </row>
    <row r="171" spans="4:9">
      <c r="D171" s="104">
        <f>D170+1</f>
        <v>161</v>
      </c>
      <c r="E171" s="110">
        <f>-ROUND($C$6,2)</f>
        <v>1603.83</v>
      </c>
      <c r="F171" s="110">
        <f>E171-H171</f>
        <v>1517.01</v>
      </c>
      <c r="G171" s="164">
        <f>VLOOKUP(D171,$K$11:$L$23,2,TRUE)</f>
        <v>0.04</v>
      </c>
      <c r="H171" s="110">
        <f>ROUND(I170*G171/12,2)</f>
        <v>86.82</v>
      </c>
      <c r="I171" s="110">
        <f>I170-F171</f>
        <v>24527.890000000098</v>
      </c>
    </row>
    <row r="172" spans="4:9">
      <c r="D172" s="104">
        <f>D171+1</f>
        <v>162</v>
      </c>
      <c r="E172" s="110">
        <f>-ROUND($C$6,2)</f>
        <v>1603.83</v>
      </c>
      <c r="F172" s="110">
        <f>E172-H172</f>
        <v>1522.07</v>
      </c>
      <c r="G172" s="164">
        <f>VLOOKUP(D172,$K$11:$L$23,2,TRUE)</f>
        <v>0.04</v>
      </c>
      <c r="H172" s="110">
        <f>ROUND(I171*G172/12,2)</f>
        <v>81.760000000000005</v>
      </c>
      <c r="I172" s="110">
        <f>I171-F172</f>
        <v>23005.820000000098</v>
      </c>
    </row>
    <row r="173" spans="4:9">
      <c r="D173" s="104">
        <f>D172+1</f>
        <v>163</v>
      </c>
      <c r="E173" s="110">
        <f>-ROUND($C$6,2)</f>
        <v>1603.83</v>
      </c>
      <c r="F173" s="110">
        <f>E173-H173</f>
        <v>1527.1399999999999</v>
      </c>
      <c r="G173" s="164">
        <f>VLOOKUP(D173,$K$11:$L$23,2,TRUE)</f>
        <v>0.04</v>
      </c>
      <c r="H173" s="110">
        <f>ROUND(I172*G173/12,2)</f>
        <v>76.69</v>
      </c>
      <c r="I173" s="110">
        <f>I172-F173</f>
        <v>21478.680000000099</v>
      </c>
    </row>
    <row r="174" spans="4:9">
      <c r="D174" s="104">
        <f>D173+1</f>
        <v>164</v>
      </c>
      <c r="E174" s="110">
        <f>-ROUND($C$6,2)</f>
        <v>1603.83</v>
      </c>
      <c r="F174" s="110">
        <f>E174-H174</f>
        <v>1532.23</v>
      </c>
      <c r="G174" s="164">
        <f>VLOOKUP(D174,$K$11:$L$23,2,TRUE)</f>
        <v>0.04</v>
      </c>
      <c r="H174" s="110">
        <f>ROUND(I173*G174/12,2)</f>
        <v>71.599999999999994</v>
      </c>
      <c r="I174" s="110">
        <f>I173-F174</f>
        <v>19946.450000000099</v>
      </c>
    </row>
    <row r="175" spans="4:9">
      <c r="D175" s="104">
        <f>D174+1</f>
        <v>165</v>
      </c>
      <c r="E175" s="110">
        <f>-ROUND($C$6,2)</f>
        <v>1603.83</v>
      </c>
      <c r="F175" s="110">
        <f>E175-H175</f>
        <v>1537.34</v>
      </c>
      <c r="G175" s="164">
        <f>VLOOKUP(D175,$K$11:$L$23,2,TRUE)</f>
        <v>0.04</v>
      </c>
      <c r="H175" s="110">
        <f>ROUND(I174*G175/12,2)</f>
        <v>66.489999999999995</v>
      </c>
      <c r="I175" s="110">
        <f>I174-F175</f>
        <v>18409.110000000099</v>
      </c>
    </row>
    <row r="176" spans="4:9">
      <c r="D176" s="104">
        <f>D175+1</f>
        <v>166</v>
      </c>
      <c r="E176" s="110">
        <f>-ROUND($C$6,2)</f>
        <v>1603.83</v>
      </c>
      <c r="F176" s="110">
        <f>E176-H176</f>
        <v>1542.47</v>
      </c>
      <c r="G176" s="164">
        <f>VLOOKUP(D176,$K$11:$L$23,2,TRUE)</f>
        <v>0.04</v>
      </c>
      <c r="H176" s="110">
        <f>ROUND(I175*G176/12,2)</f>
        <v>61.36</v>
      </c>
      <c r="I176" s="110">
        <f>I175-F176</f>
        <v>16866.640000000098</v>
      </c>
    </row>
    <row r="177" spans="4:9">
      <c r="D177" s="104">
        <f>D176+1</f>
        <v>167</v>
      </c>
      <c r="E177" s="110">
        <f>-ROUND($C$6,2)</f>
        <v>1603.83</v>
      </c>
      <c r="F177" s="110">
        <f>E177-H177</f>
        <v>1547.61</v>
      </c>
      <c r="G177" s="164">
        <f>VLOOKUP(D177,$K$11:$L$23,2,TRUE)</f>
        <v>0.04</v>
      </c>
      <c r="H177" s="110">
        <f>ROUND(I176*G177/12,2)</f>
        <v>56.22</v>
      </c>
      <c r="I177" s="110">
        <f>I176-F177</f>
        <v>15319.030000000097</v>
      </c>
    </row>
    <row r="178" spans="4:9">
      <c r="D178" s="104">
        <f>D177+1</f>
        <v>168</v>
      </c>
      <c r="E178" s="110">
        <f>-ROUND($C$6,2)</f>
        <v>1603.83</v>
      </c>
      <c r="F178" s="110">
        <f>E178-H178</f>
        <v>1552.77</v>
      </c>
      <c r="G178" s="164">
        <f>VLOOKUP(D178,$K$11:$L$23,2,TRUE)</f>
        <v>0.04</v>
      </c>
      <c r="H178" s="110">
        <f>ROUND(I177*G178/12,2)</f>
        <v>51.06</v>
      </c>
      <c r="I178" s="110">
        <f>I177-F178</f>
        <v>13766.260000000097</v>
      </c>
    </row>
    <row r="179" spans="4:9">
      <c r="D179" s="104">
        <f>D178+1</f>
        <v>169</v>
      </c>
      <c r="E179" s="110">
        <f>-ROUND($C$6,2)</f>
        <v>1603.83</v>
      </c>
      <c r="F179" s="110">
        <f>E179-H179</f>
        <v>1557.9399999999998</v>
      </c>
      <c r="G179" s="164">
        <f>VLOOKUP(D179,$K$11:$L$23,2,TRUE)</f>
        <v>0.04</v>
      </c>
      <c r="H179" s="110">
        <f>ROUND(I178*G179/12,2)</f>
        <v>45.89</v>
      </c>
      <c r="I179" s="110">
        <f>I178-F179</f>
        <v>12208.320000000096</v>
      </c>
    </row>
    <row r="180" spans="4:9">
      <c r="D180" s="104">
        <f>D179+1</f>
        <v>170</v>
      </c>
      <c r="E180" s="110">
        <f>-ROUND($C$6,2)</f>
        <v>1603.83</v>
      </c>
      <c r="F180" s="110">
        <f>E180-H180</f>
        <v>1563.1399999999999</v>
      </c>
      <c r="G180" s="164">
        <f>VLOOKUP(D180,$K$11:$L$23,2,TRUE)</f>
        <v>0.04</v>
      </c>
      <c r="H180" s="110">
        <f>ROUND(I179*G180/12,2)</f>
        <v>40.69</v>
      </c>
      <c r="I180" s="110">
        <f>I179-F180</f>
        <v>10645.180000000097</v>
      </c>
    </row>
    <row r="181" spans="4:9">
      <c r="D181" s="104">
        <f>D180+1</f>
        <v>171</v>
      </c>
      <c r="E181" s="110">
        <f>-ROUND($C$6,2)</f>
        <v>1603.83</v>
      </c>
      <c r="F181" s="110">
        <f>E181-H181</f>
        <v>1568.35</v>
      </c>
      <c r="G181" s="164">
        <f>VLOOKUP(D181,$K$11:$L$23,2,TRUE)</f>
        <v>0.04</v>
      </c>
      <c r="H181" s="110">
        <f>ROUND(I180*G181/12,2)</f>
        <v>35.479999999999997</v>
      </c>
      <c r="I181" s="110">
        <f>I180-F181</f>
        <v>9076.8300000000963</v>
      </c>
    </row>
    <row r="182" spans="4:9">
      <c r="D182" s="104">
        <f>D181+1</f>
        <v>172</v>
      </c>
      <c r="E182" s="110">
        <f>-ROUND($C$6,2)</f>
        <v>1603.83</v>
      </c>
      <c r="F182" s="110">
        <f>E182-H182</f>
        <v>1573.57</v>
      </c>
      <c r="G182" s="164">
        <f>VLOOKUP(D182,$K$11:$L$23,2,TRUE)</f>
        <v>0.04</v>
      </c>
      <c r="H182" s="110">
        <f>ROUND(I181*G182/12,2)</f>
        <v>30.26</v>
      </c>
      <c r="I182" s="110">
        <f>I181-F182</f>
        <v>7503.2600000000966</v>
      </c>
    </row>
    <row r="183" spans="4:9">
      <c r="D183" s="104">
        <f>D182+1</f>
        <v>173</v>
      </c>
      <c r="E183" s="110">
        <f>-ROUND($C$6,2)</f>
        <v>1603.83</v>
      </c>
      <c r="F183" s="110">
        <f>E183-H183</f>
        <v>1578.82</v>
      </c>
      <c r="G183" s="164">
        <f>VLOOKUP(D183,$K$11:$L$23,2,TRUE)</f>
        <v>0.04</v>
      </c>
      <c r="H183" s="110">
        <f>ROUND(I182*G183/12,2)</f>
        <v>25.01</v>
      </c>
      <c r="I183" s="110">
        <f>I182-F183</f>
        <v>5924.4400000000969</v>
      </c>
    </row>
    <row r="184" spans="4:9">
      <c r="D184" s="104">
        <f>D183+1</f>
        <v>174</v>
      </c>
      <c r="E184" s="110">
        <f>-ROUND($C$6,2)</f>
        <v>1603.83</v>
      </c>
      <c r="F184" s="110">
        <f>E184-H184</f>
        <v>1584.08</v>
      </c>
      <c r="G184" s="164">
        <f>VLOOKUP(D184,$K$11:$L$23,2,TRUE)</f>
        <v>0.04</v>
      </c>
      <c r="H184" s="110">
        <f>ROUND(I183*G184/12,2)</f>
        <v>19.75</v>
      </c>
      <c r="I184" s="110">
        <f>I183-F184</f>
        <v>4340.360000000097</v>
      </c>
    </row>
    <row r="185" spans="4:9">
      <c r="D185" s="104">
        <f>D184+1</f>
        <v>175</v>
      </c>
      <c r="E185" s="110">
        <f>-ROUND($C$6,2)</f>
        <v>1603.83</v>
      </c>
      <c r="F185" s="110">
        <f>E185-H185</f>
        <v>1589.36</v>
      </c>
      <c r="G185" s="164">
        <f>VLOOKUP(D185,$K$11:$L$23,2,TRUE)</f>
        <v>0.04</v>
      </c>
      <c r="H185" s="110">
        <f>ROUND(I184*G185/12,2)</f>
        <v>14.47</v>
      </c>
      <c r="I185" s="110">
        <f>I184-F185</f>
        <v>2751.0000000000973</v>
      </c>
    </row>
    <row r="186" spans="4:9">
      <c r="D186" s="104">
        <f>D185+1</f>
        <v>176</v>
      </c>
      <c r="E186" s="110">
        <f>-ROUND($C$6,2)</f>
        <v>1603.83</v>
      </c>
      <c r="F186" s="110">
        <f>E186-H186</f>
        <v>1594.6599999999999</v>
      </c>
      <c r="G186" s="164">
        <f>VLOOKUP(D186,$K$11:$L$23,2,TRUE)</f>
        <v>0.04</v>
      </c>
      <c r="H186" s="110">
        <f>ROUND(I185*G186/12,2)</f>
        <v>9.17</v>
      </c>
      <c r="I186" s="110">
        <f>I185-F186</f>
        <v>1156.3400000000975</v>
      </c>
    </row>
    <row r="187" spans="4:9">
      <c r="D187" s="104">
        <f>D186+1</f>
        <v>177</v>
      </c>
      <c r="E187" s="110">
        <f>-ROUND($C$6,2)</f>
        <v>1603.83</v>
      </c>
      <c r="F187" s="110">
        <f>E187-H187</f>
        <v>1599.98</v>
      </c>
      <c r="G187" s="164">
        <f>VLOOKUP(D187,$K$11:$L$23,2,TRUE)</f>
        <v>0.04</v>
      </c>
      <c r="H187" s="110">
        <f>ROUND(I186*G187/12,2)</f>
        <v>3.85</v>
      </c>
      <c r="I187" s="110">
        <f>I186-F187</f>
        <v>-443.63999999990256</v>
      </c>
    </row>
    <row r="188" spans="4:9">
      <c r="D188" s="104">
        <f>D187+1</f>
        <v>178</v>
      </c>
      <c r="E188" s="110">
        <f>-ROUND($C$6,2)</f>
        <v>1603.83</v>
      </c>
      <c r="F188" s="110">
        <f>E188-H188</f>
        <v>1605.31</v>
      </c>
      <c r="G188" s="164">
        <f>VLOOKUP(D188,$K$11:$L$23,2,TRUE)</f>
        <v>0.04</v>
      </c>
      <c r="H188" s="110">
        <f>ROUND(I187*G188/12,2)</f>
        <v>-1.48</v>
      </c>
      <c r="I188" s="110">
        <f>I187-F188</f>
        <v>-2048.9499999999025</v>
      </c>
    </row>
    <row r="189" spans="4:9">
      <c r="D189" s="104">
        <f>D188+1</f>
        <v>179</v>
      </c>
      <c r="E189" s="110">
        <f>-ROUND($C$6,2)</f>
        <v>1603.83</v>
      </c>
      <c r="F189" s="110">
        <f>E189-H189</f>
        <v>1610.6599999999999</v>
      </c>
      <c r="G189" s="164">
        <f>VLOOKUP(D189,$K$11:$L$23,2,TRUE)</f>
        <v>0.04</v>
      </c>
      <c r="H189" s="110">
        <f>ROUND(I188*G189/12,2)</f>
        <v>-6.83</v>
      </c>
      <c r="I189" s="110">
        <f>I188-F189</f>
        <v>-3659.6099999999024</v>
      </c>
    </row>
    <row r="190" spans="4:9">
      <c r="D190" s="104">
        <f>D189+1</f>
        <v>180</v>
      </c>
      <c r="E190" s="110">
        <f>-ROUND($C$6,2)</f>
        <v>1603.83</v>
      </c>
      <c r="F190" s="110">
        <f>E190-H190</f>
        <v>1616.03</v>
      </c>
      <c r="G190" s="164">
        <f>VLOOKUP(D190,$K$11:$L$23,2,TRUE)</f>
        <v>0.04</v>
      </c>
      <c r="H190" s="110">
        <f>ROUND(I189*G190/12,2)</f>
        <v>-12.2</v>
      </c>
      <c r="I190" s="110">
        <f>I189-F190</f>
        <v>-5275.6399999999021</v>
      </c>
    </row>
    <row r="191" spans="4:9">
      <c r="D191" s="104">
        <f>D190+1</f>
        <v>181</v>
      </c>
      <c r="E191" s="110">
        <f>-ROUND($C$6,2)</f>
        <v>1603.83</v>
      </c>
      <c r="F191" s="110">
        <f>E191-H191</f>
        <v>1621.4199999999998</v>
      </c>
      <c r="G191" s="164">
        <f>VLOOKUP(D191,$K$11:$L$23,2,TRUE)</f>
        <v>0.04</v>
      </c>
      <c r="H191" s="110">
        <f>ROUND(I190*G191/12,2)</f>
        <v>-17.59</v>
      </c>
      <c r="I191" s="110">
        <f>I190-F191</f>
        <v>-6897.0599999999022</v>
      </c>
    </row>
    <row r="192" spans="4:9">
      <c r="D192" s="104">
        <f>D191+1</f>
        <v>182</v>
      </c>
      <c r="E192" s="110">
        <f>-ROUND($C$6,2)</f>
        <v>1603.83</v>
      </c>
      <c r="F192" s="110">
        <f>E192-H192</f>
        <v>1626.82</v>
      </c>
      <c r="G192" s="164">
        <f>VLOOKUP(D192,$K$11:$L$23,2,TRUE)</f>
        <v>0.04</v>
      </c>
      <c r="H192" s="110">
        <f>ROUND(I191*G192/12,2)</f>
        <v>-22.99</v>
      </c>
      <c r="I192" s="110">
        <f>I191-F192</f>
        <v>-8523.8799999999028</v>
      </c>
    </row>
    <row r="193" spans="4:9">
      <c r="D193" s="104">
        <f>D192+1</f>
        <v>183</v>
      </c>
      <c r="E193" s="110">
        <f>-ROUND($C$6,2)</f>
        <v>1603.83</v>
      </c>
      <c r="F193" s="110">
        <f>E193-H193</f>
        <v>1632.24</v>
      </c>
      <c r="G193" s="164">
        <f>VLOOKUP(D193,$K$11:$L$23,2,TRUE)</f>
        <v>0.04</v>
      </c>
      <c r="H193" s="110">
        <f>ROUND(I192*G193/12,2)</f>
        <v>-28.41</v>
      </c>
      <c r="I193" s="110">
        <f>I192-F193</f>
        <v>-10156.119999999903</v>
      </c>
    </row>
    <row r="194" spans="4:9">
      <c r="D194" s="104">
        <f>D193+1</f>
        <v>184</v>
      </c>
      <c r="E194" s="110">
        <f>-ROUND($C$6,2)</f>
        <v>1603.83</v>
      </c>
      <c r="F194" s="110">
        <f>E194-H194</f>
        <v>1637.6799999999998</v>
      </c>
      <c r="G194" s="164">
        <f>VLOOKUP(D194,$K$11:$L$23,2,TRUE)</f>
        <v>0.04</v>
      </c>
      <c r="H194" s="110">
        <f>ROUND(I193*G194/12,2)</f>
        <v>-33.85</v>
      </c>
      <c r="I194" s="110">
        <f>I193-F194</f>
        <v>-11793.799999999903</v>
      </c>
    </row>
    <row r="195" spans="4:9">
      <c r="D195" s="104">
        <f>D194+1</f>
        <v>185</v>
      </c>
      <c r="E195" s="110">
        <f>-ROUND($C$6,2)</f>
        <v>1603.83</v>
      </c>
      <c r="F195" s="110">
        <f>E195-H195</f>
        <v>1643.1399999999999</v>
      </c>
      <c r="G195" s="164">
        <f>VLOOKUP(D195,$K$11:$L$23,2,TRUE)</f>
        <v>0.04</v>
      </c>
      <c r="H195" s="110">
        <f>ROUND(I194*G195/12,2)</f>
        <v>-39.31</v>
      </c>
      <c r="I195" s="110">
        <f>I194-F195</f>
        <v>-13436.939999999902</v>
      </c>
    </row>
    <row r="196" spans="4:9">
      <c r="D196" s="104">
        <f>D195+1</f>
        <v>186</v>
      </c>
      <c r="E196" s="110">
        <f>-ROUND($C$6,2)</f>
        <v>1603.83</v>
      </c>
      <c r="F196" s="110">
        <f>E196-H196</f>
        <v>1648.62</v>
      </c>
      <c r="G196" s="164">
        <f>VLOOKUP(D196,$K$11:$L$23,2,TRUE)</f>
        <v>0.04</v>
      </c>
      <c r="H196" s="110">
        <f>ROUND(I195*G196/12,2)</f>
        <v>-44.79</v>
      </c>
      <c r="I196" s="110">
        <f>I195-F196</f>
        <v>-15085.559999999903</v>
      </c>
    </row>
    <row r="197" spans="4:9">
      <c r="D197" s="104">
        <f>D196+1</f>
        <v>187</v>
      </c>
      <c r="E197" s="110">
        <f>-ROUND($C$6,2)</f>
        <v>1603.83</v>
      </c>
      <c r="F197" s="110">
        <f>E197-H197</f>
        <v>1654.12</v>
      </c>
      <c r="G197" s="164">
        <f>VLOOKUP(D197,$K$11:$L$23,2,TRUE)</f>
        <v>0.04</v>
      </c>
      <c r="H197" s="110">
        <f>ROUND(I196*G197/12,2)</f>
        <v>-50.29</v>
      </c>
      <c r="I197" s="110">
        <f>I196-F197</f>
        <v>-16739.679999999902</v>
      </c>
    </row>
    <row r="198" spans="4:9">
      <c r="D198" s="104">
        <f>D197+1</f>
        <v>188</v>
      </c>
      <c r="E198" s="110">
        <f>-ROUND($C$6,2)</f>
        <v>1603.83</v>
      </c>
      <c r="F198" s="110">
        <f>E198-H198</f>
        <v>1659.6299999999999</v>
      </c>
      <c r="G198" s="164">
        <f>VLOOKUP(D198,$K$11:$L$23,2,TRUE)</f>
        <v>0.04</v>
      </c>
      <c r="H198" s="110">
        <f>ROUND(I197*G198/12,2)</f>
        <v>-55.8</v>
      </c>
      <c r="I198" s="110">
        <f>I197-F198</f>
        <v>-18399.309999999903</v>
      </c>
    </row>
    <row r="199" spans="4:9">
      <c r="D199" s="104">
        <f>D198+1</f>
        <v>189</v>
      </c>
      <c r="E199" s="110">
        <f>-ROUND($C$6,2)</f>
        <v>1603.83</v>
      </c>
      <c r="F199" s="110">
        <f>E199-H199</f>
        <v>1665.1599999999999</v>
      </c>
      <c r="G199" s="164">
        <f>VLOOKUP(D199,$K$11:$L$23,2,TRUE)</f>
        <v>0.04</v>
      </c>
      <c r="H199" s="110">
        <f>ROUND(I198*G199/12,2)</f>
        <v>-61.33</v>
      </c>
      <c r="I199" s="110">
        <f>I198-F199</f>
        <v>-20064.469999999903</v>
      </c>
    </row>
    <row r="200" spans="4:9">
      <c r="D200" s="104">
        <f>D199+1</f>
        <v>190</v>
      </c>
      <c r="E200" s="110">
        <f>-ROUND($C$6,2)</f>
        <v>1603.83</v>
      </c>
      <c r="F200" s="110">
        <f>E200-H200</f>
        <v>1670.71</v>
      </c>
      <c r="G200" s="164">
        <f>VLOOKUP(D200,$K$11:$L$23,2,TRUE)</f>
        <v>0.04</v>
      </c>
      <c r="H200" s="110">
        <f>ROUND(I199*G200/12,2)</f>
        <v>-66.88</v>
      </c>
      <c r="I200" s="110">
        <f>I199-F200</f>
        <v>-21735.179999999902</v>
      </c>
    </row>
    <row r="201" spans="4:9">
      <c r="D201" s="104">
        <f>D200+1</f>
        <v>191</v>
      </c>
      <c r="E201" s="110">
        <f>-ROUND($C$6,2)</f>
        <v>1603.83</v>
      </c>
      <c r="F201" s="110">
        <f>E201-H201</f>
        <v>1676.28</v>
      </c>
      <c r="G201" s="164">
        <f>VLOOKUP(D201,$K$11:$L$23,2,TRUE)</f>
        <v>0.04</v>
      </c>
      <c r="H201" s="110">
        <f>ROUND(I200*G201/12,2)</f>
        <v>-72.45</v>
      </c>
      <c r="I201" s="110">
        <f>I200-F201</f>
        <v>-23411.459999999901</v>
      </c>
    </row>
    <row r="202" spans="4:9">
      <c r="D202" s="104">
        <f>D201+1</f>
        <v>192</v>
      </c>
      <c r="E202" s="110">
        <f>-ROUND($C$6,2)</f>
        <v>1603.83</v>
      </c>
      <c r="F202" s="110">
        <f>E202-H202</f>
        <v>1681.87</v>
      </c>
      <c r="G202" s="164">
        <f>VLOOKUP(D202,$K$11:$L$23,2,TRUE)</f>
        <v>0.04</v>
      </c>
      <c r="H202" s="110">
        <f>ROUND(I201*G202/12,2)</f>
        <v>-78.040000000000006</v>
      </c>
      <c r="I202" s="110">
        <f>I201-F202</f>
        <v>-25093.3299999999</v>
      </c>
    </row>
    <row r="203" spans="4:9">
      <c r="D203" s="104">
        <f>D202+1</f>
        <v>193</v>
      </c>
      <c r="E203" s="110">
        <f>-ROUND($C$6,2)</f>
        <v>1603.83</v>
      </c>
      <c r="F203" s="110">
        <f>E203-H203</f>
        <v>1687.47</v>
      </c>
      <c r="G203" s="164">
        <f>VLOOKUP(D203,$K$11:$L$23,2,TRUE)</f>
        <v>0.04</v>
      </c>
      <c r="H203" s="110">
        <f>ROUND(I202*G203/12,2)</f>
        <v>-83.64</v>
      </c>
      <c r="I203" s="110">
        <f>I202-F203</f>
        <v>-26780.799999999901</v>
      </c>
    </row>
    <row r="204" spans="4:9">
      <c r="D204" s="104">
        <f>D203+1</f>
        <v>194</v>
      </c>
      <c r="E204" s="110">
        <f>-ROUND($C$6,2)</f>
        <v>1603.83</v>
      </c>
      <c r="F204" s="110">
        <f>E204-H204</f>
        <v>1693.1</v>
      </c>
      <c r="G204" s="164">
        <f>VLOOKUP(D204,$K$11:$L$23,2,TRUE)</f>
        <v>0.04</v>
      </c>
      <c r="H204" s="110">
        <f>ROUND(I203*G204/12,2)</f>
        <v>-89.27</v>
      </c>
      <c r="I204" s="110">
        <f>I203-F204</f>
        <v>-28473.8999999999</v>
      </c>
    </row>
    <row r="205" spans="4:9">
      <c r="D205" s="104">
        <f>D204+1</f>
        <v>195</v>
      </c>
      <c r="E205" s="110">
        <f>-ROUND($C$6,2)</f>
        <v>1603.83</v>
      </c>
      <c r="F205" s="110">
        <f>E205-H205</f>
        <v>1698.74</v>
      </c>
      <c r="G205" s="164">
        <f>VLOOKUP(D205,$K$11:$L$23,2,TRUE)</f>
        <v>0.04</v>
      </c>
      <c r="H205" s="110">
        <f>ROUND(I204*G205/12,2)</f>
        <v>-94.91</v>
      </c>
      <c r="I205" s="110">
        <f>I204-F205</f>
        <v>-30172.639999999901</v>
      </c>
    </row>
    <row r="206" spans="4:9">
      <c r="D206" s="104">
        <f>D205+1</f>
        <v>196</v>
      </c>
      <c r="E206" s="110">
        <f>-ROUND($C$6,2)</f>
        <v>1603.83</v>
      </c>
      <c r="F206" s="110">
        <f>E206-H206</f>
        <v>1704.4099999999999</v>
      </c>
      <c r="G206" s="164">
        <f>VLOOKUP(D206,$K$11:$L$23,2,TRUE)</f>
        <v>0.04</v>
      </c>
      <c r="H206" s="110">
        <f>ROUND(I205*G206/12,2)</f>
        <v>-100.58</v>
      </c>
      <c r="I206" s="110">
        <f>I205-F206</f>
        <v>-31877.049999999901</v>
      </c>
    </row>
    <row r="207" spans="4:9">
      <c r="D207" s="104">
        <f>D206+1</f>
        <v>197</v>
      </c>
      <c r="E207" s="110">
        <f>-ROUND($C$6,2)</f>
        <v>1603.83</v>
      </c>
      <c r="F207" s="110">
        <f>E207-H207</f>
        <v>1710.09</v>
      </c>
      <c r="G207" s="164">
        <f>VLOOKUP(D207,$K$11:$L$23,2,TRUE)</f>
        <v>0.04</v>
      </c>
      <c r="H207" s="110">
        <f>ROUND(I206*G207/12,2)</f>
        <v>-106.26</v>
      </c>
      <c r="I207" s="110">
        <f>I206-F207</f>
        <v>-33587.139999999898</v>
      </c>
    </row>
    <row r="208" spans="4:9">
      <c r="D208" s="104">
        <f>D207+1</f>
        <v>198</v>
      </c>
      <c r="E208" s="110">
        <f>-ROUND($C$6,2)</f>
        <v>1603.83</v>
      </c>
      <c r="F208" s="110">
        <f>E208-H208</f>
        <v>1715.79</v>
      </c>
      <c r="G208" s="164">
        <f>VLOOKUP(D208,$K$11:$L$23,2,TRUE)</f>
        <v>0.04</v>
      </c>
      <c r="H208" s="110">
        <f>ROUND(I207*G208/12,2)</f>
        <v>-111.96</v>
      </c>
      <c r="I208" s="110">
        <f>I207-F208</f>
        <v>-35302.929999999898</v>
      </c>
    </row>
    <row r="209" spans="4:9">
      <c r="D209" s="104">
        <f>D208+1</f>
        <v>199</v>
      </c>
      <c r="E209" s="110">
        <f>-ROUND($C$6,2)</f>
        <v>1603.83</v>
      </c>
      <c r="F209" s="110">
        <f>E209-H209</f>
        <v>1721.51</v>
      </c>
      <c r="G209" s="164">
        <f>VLOOKUP(D209,$K$11:$L$23,2,TRUE)</f>
        <v>0.04</v>
      </c>
      <c r="H209" s="110">
        <f>ROUND(I208*G209/12,2)</f>
        <v>-117.68</v>
      </c>
      <c r="I209" s="110">
        <f>I208-F209</f>
        <v>-37024.4399999999</v>
      </c>
    </row>
    <row r="210" spans="4:9">
      <c r="D210" s="104">
        <f>D209+1</f>
        <v>200</v>
      </c>
      <c r="E210" s="110">
        <f>-ROUND($C$6,2)</f>
        <v>1603.83</v>
      </c>
      <c r="F210" s="110">
        <f>E210-H210</f>
        <v>1727.24</v>
      </c>
      <c r="G210" s="164">
        <f>VLOOKUP(D210,$K$11:$L$23,2,TRUE)</f>
        <v>0.04</v>
      </c>
      <c r="H210" s="110">
        <f>ROUND(I209*G210/12,2)</f>
        <v>-123.41</v>
      </c>
      <c r="I210" s="110">
        <f>I209-F210</f>
        <v>-38751.679999999898</v>
      </c>
    </row>
    <row r="211" spans="4:9">
      <c r="D211" s="104">
        <f>D210+1</f>
        <v>201</v>
      </c>
      <c r="E211" s="110">
        <f>-ROUND($C$6,2)</f>
        <v>1603.83</v>
      </c>
      <c r="F211" s="110">
        <f>E211-H211</f>
        <v>1733</v>
      </c>
      <c r="G211" s="164">
        <f>VLOOKUP(D211,$K$11:$L$23,2,TRUE)</f>
        <v>0.04</v>
      </c>
      <c r="H211" s="110">
        <f>ROUND(I210*G211/12,2)</f>
        <v>-129.16999999999999</v>
      </c>
      <c r="I211" s="110">
        <f>I210-F211</f>
        <v>-40484.679999999898</v>
      </c>
    </row>
    <row r="212" spans="4:9">
      <c r="D212" s="104">
        <f>D211+1</f>
        <v>202</v>
      </c>
      <c r="E212" s="110">
        <f>-ROUND($C$6,2)</f>
        <v>1603.83</v>
      </c>
      <c r="F212" s="110">
        <f>E212-H212</f>
        <v>1738.78</v>
      </c>
      <c r="G212" s="164">
        <f>VLOOKUP(D212,$K$11:$L$23,2,TRUE)</f>
        <v>0.04</v>
      </c>
      <c r="H212" s="110">
        <f>ROUND(I211*G212/12,2)</f>
        <v>-134.94999999999999</v>
      </c>
      <c r="I212" s="110">
        <f>I211-F212</f>
        <v>-42223.459999999897</v>
      </c>
    </row>
    <row r="213" spans="4:9">
      <c r="D213" s="104">
        <f>D212+1</f>
        <v>203</v>
      </c>
      <c r="E213" s="110">
        <f>-ROUND($C$6,2)</f>
        <v>1603.83</v>
      </c>
      <c r="F213" s="110">
        <f>E213-H213</f>
        <v>1744.57</v>
      </c>
      <c r="G213" s="164">
        <f>VLOOKUP(D213,$K$11:$L$23,2,TRUE)</f>
        <v>0.04</v>
      </c>
      <c r="H213" s="110">
        <f>ROUND(I212*G213/12,2)</f>
        <v>-140.74</v>
      </c>
      <c r="I213" s="110">
        <f>I212-F213</f>
        <v>-43968.029999999897</v>
      </c>
    </row>
    <row r="214" spans="4:9">
      <c r="D214" s="104">
        <f>D213+1</f>
        <v>204</v>
      </c>
      <c r="E214" s="110">
        <f>-ROUND($C$6,2)</f>
        <v>1603.83</v>
      </c>
      <c r="F214" s="110">
        <f>E214-H214</f>
        <v>1750.3899999999999</v>
      </c>
      <c r="G214" s="164">
        <f>VLOOKUP(D214,$K$11:$L$23,2,TRUE)</f>
        <v>0.04</v>
      </c>
      <c r="H214" s="110">
        <f>ROUND(I213*G214/12,2)</f>
        <v>-146.56</v>
      </c>
      <c r="I214" s="110">
        <f>I213-F214</f>
        <v>-45718.419999999896</v>
      </c>
    </row>
    <row r="215" spans="4:9">
      <c r="D215" s="104">
        <f>D214+1</f>
        <v>205</v>
      </c>
      <c r="E215" s="110">
        <f>-ROUND($C$6,2)</f>
        <v>1603.83</v>
      </c>
      <c r="F215" s="110">
        <f>E215-H215</f>
        <v>1756.2199999999998</v>
      </c>
      <c r="G215" s="164">
        <f>VLOOKUP(D215,$K$11:$L$23,2,TRUE)</f>
        <v>0.04</v>
      </c>
      <c r="H215" s="110">
        <f>ROUND(I214*G215/12,2)</f>
        <v>-152.38999999999999</v>
      </c>
      <c r="I215" s="110">
        <f>I214-F215</f>
        <v>-47474.639999999898</v>
      </c>
    </row>
    <row r="216" spans="4:9">
      <c r="D216" s="104">
        <f>D215+1</f>
        <v>206</v>
      </c>
      <c r="E216" s="110">
        <f>-ROUND($C$6,2)</f>
        <v>1603.83</v>
      </c>
      <c r="F216" s="110">
        <f>E216-H216</f>
        <v>1762.08</v>
      </c>
      <c r="G216" s="164">
        <f>VLOOKUP(D216,$K$11:$L$23,2,TRUE)</f>
        <v>0.04</v>
      </c>
      <c r="H216" s="110">
        <f>ROUND(I215*G216/12,2)</f>
        <v>-158.25</v>
      </c>
      <c r="I216" s="110">
        <f>I215-F216</f>
        <v>-49236.719999999899</v>
      </c>
    </row>
    <row r="217" spans="4:9">
      <c r="D217" s="104">
        <f>D216+1</f>
        <v>207</v>
      </c>
      <c r="E217" s="110">
        <f>-ROUND($C$6,2)</f>
        <v>1603.83</v>
      </c>
      <c r="F217" s="110">
        <f>E217-H217</f>
        <v>1767.9499999999998</v>
      </c>
      <c r="G217" s="164">
        <f>VLOOKUP(D217,$K$11:$L$23,2,TRUE)</f>
        <v>0.04</v>
      </c>
      <c r="H217" s="110">
        <f>ROUND(I216*G217/12,2)</f>
        <v>-164.12</v>
      </c>
      <c r="I217" s="110">
        <f>I216-F217</f>
        <v>-51004.669999999896</v>
      </c>
    </row>
    <row r="218" spans="4:9">
      <c r="D218" s="104">
        <f>D217+1</f>
        <v>208</v>
      </c>
      <c r="E218" s="110">
        <f>-ROUND($C$6,2)</f>
        <v>1603.83</v>
      </c>
      <c r="F218" s="110">
        <f>E218-H218</f>
        <v>1773.85</v>
      </c>
      <c r="G218" s="164">
        <f>VLOOKUP(D218,$K$11:$L$23,2,TRUE)</f>
        <v>0.04</v>
      </c>
      <c r="H218" s="110">
        <f>ROUND(I217*G218/12,2)</f>
        <v>-170.02</v>
      </c>
      <c r="I218" s="110">
        <f>I217-F218</f>
        <v>-52778.519999999895</v>
      </c>
    </row>
    <row r="219" spans="4:9">
      <c r="D219" s="104">
        <f>D218+1</f>
        <v>209</v>
      </c>
      <c r="E219" s="110">
        <f>-ROUND($C$6,2)</f>
        <v>1603.83</v>
      </c>
      <c r="F219" s="110">
        <f>E219-H219</f>
        <v>1779.76</v>
      </c>
      <c r="G219" s="164">
        <f>VLOOKUP(D219,$K$11:$L$23,2,TRUE)</f>
        <v>0.04</v>
      </c>
      <c r="H219" s="110">
        <f>ROUND(I218*G219/12,2)</f>
        <v>-175.93</v>
      </c>
      <c r="I219" s="110">
        <f>I218-F219</f>
        <v>-54558.279999999897</v>
      </c>
    </row>
    <row r="220" spans="4:9">
      <c r="D220" s="104">
        <f>D219+1</f>
        <v>210</v>
      </c>
      <c r="E220" s="110">
        <f>-ROUND($C$6,2)</f>
        <v>1603.83</v>
      </c>
      <c r="F220" s="110">
        <f>E220-H220</f>
        <v>1785.69</v>
      </c>
      <c r="G220" s="164">
        <f>VLOOKUP(D220,$K$11:$L$23,2,TRUE)</f>
        <v>0.04</v>
      </c>
      <c r="H220" s="110">
        <f>ROUND(I219*G220/12,2)</f>
        <v>-181.86</v>
      </c>
      <c r="I220" s="110">
        <f>I219-F220</f>
        <v>-56343.969999999899</v>
      </c>
    </row>
    <row r="221" spans="4:9">
      <c r="D221" s="104">
        <f>D220+1</f>
        <v>211</v>
      </c>
      <c r="E221" s="110">
        <f>-ROUND($C$6,2)</f>
        <v>1603.83</v>
      </c>
      <c r="F221" s="110">
        <f>E221-H221</f>
        <v>1791.6399999999999</v>
      </c>
      <c r="G221" s="164">
        <f>VLOOKUP(D221,$K$11:$L$23,2,TRUE)</f>
        <v>0.04</v>
      </c>
      <c r="H221" s="110">
        <f>ROUND(I220*G221/12,2)</f>
        <v>-187.81</v>
      </c>
      <c r="I221" s="110">
        <f>I220-F221</f>
        <v>-58135.609999999899</v>
      </c>
    </row>
    <row r="222" spans="4:9">
      <c r="D222" s="104">
        <f>D221+1</f>
        <v>212</v>
      </c>
      <c r="E222" s="110">
        <f>-ROUND($C$6,2)</f>
        <v>1603.83</v>
      </c>
      <c r="F222" s="110">
        <f>E222-H222</f>
        <v>1797.62</v>
      </c>
      <c r="G222" s="164">
        <f>VLOOKUP(D222,$K$11:$L$23,2,TRUE)</f>
        <v>0.04</v>
      </c>
      <c r="H222" s="110">
        <f>ROUND(I221*G222/12,2)</f>
        <v>-193.79</v>
      </c>
      <c r="I222" s="110">
        <f>I221-F222</f>
        <v>-59933.229999999901</v>
      </c>
    </row>
    <row r="223" spans="4:9">
      <c r="D223" s="104">
        <f>D222+1</f>
        <v>213</v>
      </c>
      <c r="E223" s="110">
        <f>-ROUND($C$6,2)</f>
        <v>1603.83</v>
      </c>
      <c r="F223" s="110">
        <f>E223-H223</f>
        <v>1803.61</v>
      </c>
      <c r="G223" s="164">
        <f>VLOOKUP(D223,$K$11:$L$23,2,TRUE)</f>
        <v>0.04</v>
      </c>
      <c r="H223" s="110">
        <f>ROUND(I222*G223/12,2)</f>
        <v>-199.78</v>
      </c>
      <c r="I223" s="110">
        <f>I222-F223</f>
        <v>-61736.839999999902</v>
      </c>
    </row>
    <row r="224" spans="4:9">
      <c r="D224" s="104">
        <f>D223+1</f>
        <v>214</v>
      </c>
      <c r="E224" s="110">
        <f>-ROUND($C$6,2)</f>
        <v>1603.83</v>
      </c>
      <c r="F224" s="110">
        <f>E224-H224</f>
        <v>1809.62</v>
      </c>
      <c r="G224" s="164">
        <f>VLOOKUP(D224,$K$11:$L$23,2,TRUE)</f>
        <v>0.04</v>
      </c>
      <c r="H224" s="110">
        <f>ROUND(I223*G224/12,2)</f>
        <v>-205.79</v>
      </c>
      <c r="I224" s="110">
        <f>I223-F224</f>
        <v>-63546.459999999905</v>
      </c>
    </row>
    <row r="225" spans="4:9">
      <c r="D225" s="104">
        <f>D224+1</f>
        <v>215</v>
      </c>
      <c r="E225" s="110">
        <f>-ROUND($C$6,2)</f>
        <v>1603.83</v>
      </c>
      <c r="F225" s="110">
        <f>E225-H225</f>
        <v>1815.6499999999999</v>
      </c>
      <c r="G225" s="164">
        <f>VLOOKUP(D225,$K$11:$L$23,2,TRUE)</f>
        <v>0.04</v>
      </c>
      <c r="H225" s="110">
        <f>ROUND(I224*G225/12,2)</f>
        <v>-211.82</v>
      </c>
      <c r="I225" s="110">
        <f>I224-F225</f>
        <v>-65362.109999999906</v>
      </c>
    </row>
    <row r="226" spans="4:9">
      <c r="D226" s="104">
        <f>D225+1</f>
        <v>216</v>
      </c>
      <c r="E226" s="110">
        <f>-ROUND($C$6,2)</f>
        <v>1603.83</v>
      </c>
      <c r="F226" s="110">
        <f>E226-H226</f>
        <v>1821.6999999999998</v>
      </c>
      <c r="G226" s="164">
        <f>VLOOKUP(D226,$K$11:$L$23,2,TRUE)</f>
        <v>0.04</v>
      </c>
      <c r="H226" s="110">
        <f>ROUND(I225*G226/12,2)</f>
        <v>-217.87</v>
      </c>
      <c r="I226" s="110">
        <f>I225-F226</f>
        <v>-67183.80999999991</v>
      </c>
    </row>
    <row r="227" spans="4:9">
      <c r="D227" s="104">
        <f>D226+1</f>
        <v>217</v>
      </c>
      <c r="E227" s="110">
        <f>-ROUND($C$6,2)</f>
        <v>1603.83</v>
      </c>
      <c r="F227" s="110">
        <f>E227-H227</f>
        <v>1827.78</v>
      </c>
      <c r="G227" s="164">
        <f>VLOOKUP(D227,$K$11:$L$23,2,TRUE)</f>
        <v>0.04</v>
      </c>
      <c r="H227" s="110">
        <f>ROUND(I226*G227/12,2)</f>
        <v>-223.95</v>
      </c>
      <c r="I227" s="110">
        <f>I226-F227</f>
        <v>-69011.589999999909</v>
      </c>
    </row>
    <row r="228" spans="4:9">
      <c r="D228" s="104">
        <f>D227+1</f>
        <v>218</v>
      </c>
      <c r="E228" s="110">
        <f>-ROUND($C$6,2)</f>
        <v>1603.83</v>
      </c>
      <c r="F228" s="110">
        <f>E228-H228</f>
        <v>1833.87</v>
      </c>
      <c r="G228" s="164">
        <f>VLOOKUP(D228,$K$11:$L$23,2,TRUE)</f>
        <v>0.04</v>
      </c>
      <c r="H228" s="110">
        <f>ROUND(I227*G228/12,2)</f>
        <v>-230.04</v>
      </c>
      <c r="I228" s="110">
        <f>I227-F228</f>
        <v>-70845.459999999905</v>
      </c>
    </row>
    <row r="229" spans="4:9">
      <c r="D229" s="104">
        <f>D228+1</f>
        <v>219</v>
      </c>
      <c r="E229" s="110">
        <f>-ROUND($C$6,2)</f>
        <v>1603.83</v>
      </c>
      <c r="F229" s="110">
        <f>E229-H229</f>
        <v>1839.98</v>
      </c>
      <c r="G229" s="164">
        <f>VLOOKUP(D229,$K$11:$L$23,2,TRUE)</f>
        <v>0.04</v>
      </c>
      <c r="H229" s="110">
        <f>ROUND(I228*G229/12,2)</f>
        <v>-236.15</v>
      </c>
      <c r="I229" s="110">
        <f>I228-F229</f>
        <v>-72685.4399999999</v>
      </c>
    </row>
    <row r="230" spans="4:9">
      <c r="D230" s="104">
        <f>D229+1</f>
        <v>220</v>
      </c>
      <c r="E230" s="110">
        <f>-ROUND($C$6,2)</f>
        <v>1603.83</v>
      </c>
      <c r="F230" s="110">
        <f>E230-H230</f>
        <v>1846.11</v>
      </c>
      <c r="G230" s="164">
        <f>VLOOKUP(D230,$K$11:$L$23,2,TRUE)</f>
        <v>0.04</v>
      </c>
      <c r="H230" s="110">
        <f>ROUND(I229*G230/12,2)</f>
        <v>-242.28</v>
      </c>
      <c r="I230" s="110">
        <f>I229-F230</f>
        <v>-74531.549999999901</v>
      </c>
    </row>
    <row r="231" spans="4:9">
      <c r="D231" s="104">
        <f>D230+1</f>
        <v>221</v>
      </c>
      <c r="E231" s="110">
        <f>-ROUND($C$6,2)</f>
        <v>1603.83</v>
      </c>
      <c r="F231" s="110">
        <f>E231-H231</f>
        <v>1852.27</v>
      </c>
      <c r="G231" s="164">
        <f>VLOOKUP(D231,$K$11:$L$23,2,TRUE)</f>
        <v>0.04</v>
      </c>
      <c r="H231" s="110">
        <f>ROUND(I230*G231/12,2)</f>
        <v>-248.44</v>
      </c>
      <c r="I231" s="110">
        <f>I230-F231</f>
        <v>-76383.819999999905</v>
      </c>
    </row>
    <row r="232" spans="4:9">
      <c r="D232" s="104">
        <f>D231+1</f>
        <v>222</v>
      </c>
      <c r="E232" s="110">
        <f>-ROUND($C$6,2)</f>
        <v>1603.83</v>
      </c>
      <c r="F232" s="110">
        <f>E232-H232</f>
        <v>1858.44</v>
      </c>
      <c r="G232" s="164">
        <f>VLOOKUP(D232,$K$11:$L$23,2,TRUE)</f>
        <v>0.04</v>
      </c>
      <c r="H232" s="110">
        <f>ROUND(I231*G232/12,2)</f>
        <v>-254.61</v>
      </c>
      <c r="I232" s="110">
        <f>I231-F232</f>
        <v>-78242.259999999907</v>
      </c>
    </row>
    <row r="233" spans="4:9">
      <c r="D233" s="104">
        <f>D232+1</f>
        <v>223</v>
      </c>
      <c r="E233" s="110">
        <f>-ROUND($C$6,2)</f>
        <v>1603.83</v>
      </c>
      <c r="F233" s="110">
        <f>E233-H233</f>
        <v>1864.6399999999999</v>
      </c>
      <c r="G233" s="164">
        <f>VLOOKUP(D233,$K$11:$L$23,2,TRUE)</f>
        <v>0.04</v>
      </c>
      <c r="H233" s="110">
        <f>ROUND(I232*G233/12,2)</f>
        <v>-260.81</v>
      </c>
      <c r="I233" s="110">
        <f>I232-F233</f>
        <v>-80106.899999999907</v>
      </c>
    </row>
    <row r="234" spans="4:9">
      <c r="D234" s="104">
        <f>D233+1</f>
        <v>224</v>
      </c>
      <c r="E234" s="110">
        <f>-ROUND($C$6,2)</f>
        <v>1603.83</v>
      </c>
      <c r="F234" s="110">
        <f>E234-H234</f>
        <v>1870.85</v>
      </c>
      <c r="G234" s="164">
        <f>VLOOKUP(D234,$K$11:$L$23,2,TRUE)</f>
        <v>0.04</v>
      </c>
      <c r="H234" s="110">
        <f>ROUND(I233*G234/12,2)</f>
        <v>-267.02</v>
      </c>
      <c r="I234" s="110">
        <f>I233-F234</f>
        <v>-81977.749999999913</v>
      </c>
    </row>
    <row r="235" spans="4:9">
      <c r="D235" s="104">
        <f>D234+1</f>
        <v>225</v>
      </c>
      <c r="E235" s="110">
        <f>-ROUND($C$6,2)</f>
        <v>1603.83</v>
      </c>
      <c r="F235" s="110">
        <f>E235-H235</f>
        <v>1877.09</v>
      </c>
      <c r="G235" s="164">
        <f>VLOOKUP(D235,$K$11:$L$23,2,TRUE)</f>
        <v>0.04</v>
      </c>
      <c r="H235" s="110">
        <f>ROUND(I234*G235/12,2)</f>
        <v>-273.26</v>
      </c>
      <c r="I235" s="110">
        <f>I234-F235</f>
        <v>-83854.839999999909</v>
      </c>
    </row>
    <row r="236" spans="4:9">
      <c r="D236" s="104">
        <f>D235+1</f>
        <v>226</v>
      </c>
      <c r="E236" s="110">
        <f>-ROUND($C$6,2)</f>
        <v>1603.83</v>
      </c>
      <c r="F236" s="110">
        <f>E236-H236</f>
        <v>1883.35</v>
      </c>
      <c r="G236" s="164">
        <f>VLOOKUP(D236,$K$11:$L$23,2,TRUE)</f>
        <v>0.04</v>
      </c>
      <c r="H236" s="110">
        <f>ROUND(I235*G236/12,2)</f>
        <v>-279.52</v>
      </c>
      <c r="I236" s="110">
        <f>I235-F236</f>
        <v>-85738.189999999915</v>
      </c>
    </row>
    <row r="237" spans="4:9">
      <c r="D237" s="104">
        <f>D236+1</f>
        <v>227</v>
      </c>
      <c r="E237" s="110">
        <f>-ROUND($C$6,2)</f>
        <v>1603.83</v>
      </c>
      <c r="F237" s="110">
        <f>E237-H237</f>
        <v>1889.62</v>
      </c>
      <c r="G237" s="164">
        <f>VLOOKUP(D237,$K$11:$L$23,2,TRUE)</f>
        <v>0.04</v>
      </c>
      <c r="H237" s="110">
        <f>ROUND(I236*G237/12,2)</f>
        <v>-285.79000000000002</v>
      </c>
      <c r="I237" s="110">
        <f>I236-F237</f>
        <v>-87627.80999999991</v>
      </c>
    </row>
    <row r="238" spans="4:9">
      <c r="D238" s="104">
        <f>D237+1</f>
        <v>228</v>
      </c>
      <c r="E238" s="110">
        <f>-ROUND($C$6,2)</f>
        <v>1603.83</v>
      </c>
      <c r="F238" s="110">
        <f>E238-H238</f>
        <v>1895.9199999999998</v>
      </c>
      <c r="G238" s="164">
        <f>VLOOKUP(D238,$K$11:$L$23,2,TRUE)</f>
        <v>0.04</v>
      </c>
      <c r="H238" s="110">
        <f>ROUND(I237*G238/12,2)</f>
        <v>-292.08999999999997</v>
      </c>
      <c r="I238" s="110">
        <f>I237-F238</f>
        <v>-89523.729999999909</v>
      </c>
    </row>
    <row r="239" spans="4:9">
      <c r="D239" s="104">
        <f>D238+1</f>
        <v>229</v>
      </c>
      <c r="E239" s="110">
        <f>-ROUND($C$6,2)</f>
        <v>1603.83</v>
      </c>
      <c r="F239" s="110">
        <f>E239-H239</f>
        <v>1902.24</v>
      </c>
      <c r="G239" s="164">
        <f>VLOOKUP(D239,$K$11:$L$23,2,TRUE)</f>
        <v>0.04</v>
      </c>
      <c r="H239" s="110">
        <f>ROUND(I238*G239/12,2)</f>
        <v>-298.41000000000003</v>
      </c>
      <c r="I239" s="110">
        <f>I238-F239</f>
        <v>-91425.969999999914</v>
      </c>
    </row>
    <row r="240" spans="4:9">
      <c r="D240" s="104">
        <f>D239+1</f>
        <v>230</v>
      </c>
      <c r="E240" s="110">
        <f>-ROUND($C$6,2)</f>
        <v>1603.83</v>
      </c>
      <c r="F240" s="110">
        <f>E240-H240</f>
        <v>1908.58</v>
      </c>
      <c r="G240" s="164">
        <f>VLOOKUP(D240,$K$11:$L$23,2,TRUE)</f>
        <v>0.04</v>
      </c>
      <c r="H240" s="110">
        <f>ROUND(I239*G240/12,2)</f>
        <v>-304.75</v>
      </c>
      <c r="I240" s="110">
        <f>I239-F240</f>
        <v>-93334.549999999916</v>
      </c>
    </row>
    <row r="241" spans="4:9">
      <c r="D241" s="104">
        <f>D240+1</f>
        <v>231</v>
      </c>
      <c r="E241" s="110">
        <f>-ROUND($C$6,2)</f>
        <v>1603.83</v>
      </c>
      <c r="F241" s="110">
        <f>E241-H241</f>
        <v>1914.9499999999998</v>
      </c>
      <c r="G241" s="164">
        <f>VLOOKUP(D241,$K$11:$L$23,2,TRUE)</f>
        <v>0.04</v>
      </c>
      <c r="H241" s="110">
        <f>ROUND(I240*G241/12,2)</f>
        <v>-311.12</v>
      </c>
      <c r="I241" s="110">
        <f>I240-F241</f>
        <v>-95249.499999999913</v>
      </c>
    </row>
    <row r="242" spans="4:9">
      <c r="D242" s="104">
        <f>D241+1</f>
        <v>232</v>
      </c>
      <c r="E242" s="110">
        <f>-ROUND($C$6,2)</f>
        <v>1603.83</v>
      </c>
      <c r="F242" s="110">
        <f>E242-H242</f>
        <v>1921.33</v>
      </c>
      <c r="G242" s="164">
        <f>VLOOKUP(D242,$K$11:$L$23,2,TRUE)</f>
        <v>0.04</v>
      </c>
      <c r="H242" s="110">
        <f>ROUND(I241*G242/12,2)</f>
        <v>-317.5</v>
      </c>
      <c r="I242" s="110">
        <f>I241-F242</f>
        <v>-97170.829999999914</v>
      </c>
    </row>
    <row r="243" spans="4:9">
      <c r="D243" s="104">
        <f>D242+1</f>
        <v>233</v>
      </c>
      <c r="E243" s="110">
        <f>-ROUND($C$6,2)</f>
        <v>1603.83</v>
      </c>
      <c r="F243" s="110">
        <f>E243-H243</f>
        <v>1927.73</v>
      </c>
      <c r="G243" s="164">
        <f>VLOOKUP(D243,$K$11:$L$23,2,TRUE)</f>
        <v>0.04</v>
      </c>
      <c r="H243" s="110">
        <f>ROUND(I242*G243/12,2)</f>
        <v>-323.89999999999998</v>
      </c>
      <c r="I243" s="110">
        <f>I242-F243</f>
        <v>-99098.55999999991</v>
      </c>
    </row>
    <row r="244" spans="4:9">
      <c r="D244" s="104">
        <f>D243+1</f>
        <v>234</v>
      </c>
      <c r="E244" s="110">
        <f>-ROUND($C$6,2)</f>
        <v>1603.83</v>
      </c>
      <c r="F244" s="110">
        <f>E244-H244</f>
        <v>1934.1599999999999</v>
      </c>
      <c r="G244" s="164">
        <f>VLOOKUP(D244,$K$11:$L$23,2,TRUE)</f>
        <v>0.04</v>
      </c>
      <c r="H244" s="110">
        <f>ROUND(I243*G244/12,2)</f>
        <v>-330.33</v>
      </c>
      <c r="I244" s="110">
        <f>I243-F244</f>
        <v>-101032.71999999991</v>
      </c>
    </row>
    <row r="245" spans="4:9">
      <c r="D245" s="104">
        <f>D244+1</f>
        <v>235</v>
      </c>
      <c r="E245" s="110">
        <f>-ROUND($C$6,2)</f>
        <v>1603.83</v>
      </c>
      <c r="F245" s="110">
        <f>E245-H245</f>
        <v>1940.61</v>
      </c>
      <c r="G245" s="164">
        <f>VLOOKUP(D245,$K$11:$L$23,2,TRUE)</f>
        <v>0.04</v>
      </c>
      <c r="H245" s="110">
        <f>ROUND(I244*G245/12,2)</f>
        <v>-336.78</v>
      </c>
      <c r="I245" s="110">
        <f>I244-F245</f>
        <v>-102973.32999999991</v>
      </c>
    </row>
    <row r="246" spans="4:9">
      <c r="D246" s="104">
        <f>D245+1</f>
        <v>236</v>
      </c>
      <c r="E246" s="110">
        <f>-ROUND($C$6,2)</f>
        <v>1603.83</v>
      </c>
      <c r="F246" s="110">
        <f>E246-H246</f>
        <v>1947.07</v>
      </c>
      <c r="G246" s="164">
        <f>VLOOKUP(D246,$K$11:$L$23,2,TRUE)</f>
        <v>0.04</v>
      </c>
      <c r="H246" s="110">
        <f>ROUND(I245*G246/12,2)</f>
        <v>-343.24</v>
      </c>
      <c r="I246" s="110">
        <f>I245-F246</f>
        <v>-104920.39999999992</v>
      </c>
    </row>
    <row r="247" spans="4:9">
      <c r="D247" s="104">
        <f>D246+1</f>
        <v>237</v>
      </c>
      <c r="E247" s="110">
        <f>-ROUND($C$6,2)</f>
        <v>1603.83</v>
      </c>
      <c r="F247" s="110">
        <f>E247-H247</f>
        <v>1953.56</v>
      </c>
      <c r="G247" s="164">
        <f>VLOOKUP(D247,$K$11:$L$23,2,TRUE)</f>
        <v>0.04</v>
      </c>
      <c r="H247" s="110">
        <f>ROUND(I246*G247/12,2)</f>
        <v>-349.73</v>
      </c>
      <c r="I247" s="110">
        <f>I246-F247</f>
        <v>-106873.95999999992</v>
      </c>
    </row>
    <row r="248" spans="4:9">
      <c r="D248" s="104">
        <f>D247+1</f>
        <v>238</v>
      </c>
      <c r="E248" s="110">
        <f>-ROUND($C$6,2)</f>
        <v>1603.83</v>
      </c>
      <c r="F248" s="110">
        <f>E248-H248</f>
        <v>1960.08</v>
      </c>
      <c r="G248" s="164">
        <f>VLOOKUP(D248,$K$11:$L$23,2,TRUE)</f>
        <v>0.04</v>
      </c>
      <c r="H248" s="110">
        <f>ROUND(I247*G248/12,2)</f>
        <v>-356.25</v>
      </c>
      <c r="I248" s="110">
        <f>I247-F248</f>
        <v>-108834.03999999992</v>
      </c>
    </row>
    <row r="249" spans="4:9">
      <c r="D249" s="104">
        <f>D248+1</f>
        <v>239</v>
      </c>
      <c r="E249" s="110">
        <f>-ROUND($C$6,2)</f>
        <v>1603.83</v>
      </c>
      <c r="F249" s="110">
        <f>E249-H249</f>
        <v>1966.61</v>
      </c>
      <c r="G249" s="164">
        <f>VLOOKUP(D249,$K$11:$L$23,2,TRUE)</f>
        <v>0.04</v>
      </c>
      <c r="H249" s="110">
        <f>ROUND(I248*G249/12,2)</f>
        <v>-362.78</v>
      </c>
      <c r="I249" s="110">
        <f>I248-F249</f>
        <v>-110800.64999999992</v>
      </c>
    </row>
    <row r="250" spans="4:9">
      <c r="D250" s="104">
        <f>D249+1</f>
        <v>240</v>
      </c>
      <c r="E250" s="110">
        <f>-ROUND($C$6,2)</f>
        <v>1603.83</v>
      </c>
      <c r="F250" s="110">
        <f>E250-H250</f>
        <v>1973.1699999999998</v>
      </c>
      <c r="G250" s="164">
        <f>VLOOKUP(D250,$K$11:$L$23,2,TRUE)</f>
        <v>0.04</v>
      </c>
      <c r="H250" s="110">
        <f>ROUND(I249*G250/12,2)</f>
        <v>-369.34</v>
      </c>
      <c r="I250" s="110">
        <f>I249-F250</f>
        <v>-112773.81999999992</v>
      </c>
    </row>
    <row r="251" spans="4:9">
      <c r="D251" s="104">
        <f>D250+1</f>
        <v>241</v>
      </c>
      <c r="E251" s="110">
        <f>-ROUND($C$6,2)</f>
        <v>1603.83</v>
      </c>
      <c r="F251" s="110">
        <f>E251-H251</f>
        <v>1979.74</v>
      </c>
      <c r="G251" s="164">
        <f>VLOOKUP(D251,$K$11:$L$23,2,TRUE)</f>
        <v>0.04</v>
      </c>
      <c r="H251" s="110">
        <f>ROUND(I250*G251/12,2)</f>
        <v>-375.91</v>
      </c>
      <c r="I251" s="110">
        <f>I250-F251</f>
        <v>-114753.55999999992</v>
      </c>
    </row>
    <row r="252" spans="4:9">
      <c r="D252" s="104">
        <f>D251+1</f>
        <v>242</v>
      </c>
      <c r="E252" s="110">
        <f>-ROUND($C$6,2)</f>
        <v>1603.83</v>
      </c>
      <c r="F252" s="110">
        <f>E252-H252</f>
        <v>1986.34</v>
      </c>
      <c r="G252" s="164">
        <f>VLOOKUP(D252,$K$11:$L$23,2,TRUE)</f>
        <v>0.04</v>
      </c>
      <c r="H252" s="110">
        <f>ROUND(I251*G252/12,2)</f>
        <v>-382.51</v>
      </c>
      <c r="I252" s="110">
        <f>I251-F252</f>
        <v>-116739.89999999992</v>
      </c>
    </row>
    <row r="253" spans="4:9">
      <c r="D253" s="104">
        <f>D252+1</f>
        <v>243</v>
      </c>
      <c r="E253" s="110">
        <f>-ROUND($C$6,2)</f>
        <v>1603.83</v>
      </c>
      <c r="F253" s="110">
        <f>E253-H253</f>
        <v>1992.96</v>
      </c>
      <c r="G253" s="164">
        <f>VLOOKUP(D253,$K$11:$L$23,2,TRUE)</f>
        <v>0.04</v>
      </c>
      <c r="H253" s="110">
        <f>ROUND(I252*G253/12,2)</f>
        <v>-389.13</v>
      </c>
      <c r="I253" s="110">
        <f>I252-F253</f>
        <v>-118732.85999999993</v>
      </c>
    </row>
    <row r="254" spans="4:9">
      <c r="D254" s="104">
        <f>D253+1</f>
        <v>244</v>
      </c>
      <c r="E254" s="110">
        <f>-ROUND($C$6,2)</f>
        <v>1603.83</v>
      </c>
      <c r="F254" s="110">
        <f>E254-H254</f>
        <v>1999.61</v>
      </c>
      <c r="G254" s="164">
        <f>VLOOKUP(D254,$K$11:$L$23,2,TRUE)</f>
        <v>0.04</v>
      </c>
      <c r="H254" s="110">
        <f>ROUND(I253*G254/12,2)</f>
        <v>-395.78</v>
      </c>
      <c r="I254" s="110">
        <f>I253-F254</f>
        <v>-120732.46999999993</v>
      </c>
    </row>
    <row r="255" spans="4:9">
      <c r="D255" s="104">
        <f>D254+1</f>
        <v>245</v>
      </c>
      <c r="E255" s="110">
        <f>-ROUND($C$6,2)</f>
        <v>1603.83</v>
      </c>
      <c r="F255" s="110">
        <f>E255-H255</f>
        <v>2006.27</v>
      </c>
      <c r="G255" s="164">
        <f>VLOOKUP(D255,$K$11:$L$23,2,TRUE)</f>
        <v>0.04</v>
      </c>
      <c r="H255" s="110">
        <f>ROUND(I254*G255/12,2)</f>
        <v>-402.44</v>
      </c>
      <c r="I255" s="110">
        <f>I254-F255</f>
        <v>-122738.73999999993</v>
      </c>
    </row>
    <row r="256" spans="4:9">
      <c r="D256" s="104">
        <f>D255+1</f>
        <v>246</v>
      </c>
      <c r="E256" s="110">
        <f>-ROUND($C$6,2)</f>
        <v>1603.83</v>
      </c>
      <c r="F256" s="110">
        <f>E256-H256</f>
        <v>2012.96</v>
      </c>
      <c r="G256" s="164">
        <f>VLOOKUP(D256,$K$11:$L$23,2,TRUE)</f>
        <v>0.04</v>
      </c>
      <c r="H256" s="110">
        <f>ROUND(I255*G256/12,2)</f>
        <v>-409.13</v>
      </c>
      <c r="I256" s="110">
        <f>I255-F256</f>
        <v>-124751.69999999994</v>
      </c>
    </row>
    <row r="257" spans="4:9">
      <c r="D257" s="104">
        <f>D256+1</f>
        <v>247</v>
      </c>
      <c r="E257" s="110">
        <f>-ROUND($C$6,2)</f>
        <v>1603.83</v>
      </c>
      <c r="F257" s="110">
        <f>E257-H257</f>
        <v>2019.6699999999998</v>
      </c>
      <c r="G257" s="164">
        <f>VLOOKUP(D257,$K$11:$L$23,2,TRUE)</f>
        <v>0.04</v>
      </c>
      <c r="H257" s="110">
        <f>ROUND(I256*G257/12,2)</f>
        <v>-415.84</v>
      </c>
      <c r="I257" s="110">
        <f>I256-F257</f>
        <v>-126771.36999999994</v>
      </c>
    </row>
    <row r="258" spans="4:9">
      <c r="D258" s="104">
        <f>D257+1</f>
        <v>248</v>
      </c>
      <c r="E258" s="110">
        <f>-ROUND($C$6,2)</f>
        <v>1603.83</v>
      </c>
      <c r="F258" s="110">
        <f>E258-H258</f>
        <v>2026.3999999999999</v>
      </c>
      <c r="G258" s="164">
        <f>VLOOKUP(D258,$K$11:$L$23,2,TRUE)</f>
        <v>0.04</v>
      </c>
      <c r="H258" s="110">
        <f>ROUND(I257*G258/12,2)</f>
        <v>-422.57</v>
      </c>
      <c r="I258" s="110">
        <f>I257-F258</f>
        <v>-128797.76999999993</v>
      </c>
    </row>
    <row r="259" spans="4:9">
      <c r="D259" s="104">
        <f>D258+1</f>
        <v>249</v>
      </c>
      <c r="E259" s="110">
        <f>-ROUND($C$6,2)</f>
        <v>1603.83</v>
      </c>
      <c r="F259" s="110">
        <f>E259-H259</f>
        <v>2033.1599999999999</v>
      </c>
      <c r="G259" s="164">
        <f>VLOOKUP(D259,$K$11:$L$23,2,TRUE)</f>
        <v>0.04</v>
      </c>
      <c r="H259" s="110">
        <f>ROUND(I258*G259/12,2)</f>
        <v>-429.33</v>
      </c>
      <c r="I259" s="110">
        <f>I258-F259</f>
        <v>-130830.92999999993</v>
      </c>
    </row>
    <row r="260" spans="4:9">
      <c r="D260" s="104">
        <f>D259+1</f>
        <v>250</v>
      </c>
      <c r="E260" s="110">
        <f>-ROUND($C$6,2)</f>
        <v>1603.83</v>
      </c>
      <c r="F260" s="110">
        <f>E260-H260</f>
        <v>2039.9299999999998</v>
      </c>
      <c r="G260" s="164">
        <f>VLOOKUP(D260,$K$11:$L$23,2,TRUE)</f>
        <v>0.04</v>
      </c>
      <c r="H260" s="110">
        <f>ROUND(I259*G260/12,2)</f>
        <v>-436.1</v>
      </c>
      <c r="I260" s="110">
        <f>I259-F260</f>
        <v>-132870.85999999993</v>
      </c>
    </row>
    <row r="261" spans="4:9">
      <c r="D261" s="104">
        <f>D260+1</f>
        <v>251</v>
      </c>
      <c r="E261" s="110">
        <f>-ROUND($C$6,2)</f>
        <v>1603.83</v>
      </c>
      <c r="F261" s="110">
        <f>E261-H261</f>
        <v>2046.73</v>
      </c>
      <c r="G261" s="164">
        <f>VLOOKUP(D261,$K$11:$L$23,2,TRUE)</f>
        <v>0.04</v>
      </c>
      <c r="H261" s="110">
        <f>ROUND(I260*G261/12,2)</f>
        <v>-442.9</v>
      </c>
      <c r="I261" s="110">
        <f>I260-F261</f>
        <v>-134917.58999999994</v>
      </c>
    </row>
    <row r="262" spans="4:9">
      <c r="D262" s="104">
        <f>D261+1</f>
        <v>252</v>
      </c>
      <c r="E262" s="110">
        <f>-ROUND($C$6,2)</f>
        <v>1603.83</v>
      </c>
      <c r="F262" s="110">
        <f>E262-H262</f>
        <v>2053.56</v>
      </c>
      <c r="G262" s="164">
        <f>VLOOKUP(D262,$K$11:$L$23,2,TRUE)</f>
        <v>0.04</v>
      </c>
      <c r="H262" s="110">
        <f>ROUND(I261*G262/12,2)</f>
        <v>-449.73</v>
      </c>
      <c r="I262" s="110">
        <f>I261-F262</f>
        <v>-136971.14999999994</v>
      </c>
    </row>
    <row r="263" spans="4:9">
      <c r="D263" s="104">
        <f>D262+1</f>
        <v>253</v>
      </c>
      <c r="E263" s="110">
        <f>-ROUND($C$6,2)</f>
        <v>1603.83</v>
      </c>
      <c r="F263" s="110">
        <f>E263-H263</f>
        <v>2060.4</v>
      </c>
      <c r="G263" s="164">
        <f>VLOOKUP(D263,$K$11:$L$23,2,TRUE)</f>
        <v>0.04</v>
      </c>
      <c r="H263" s="110">
        <f>ROUND(I262*G263/12,2)</f>
        <v>-456.57</v>
      </c>
      <c r="I263" s="110">
        <f>I262-F263</f>
        <v>-139031.54999999993</v>
      </c>
    </row>
    <row r="264" spans="4:9">
      <c r="D264" s="104">
        <f>D263+1</f>
        <v>254</v>
      </c>
      <c r="E264" s="110">
        <f>-ROUND($C$6,2)</f>
        <v>1603.83</v>
      </c>
      <c r="F264" s="110">
        <f>E264-H264</f>
        <v>2067.27</v>
      </c>
      <c r="G264" s="164">
        <f>VLOOKUP(D264,$K$11:$L$23,2,TRUE)</f>
        <v>0.04</v>
      </c>
      <c r="H264" s="110">
        <f>ROUND(I263*G264/12,2)</f>
        <v>-463.44</v>
      </c>
      <c r="I264" s="110">
        <f>I263-F264</f>
        <v>-141098.81999999992</v>
      </c>
    </row>
    <row r="265" spans="4:9">
      <c r="D265" s="104">
        <f>D264+1</f>
        <v>255</v>
      </c>
      <c r="E265" s="110">
        <f>-ROUND($C$6,2)</f>
        <v>1603.83</v>
      </c>
      <c r="F265" s="110">
        <f>E265-H265</f>
        <v>2074.16</v>
      </c>
      <c r="G265" s="164">
        <f>VLOOKUP(D265,$K$11:$L$23,2,TRUE)</f>
        <v>0.04</v>
      </c>
      <c r="H265" s="110">
        <f>ROUND(I264*G265/12,2)</f>
        <v>-470.33</v>
      </c>
      <c r="I265" s="110">
        <f>I264-F265</f>
        <v>-143172.97999999992</v>
      </c>
    </row>
    <row r="266" spans="4:9">
      <c r="D266" s="104">
        <f>D265+1</f>
        <v>256</v>
      </c>
      <c r="E266" s="110">
        <f>-ROUND($C$6,2)</f>
        <v>1603.83</v>
      </c>
      <c r="F266" s="110">
        <f>E266-H266</f>
        <v>2081.0699999999997</v>
      </c>
      <c r="G266" s="164">
        <f>VLOOKUP(D266,$K$11:$L$23,2,TRUE)</f>
        <v>0.04</v>
      </c>
      <c r="H266" s="110">
        <f>ROUND(I265*G266/12,2)</f>
        <v>-477.24</v>
      </c>
      <c r="I266" s="110">
        <f>I265-F266</f>
        <v>-145254.04999999993</v>
      </c>
    </row>
    <row r="267" spans="4:9">
      <c r="D267" s="104">
        <f>D266+1</f>
        <v>257</v>
      </c>
      <c r="E267" s="110">
        <f>-ROUND($C$6,2)</f>
        <v>1603.83</v>
      </c>
      <c r="F267" s="110">
        <f>E267-H267</f>
        <v>2088.0099999999998</v>
      </c>
      <c r="G267" s="164">
        <f>VLOOKUP(D267,$K$11:$L$23,2,TRUE)</f>
        <v>0.04</v>
      </c>
      <c r="H267" s="110">
        <f>ROUND(I266*G267/12,2)</f>
        <v>-484.18</v>
      </c>
      <c r="I267" s="110">
        <f>I266-F267</f>
        <v>-147342.05999999994</v>
      </c>
    </row>
    <row r="268" spans="4:9">
      <c r="D268" s="104">
        <f>D267+1</f>
        <v>258</v>
      </c>
      <c r="E268" s="110">
        <f>-ROUND($C$6,2)</f>
        <v>1603.83</v>
      </c>
      <c r="F268" s="110">
        <f>E268-H268</f>
        <v>2094.9699999999998</v>
      </c>
      <c r="G268" s="164">
        <f>VLOOKUP(D268,$K$11:$L$23,2,TRUE)</f>
        <v>0.04</v>
      </c>
      <c r="H268" s="110">
        <f>ROUND(I267*G268/12,2)</f>
        <v>-491.14</v>
      </c>
      <c r="I268" s="110">
        <f>I267-F268</f>
        <v>-149437.02999999994</v>
      </c>
    </row>
    <row r="269" spans="4:9">
      <c r="D269" s="104">
        <f>D268+1</f>
        <v>259</v>
      </c>
      <c r="E269" s="110">
        <f>-ROUND($C$6,2)</f>
        <v>1603.83</v>
      </c>
      <c r="F269" s="110">
        <f>E269-H269</f>
        <v>2101.9499999999998</v>
      </c>
      <c r="G269" s="164">
        <f>VLOOKUP(D269,$K$11:$L$23,2,TRUE)</f>
        <v>0.04</v>
      </c>
      <c r="H269" s="110">
        <f>ROUND(I268*G269/12,2)</f>
        <v>-498.12</v>
      </c>
      <c r="I269" s="110">
        <f>I268-F269</f>
        <v>-151538.97999999995</v>
      </c>
    </row>
    <row r="270" spans="4:9">
      <c r="D270" s="104">
        <f>D269+1</f>
        <v>260</v>
      </c>
      <c r="E270" s="110">
        <f>-ROUND($C$6,2)</f>
        <v>1603.83</v>
      </c>
      <c r="F270" s="110">
        <f>E270-H270</f>
        <v>2108.96</v>
      </c>
      <c r="G270" s="164">
        <f>VLOOKUP(D270,$K$11:$L$23,2,TRUE)</f>
        <v>0.04</v>
      </c>
      <c r="H270" s="110">
        <f>ROUND(I269*G270/12,2)</f>
        <v>-505.13</v>
      </c>
      <c r="I270" s="110">
        <f>I269-F270</f>
        <v>-153647.93999999994</v>
      </c>
    </row>
    <row r="271" spans="4:9">
      <c r="D271" s="104">
        <f>D270+1</f>
        <v>261</v>
      </c>
      <c r="E271" s="110">
        <f>-ROUND($C$6,2)</f>
        <v>1603.83</v>
      </c>
      <c r="F271" s="110">
        <f>E271-H271</f>
        <v>2115.9899999999998</v>
      </c>
      <c r="G271" s="164">
        <f>VLOOKUP(D271,$K$11:$L$23,2,TRUE)</f>
        <v>0.04</v>
      </c>
      <c r="H271" s="110">
        <f>ROUND(I270*G271/12,2)</f>
        <v>-512.16</v>
      </c>
      <c r="I271" s="110">
        <f>I270-F271</f>
        <v>-155763.92999999993</v>
      </c>
    </row>
    <row r="272" spans="4:9">
      <c r="D272" s="104">
        <f>D271+1</f>
        <v>262</v>
      </c>
      <c r="E272" s="110">
        <f>-ROUND($C$6,2)</f>
        <v>1603.83</v>
      </c>
      <c r="F272" s="110">
        <f>E272-H272</f>
        <v>2123.04</v>
      </c>
      <c r="G272" s="164">
        <f>VLOOKUP(D272,$K$11:$L$23,2,TRUE)</f>
        <v>0.04</v>
      </c>
      <c r="H272" s="110">
        <f>ROUND(I271*G272/12,2)</f>
        <v>-519.21</v>
      </c>
      <c r="I272" s="110">
        <f>I271-F272</f>
        <v>-157886.96999999994</v>
      </c>
    </row>
    <row r="273" spans="4:9">
      <c r="D273" s="104">
        <f>D272+1</f>
        <v>263</v>
      </c>
      <c r="E273" s="110">
        <f>-ROUND($C$6,2)</f>
        <v>1603.83</v>
      </c>
      <c r="F273" s="110">
        <f>E273-H273</f>
        <v>2130.12</v>
      </c>
      <c r="G273" s="164">
        <f>VLOOKUP(D273,$K$11:$L$23,2,TRUE)</f>
        <v>0.04</v>
      </c>
      <c r="H273" s="110">
        <f>ROUND(I272*G273/12,2)</f>
        <v>-526.29</v>
      </c>
      <c r="I273" s="110">
        <f>I272-F273</f>
        <v>-160017.08999999994</v>
      </c>
    </row>
    <row r="274" spans="4:9">
      <c r="D274" s="104">
        <f>D273+1</f>
        <v>264</v>
      </c>
      <c r="E274" s="110">
        <f>-ROUND($C$6,2)</f>
        <v>1603.83</v>
      </c>
      <c r="F274" s="110">
        <f>E274-H274</f>
        <v>2137.2199999999998</v>
      </c>
      <c r="G274" s="164">
        <f>VLOOKUP(D274,$K$11:$L$23,2,TRUE)</f>
        <v>0.04</v>
      </c>
      <c r="H274" s="110">
        <f>ROUND(I273*G274/12,2)</f>
        <v>-533.39</v>
      </c>
      <c r="I274" s="110">
        <f>I273-F274</f>
        <v>-162154.30999999994</v>
      </c>
    </row>
    <row r="275" spans="4:9">
      <c r="D275" s="104">
        <f>D274+1</f>
        <v>265</v>
      </c>
      <c r="E275" s="110">
        <f>-ROUND($C$6,2)</f>
        <v>1603.83</v>
      </c>
      <c r="F275" s="110">
        <f>E275-H275</f>
        <v>2144.34</v>
      </c>
      <c r="G275" s="164">
        <f>VLOOKUP(D275,$K$11:$L$23,2,TRUE)</f>
        <v>0.04</v>
      </c>
      <c r="H275" s="110">
        <f>ROUND(I274*G275/12,2)</f>
        <v>-540.51</v>
      </c>
      <c r="I275" s="110">
        <f>I274-F275</f>
        <v>-164298.64999999994</v>
      </c>
    </row>
    <row r="276" spans="4:9">
      <c r="D276" s="104">
        <f>D275+1</f>
        <v>266</v>
      </c>
      <c r="E276" s="110">
        <f>-ROUND($C$6,2)</f>
        <v>1603.83</v>
      </c>
      <c r="F276" s="110">
        <f>E276-H276</f>
        <v>2151.4899999999998</v>
      </c>
      <c r="G276" s="164">
        <f>VLOOKUP(D276,$K$11:$L$23,2,TRUE)</f>
        <v>0.04</v>
      </c>
      <c r="H276" s="110">
        <f>ROUND(I275*G276/12,2)</f>
        <v>-547.66</v>
      </c>
      <c r="I276" s="110">
        <f>I275-F276</f>
        <v>-166450.13999999993</v>
      </c>
    </row>
    <row r="277" spans="4:9">
      <c r="D277" s="104">
        <f>D276+1</f>
        <v>267</v>
      </c>
      <c r="E277" s="110">
        <f>-ROUND($C$6,2)</f>
        <v>1603.83</v>
      </c>
      <c r="F277" s="110">
        <f>E277-H277</f>
        <v>2158.66</v>
      </c>
      <c r="G277" s="164">
        <f>VLOOKUP(D277,$K$11:$L$23,2,TRUE)</f>
        <v>0.04</v>
      </c>
      <c r="H277" s="110">
        <f>ROUND(I276*G277/12,2)</f>
        <v>-554.83000000000004</v>
      </c>
      <c r="I277" s="110">
        <f>I276-F277</f>
        <v>-168608.79999999993</v>
      </c>
    </row>
    <row r="278" spans="4:9">
      <c r="D278" s="104">
        <f>D277+1</f>
        <v>268</v>
      </c>
      <c r="E278" s="110">
        <f>-ROUND($C$6,2)</f>
        <v>1603.83</v>
      </c>
      <c r="F278" s="110">
        <f>E278-H278</f>
        <v>2165.8599999999997</v>
      </c>
      <c r="G278" s="164">
        <f>VLOOKUP(D278,$K$11:$L$23,2,TRUE)</f>
        <v>0.04</v>
      </c>
      <c r="H278" s="110">
        <f>ROUND(I277*G278/12,2)</f>
        <v>-562.03</v>
      </c>
      <c r="I278" s="110">
        <f>I277-F278</f>
        <v>-170774.65999999992</v>
      </c>
    </row>
    <row r="279" spans="4:9">
      <c r="D279" s="104">
        <f>D278+1</f>
        <v>269</v>
      </c>
      <c r="E279" s="110">
        <f>-ROUND($C$6,2)</f>
        <v>1603.83</v>
      </c>
      <c r="F279" s="110">
        <f>E279-H279</f>
        <v>2173.08</v>
      </c>
      <c r="G279" s="164">
        <f>VLOOKUP(D279,$K$11:$L$23,2,TRUE)</f>
        <v>0.04</v>
      </c>
      <c r="H279" s="110">
        <f>ROUND(I278*G279/12,2)</f>
        <v>-569.25</v>
      </c>
      <c r="I279" s="110">
        <f>I278-F279</f>
        <v>-172947.7399999999</v>
      </c>
    </row>
    <row r="280" spans="4:9">
      <c r="D280" s="104">
        <f>D279+1</f>
        <v>270</v>
      </c>
      <c r="E280" s="110">
        <f>-ROUND($C$6,2)</f>
        <v>1603.83</v>
      </c>
      <c r="F280" s="110">
        <f>E280-H280</f>
        <v>2180.3199999999997</v>
      </c>
      <c r="G280" s="164">
        <f>VLOOKUP(D280,$K$11:$L$23,2,TRUE)</f>
        <v>0.04</v>
      </c>
      <c r="H280" s="110">
        <f>ROUND(I279*G280/12,2)</f>
        <v>-576.49</v>
      </c>
      <c r="I280" s="110">
        <f>I279-F280</f>
        <v>-175128.05999999991</v>
      </c>
    </row>
    <row r="281" spans="4:9">
      <c r="D281" s="104">
        <f>D280+1</f>
        <v>271</v>
      </c>
      <c r="E281" s="110">
        <f>-ROUND($C$6,2)</f>
        <v>1603.83</v>
      </c>
      <c r="F281" s="110">
        <f>E281-H281</f>
        <v>2187.59</v>
      </c>
      <c r="G281" s="164">
        <f>VLOOKUP(D281,$K$11:$L$23,2,TRUE)</f>
        <v>0.04</v>
      </c>
      <c r="H281" s="110">
        <f>ROUND(I280*G281/12,2)</f>
        <v>-583.76</v>
      </c>
      <c r="I281" s="110">
        <f>I280-F281</f>
        <v>-177315.64999999991</v>
      </c>
    </row>
    <row r="282" spans="4:9">
      <c r="D282" s="104">
        <f>D281+1</f>
        <v>272</v>
      </c>
      <c r="E282" s="110">
        <f>-ROUND($C$6,2)</f>
        <v>1603.83</v>
      </c>
      <c r="F282" s="110">
        <f>E282-H282</f>
        <v>2194.88</v>
      </c>
      <c r="G282" s="164">
        <f>VLOOKUP(D282,$K$11:$L$23,2,TRUE)</f>
        <v>0.04</v>
      </c>
      <c r="H282" s="110">
        <f>ROUND(I281*G282/12,2)</f>
        <v>-591.04999999999995</v>
      </c>
      <c r="I282" s="110">
        <f>I281-F282</f>
        <v>-179510.52999999991</v>
      </c>
    </row>
    <row r="283" spans="4:9">
      <c r="D283" s="104">
        <f>D282+1</f>
        <v>273</v>
      </c>
      <c r="E283" s="110">
        <f>-ROUND($C$6,2)</f>
        <v>1603.83</v>
      </c>
      <c r="F283" s="110">
        <f>E283-H283</f>
        <v>2202.1999999999998</v>
      </c>
      <c r="G283" s="164">
        <f>VLOOKUP(D283,$K$11:$L$23,2,TRUE)</f>
        <v>0.04</v>
      </c>
      <c r="H283" s="110">
        <f>ROUND(I282*G283/12,2)</f>
        <v>-598.37</v>
      </c>
      <c r="I283" s="110">
        <f>I282-F283</f>
        <v>-181712.72999999992</v>
      </c>
    </row>
    <row r="284" spans="4:9">
      <c r="D284" s="104">
        <f>D283+1</f>
        <v>274</v>
      </c>
      <c r="E284" s="110">
        <f>-ROUND($C$6,2)</f>
        <v>1603.83</v>
      </c>
      <c r="F284" s="110">
        <f>E284-H284</f>
        <v>2209.54</v>
      </c>
      <c r="G284" s="164">
        <f>VLOOKUP(D284,$K$11:$L$23,2,TRUE)</f>
        <v>0.04</v>
      </c>
      <c r="H284" s="110">
        <f>ROUND(I283*G284/12,2)</f>
        <v>-605.71</v>
      </c>
      <c r="I284" s="110">
        <f>I283-F284</f>
        <v>-183922.26999999993</v>
      </c>
    </row>
    <row r="285" spans="4:9">
      <c r="D285" s="104">
        <f>D284+1</f>
        <v>275</v>
      </c>
      <c r="E285" s="110">
        <f>-ROUND($C$6,2)</f>
        <v>1603.83</v>
      </c>
      <c r="F285" s="110">
        <f>E285-H285</f>
        <v>2216.9</v>
      </c>
      <c r="G285" s="164">
        <f>VLOOKUP(D285,$K$11:$L$23,2,TRUE)</f>
        <v>0.04</v>
      </c>
      <c r="H285" s="110">
        <f>ROUND(I284*G285/12,2)</f>
        <v>-613.07000000000005</v>
      </c>
      <c r="I285" s="110">
        <f>I284-F285</f>
        <v>-186139.16999999993</v>
      </c>
    </row>
    <row r="286" spans="4:9">
      <c r="D286" s="104">
        <f>D285+1</f>
        <v>276</v>
      </c>
      <c r="E286" s="110">
        <f>-ROUND($C$6,2)</f>
        <v>1603.83</v>
      </c>
      <c r="F286" s="110">
        <f>E286-H286</f>
        <v>2224.29</v>
      </c>
      <c r="G286" s="164">
        <f>VLOOKUP(D286,$K$11:$L$23,2,TRUE)</f>
        <v>0.04</v>
      </c>
      <c r="H286" s="110">
        <f>ROUND(I285*G286/12,2)</f>
        <v>-620.46</v>
      </c>
      <c r="I286" s="110">
        <f>I285-F286</f>
        <v>-188363.45999999993</v>
      </c>
    </row>
    <row r="287" spans="4:9">
      <c r="D287" s="104">
        <f>D286+1</f>
        <v>277</v>
      </c>
      <c r="E287" s="110">
        <f>-ROUND($C$6,2)</f>
        <v>1603.83</v>
      </c>
      <c r="F287" s="110">
        <f>E287-H287</f>
        <v>2231.71</v>
      </c>
      <c r="G287" s="164">
        <f>VLOOKUP(D287,$K$11:$L$23,2,TRUE)</f>
        <v>0.04</v>
      </c>
      <c r="H287" s="110">
        <f>ROUND(I286*G287/12,2)</f>
        <v>-627.88</v>
      </c>
      <c r="I287" s="110">
        <f>I286-F287</f>
        <v>-190595.16999999993</v>
      </c>
    </row>
    <row r="288" spans="4:9">
      <c r="D288" s="104">
        <f>D287+1</f>
        <v>278</v>
      </c>
      <c r="E288" s="110">
        <f>-ROUND($C$6,2)</f>
        <v>1603.83</v>
      </c>
      <c r="F288" s="110">
        <f>E288-H288</f>
        <v>2239.15</v>
      </c>
      <c r="G288" s="164">
        <f>VLOOKUP(D288,$K$11:$L$23,2,TRUE)</f>
        <v>0.04</v>
      </c>
      <c r="H288" s="110">
        <f>ROUND(I287*G288/12,2)</f>
        <v>-635.32000000000005</v>
      </c>
      <c r="I288" s="110">
        <f>I287-F288</f>
        <v>-192834.31999999992</v>
      </c>
    </row>
    <row r="289" spans="4:9">
      <c r="D289" s="104">
        <f>D288+1</f>
        <v>279</v>
      </c>
      <c r="E289" s="110">
        <f>-ROUND($C$6,2)</f>
        <v>1603.83</v>
      </c>
      <c r="F289" s="110">
        <f>E289-H289</f>
        <v>2246.6099999999997</v>
      </c>
      <c r="G289" s="164">
        <f>VLOOKUP(D289,$K$11:$L$23,2,TRUE)</f>
        <v>0.04</v>
      </c>
      <c r="H289" s="110">
        <f>ROUND(I288*G289/12,2)</f>
        <v>-642.78</v>
      </c>
      <c r="I289" s="110">
        <f>I288-F289</f>
        <v>-195080.92999999991</v>
      </c>
    </row>
    <row r="290" spans="4:9">
      <c r="D290" s="104">
        <f>D289+1</f>
        <v>280</v>
      </c>
      <c r="E290" s="110">
        <f>-ROUND($C$6,2)</f>
        <v>1603.83</v>
      </c>
      <c r="F290" s="110">
        <f>E290-H290</f>
        <v>2254.1</v>
      </c>
      <c r="G290" s="164">
        <f>VLOOKUP(D290,$K$11:$L$23,2,TRUE)</f>
        <v>0.04</v>
      </c>
      <c r="H290" s="110">
        <f>ROUND(I289*G290/12,2)</f>
        <v>-650.27</v>
      </c>
      <c r="I290" s="110">
        <f>I289-F290</f>
        <v>-197335.02999999991</v>
      </c>
    </row>
    <row r="291" spans="4:9">
      <c r="D291" s="104">
        <f>D290+1</f>
        <v>281</v>
      </c>
      <c r="E291" s="110">
        <f>-ROUND($C$6,2)</f>
        <v>1603.83</v>
      </c>
      <c r="F291" s="110">
        <f>E291-H291</f>
        <v>2261.6099999999997</v>
      </c>
      <c r="G291" s="164">
        <f>VLOOKUP(D291,$K$11:$L$23,2,TRUE)</f>
        <v>0.04</v>
      </c>
      <c r="H291" s="110">
        <f>ROUND(I290*G291/12,2)</f>
        <v>-657.78</v>
      </c>
      <c r="I291" s="110">
        <f>I290-F291</f>
        <v>-199596.6399999999</v>
      </c>
    </row>
    <row r="292" spans="4:9">
      <c r="D292" s="104">
        <f>D291+1</f>
        <v>282</v>
      </c>
      <c r="E292" s="110">
        <f>-ROUND($C$6,2)</f>
        <v>1603.83</v>
      </c>
      <c r="F292" s="110">
        <f>E292-H292</f>
        <v>2269.15</v>
      </c>
      <c r="G292" s="164">
        <f>VLOOKUP(D292,$K$11:$L$23,2,TRUE)</f>
        <v>0.04</v>
      </c>
      <c r="H292" s="110">
        <f>ROUND(I291*G292/12,2)</f>
        <v>-665.32</v>
      </c>
      <c r="I292" s="110">
        <f>I291-F292</f>
        <v>-201865.78999999989</v>
      </c>
    </row>
    <row r="293" spans="4:9">
      <c r="D293" s="104">
        <f>D292+1</f>
        <v>283</v>
      </c>
      <c r="E293" s="110">
        <f>-ROUND($C$6,2)</f>
        <v>1603.83</v>
      </c>
      <c r="F293" s="110">
        <f>E293-H293</f>
        <v>2276.7199999999998</v>
      </c>
      <c r="G293" s="164">
        <f>VLOOKUP(D293,$K$11:$L$23,2,TRUE)</f>
        <v>0.04</v>
      </c>
      <c r="H293" s="110">
        <f>ROUND(I292*G293/12,2)</f>
        <v>-672.89</v>
      </c>
      <c r="I293" s="110">
        <f>I292-F293</f>
        <v>-204142.50999999989</v>
      </c>
    </row>
    <row r="294" spans="4:9">
      <c r="D294" s="104">
        <f>D293+1</f>
        <v>284</v>
      </c>
      <c r="E294" s="110">
        <f>-ROUND($C$6,2)</f>
        <v>1603.83</v>
      </c>
      <c r="F294" s="110">
        <f>E294-H294</f>
        <v>2284.31</v>
      </c>
      <c r="G294" s="164">
        <f>VLOOKUP(D294,$K$11:$L$23,2,TRUE)</f>
        <v>0.04</v>
      </c>
      <c r="H294" s="110">
        <f>ROUND(I293*G294/12,2)</f>
        <v>-680.48</v>
      </c>
      <c r="I294" s="110">
        <f>I293-F294</f>
        <v>-206426.81999999989</v>
      </c>
    </row>
    <row r="295" spans="4:9">
      <c r="D295" s="104">
        <f>D294+1</f>
        <v>285</v>
      </c>
      <c r="E295" s="110">
        <f>-ROUND($C$6,2)</f>
        <v>1603.83</v>
      </c>
      <c r="F295" s="110">
        <f>E295-H295</f>
        <v>2291.92</v>
      </c>
      <c r="G295" s="164">
        <f>VLOOKUP(D295,$K$11:$L$23,2,TRUE)</f>
        <v>0.04</v>
      </c>
      <c r="H295" s="110">
        <f>ROUND(I294*G295/12,2)</f>
        <v>-688.09</v>
      </c>
      <c r="I295" s="110">
        <f>I294-F295</f>
        <v>-208718.7399999999</v>
      </c>
    </row>
    <row r="296" spans="4:9">
      <c r="D296" s="104">
        <f>D295+1</f>
        <v>286</v>
      </c>
      <c r="E296" s="110">
        <f>-ROUND($C$6,2)</f>
        <v>1603.83</v>
      </c>
      <c r="F296" s="110">
        <f>E296-H296</f>
        <v>2299.56</v>
      </c>
      <c r="G296" s="164">
        <f>VLOOKUP(D296,$K$11:$L$23,2,TRUE)</f>
        <v>0.04</v>
      </c>
      <c r="H296" s="110">
        <f>ROUND(I295*G296/12,2)</f>
        <v>-695.73</v>
      </c>
      <c r="I296" s="110">
        <f>I295-F296</f>
        <v>-211018.2999999999</v>
      </c>
    </row>
    <row r="297" spans="4:9">
      <c r="D297" s="104">
        <f>D296+1</f>
        <v>287</v>
      </c>
      <c r="E297" s="110">
        <f>-ROUND($C$6,2)</f>
        <v>1603.83</v>
      </c>
      <c r="F297" s="110">
        <f>E297-H297</f>
        <v>2307.2199999999998</v>
      </c>
      <c r="G297" s="164">
        <f>VLOOKUP(D297,$K$11:$L$23,2,TRUE)</f>
        <v>0.04</v>
      </c>
      <c r="H297" s="110">
        <f>ROUND(I296*G297/12,2)</f>
        <v>-703.39</v>
      </c>
      <c r="I297" s="110">
        <f>I296-F297</f>
        <v>-213325.5199999999</v>
      </c>
    </row>
    <row r="298" spans="4:9">
      <c r="D298" s="104">
        <f>D297+1</f>
        <v>288</v>
      </c>
      <c r="E298" s="110">
        <f>-ROUND($C$6,2)</f>
        <v>1603.83</v>
      </c>
      <c r="F298" s="110">
        <f>E298-H298</f>
        <v>2314.92</v>
      </c>
      <c r="G298" s="164">
        <f>VLOOKUP(D298,$K$11:$L$23,2,TRUE)</f>
        <v>0.04</v>
      </c>
      <c r="H298" s="110">
        <f>ROUND(I297*G298/12,2)</f>
        <v>-711.09</v>
      </c>
      <c r="I298" s="110">
        <f>I297-F298</f>
        <v>-215640.43999999992</v>
      </c>
    </row>
    <row r="299" spans="4:9">
      <c r="D299" s="104">
        <f>D298+1</f>
        <v>289</v>
      </c>
      <c r="E299" s="110">
        <f>-ROUND($C$6,2)</f>
        <v>1603.83</v>
      </c>
      <c r="F299" s="110">
        <f>E299-H299</f>
        <v>2322.63</v>
      </c>
      <c r="G299" s="164">
        <f>VLOOKUP(D299,$K$11:$L$23,2,TRUE)</f>
        <v>0.04</v>
      </c>
      <c r="H299" s="110">
        <f>ROUND(I298*G299/12,2)</f>
        <v>-718.8</v>
      </c>
      <c r="I299" s="110">
        <f>I298-F299</f>
        <v>-217963.06999999992</v>
      </c>
    </row>
    <row r="300" spans="4:9">
      <c r="D300" s="104">
        <f>D299+1</f>
        <v>290</v>
      </c>
      <c r="E300" s="110">
        <f>-ROUND($C$6,2)</f>
        <v>1603.83</v>
      </c>
      <c r="F300" s="110">
        <f>E300-H300</f>
        <v>2330.37</v>
      </c>
      <c r="G300" s="164">
        <f>VLOOKUP(D300,$K$11:$L$23,2,TRUE)</f>
        <v>0.04</v>
      </c>
      <c r="H300" s="110">
        <f>ROUND(I299*G300/12,2)</f>
        <v>-726.54</v>
      </c>
      <c r="I300" s="110">
        <f>I299-F300</f>
        <v>-220293.43999999992</v>
      </c>
    </row>
    <row r="301" spans="4:9">
      <c r="D301" s="104">
        <f>D300+1</f>
        <v>291</v>
      </c>
      <c r="E301" s="110">
        <f>-ROUND($C$6,2)</f>
        <v>1603.83</v>
      </c>
      <c r="F301" s="110">
        <f>E301-H301</f>
        <v>2338.14</v>
      </c>
      <c r="G301" s="164">
        <f>VLOOKUP(D301,$K$11:$L$23,2,TRUE)</f>
        <v>0.04</v>
      </c>
      <c r="H301" s="110">
        <f>ROUND(I300*G301/12,2)</f>
        <v>-734.31</v>
      </c>
      <c r="I301" s="110">
        <f>I300-F301</f>
        <v>-222631.57999999993</v>
      </c>
    </row>
    <row r="302" spans="4:9">
      <c r="D302" s="104">
        <f>D301+1</f>
        <v>292</v>
      </c>
      <c r="E302" s="110">
        <f>-ROUND($C$6,2)</f>
        <v>1603.83</v>
      </c>
      <c r="F302" s="110">
        <f>E302-H302</f>
        <v>2345.94</v>
      </c>
      <c r="G302" s="164">
        <f>VLOOKUP(D302,$K$11:$L$23,2,TRUE)</f>
        <v>0.04</v>
      </c>
      <c r="H302" s="110">
        <f>ROUND(I301*G302/12,2)</f>
        <v>-742.11</v>
      </c>
      <c r="I302" s="110">
        <f>I301-F302</f>
        <v>-224977.51999999993</v>
      </c>
    </row>
    <row r="303" spans="4:9">
      <c r="D303" s="104">
        <f>D302+1</f>
        <v>293</v>
      </c>
      <c r="E303" s="110">
        <f>-ROUND($C$6,2)</f>
        <v>1603.83</v>
      </c>
      <c r="F303" s="110">
        <f>E303-H303</f>
        <v>2353.7599999999998</v>
      </c>
      <c r="G303" s="164">
        <f>VLOOKUP(D303,$K$11:$L$23,2,TRUE)</f>
        <v>0.04</v>
      </c>
      <c r="H303" s="110">
        <f>ROUND(I302*G303/12,2)</f>
        <v>-749.93</v>
      </c>
      <c r="I303" s="110">
        <f>I302-F303</f>
        <v>-227331.27999999994</v>
      </c>
    </row>
    <row r="304" spans="4:9">
      <c r="D304" s="104">
        <f>D303+1</f>
        <v>294</v>
      </c>
      <c r="E304" s="110">
        <f>-ROUND($C$6,2)</f>
        <v>1603.83</v>
      </c>
      <c r="F304" s="110">
        <f>E304-H304</f>
        <v>2361.6</v>
      </c>
      <c r="G304" s="164">
        <f>VLOOKUP(D304,$K$11:$L$23,2,TRUE)</f>
        <v>0.04</v>
      </c>
      <c r="H304" s="110">
        <f>ROUND(I303*G304/12,2)</f>
        <v>-757.77</v>
      </c>
      <c r="I304" s="110">
        <f>I303-F304</f>
        <v>-229692.87999999995</v>
      </c>
    </row>
    <row r="305" spans="4:9">
      <c r="D305" s="104">
        <f>D304+1</f>
        <v>295</v>
      </c>
      <c r="E305" s="110">
        <f>-ROUND($C$6,2)</f>
        <v>1603.83</v>
      </c>
      <c r="F305" s="110">
        <f>E305-H305</f>
        <v>2369.4699999999998</v>
      </c>
      <c r="G305" s="164">
        <f>VLOOKUP(D305,$K$11:$L$23,2,TRUE)</f>
        <v>0.04</v>
      </c>
      <c r="H305" s="110">
        <f>ROUND(I304*G305/12,2)</f>
        <v>-765.64</v>
      </c>
      <c r="I305" s="110">
        <f>I304-F305</f>
        <v>-232062.34999999995</v>
      </c>
    </row>
    <row r="306" spans="4:9">
      <c r="D306" s="104">
        <f>D305+1</f>
        <v>296</v>
      </c>
      <c r="E306" s="110">
        <f>-ROUND($C$6,2)</f>
        <v>1603.83</v>
      </c>
      <c r="F306" s="110">
        <f>E306-H306</f>
        <v>2377.37</v>
      </c>
      <c r="G306" s="164">
        <f>VLOOKUP(D306,$K$11:$L$23,2,TRUE)</f>
        <v>0.04</v>
      </c>
      <c r="H306" s="110">
        <f>ROUND(I305*G306/12,2)</f>
        <v>-773.54</v>
      </c>
      <c r="I306" s="110">
        <f>I305-F306</f>
        <v>-234439.71999999994</v>
      </c>
    </row>
    <row r="307" spans="4:9">
      <c r="D307" s="104">
        <f>D306+1</f>
        <v>297</v>
      </c>
      <c r="E307" s="110">
        <f>-ROUND($C$6,2)</f>
        <v>1603.83</v>
      </c>
      <c r="F307" s="110">
        <f>E307-H307</f>
        <v>2385.3000000000002</v>
      </c>
      <c r="G307" s="164">
        <f>VLOOKUP(D307,$K$11:$L$23,2,TRUE)</f>
        <v>0.04</v>
      </c>
      <c r="H307" s="110">
        <f>ROUND(I306*G307/12,2)</f>
        <v>-781.47</v>
      </c>
      <c r="I307" s="110">
        <f>I306-F307</f>
        <v>-236825.01999999993</v>
      </c>
    </row>
    <row r="308" spans="4:9">
      <c r="D308" s="104">
        <f>D307+1</f>
        <v>298</v>
      </c>
      <c r="E308" s="110">
        <f>-ROUND($C$6,2)</f>
        <v>1603.83</v>
      </c>
      <c r="F308" s="110">
        <f>E308-H308</f>
        <v>2393.25</v>
      </c>
      <c r="G308" s="164">
        <f>VLOOKUP(D308,$K$11:$L$23,2,TRUE)</f>
        <v>0.04</v>
      </c>
      <c r="H308" s="110">
        <f>ROUND(I307*G308/12,2)</f>
        <v>-789.42</v>
      </c>
      <c r="I308" s="110">
        <f>I307-F308</f>
        <v>-239218.26999999993</v>
      </c>
    </row>
    <row r="309" spans="4:9">
      <c r="D309" s="104">
        <f>D308+1</f>
        <v>299</v>
      </c>
      <c r="E309" s="110">
        <f>-ROUND($C$6,2)</f>
        <v>1603.83</v>
      </c>
      <c r="F309" s="110">
        <f>E309-H309</f>
        <v>2401.2199999999998</v>
      </c>
      <c r="G309" s="164">
        <f>VLOOKUP(D309,$K$11:$L$23,2,TRUE)</f>
        <v>0.04</v>
      </c>
      <c r="H309" s="110">
        <f>ROUND(I308*G309/12,2)</f>
        <v>-797.39</v>
      </c>
      <c r="I309" s="110">
        <f>I308-F309</f>
        <v>-241619.48999999993</v>
      </c>
    </row>
    <row r="310" spans="4:9">
      <c r="D310" s="104">
        <f>D309+1</f>
        <v>300</v>
      </c>
      <c r="E310" s="110">
        <f>-ROUND($C$6,2)</f>
        <v>1603.83</v>
      </c>
      <c r="F310" s="110">
        <f>E310-H310</f>
        <v>2409.23</v>
      </c>
      <c r="G310" s="164">
        <f>VLOOKUP(D310,$K$11:$L$23,2,TRUE)</f>
        <v>0.04</v>
      </c>
      <c r="H310" s="110">
        <f>ROUND(I309*G310/12,2)</f>
        <v>-805.4</v>
      </c>
      <c r="I310" s="110">
        <f>I309-F310</f>
        <v>-244028.71999999994</v>
      </c>
    </row>
    <row r="311" spans="4:9">
      <c r="D311" s="104">
        <f>D310+1</f>
        <v>301</v>
      </c>
      <c r="E311" s="110">
        <f>-ROUND($C$6,2)</f>
        <v>1603.83</v>
      </c>
      <c r="F311" s="110">
        <f>E311-H311</f>
        <v>2417.2599999999998</v>
      </c>
      <c r="G311" s="164">
        <f>VLOOKUP(D311,$K$11:$L$23,2,TRUE)</f>
        <v>0.04</v>
      </c>
      <c r="H311" s="110">
        <f>ROUND(I310*G311/12,2)</f>
        <v>-813.43</v>
      </c>
      <c r="I311" s="110">
        <f>I310-F311</f>
        <v>-246445.97999999995</v>
      </c>
    </row>
    <row r="312" spans="4:9">
      <c r="D312" s="104">
        <f>D311+1</f>
        <v>302</v>
      </c>
      <c r="E312" s="110">
        <f>-ROUND($C$6,2)</f>
        <v>1603.83</v>
      </c>
      <c r="F312" s="110">
        <f>E312-H312</f>
        <v>2425.3199999999997</v>
      </c>
      <c r="G312" s="164">
        <f>VLOOKUP(D312,$K$11:$L$23,2,TRUE)</f>
        <v>0.04</v>
      </c>
      <c r="H312" s="110">
        <f>ROUND(I311*G312/12,2)</f>
        <v>-821.49</v>
      </c>
      <c r="I312" s="110">
        <f>I311-F312</f>
        <v>-248871.29999999996</v>
      </c>
    </row>
    <row r="313" spans="4:9">
      <c r="D313" s="104">
        <f>D312+1</f>
        <v>303</v>
      </c>
      <c r="E313" s="110">
        <f>-ROUND($C$6,2)</f>
        <v>1603.83</v>
      </c>
      <c r="F313" s="110">
        <f>E313-H313</f>
        <v>2433.4</v>
      </c>
      <c r="G313" s="164">
        <f>VLOOKUP(D313,$K$11:$L$23,2,TRUE)</f>
        <v>0.04</v>
      </c>
      <c r="H313" s="110">
        <f>ROUND(I312*G313/12,2)</f>
        <v>-829.57</v>
      </c>
      <c r="I313" s="110">
        <f>I312-F313</f>
        <v>-251304.69999999995</v>
      </c>
    </row>
    <row r="314" spans="4:9">
      <c r="D314" s="104">
        <f>D313+1</f>
        <v>304</v>
      </c>
      <c r="E314" s="110">
        <f>-ROUND($C$6,2)</f>
        <v>1603.83</v>
      </c>
      <c r="F314" s="110">
        <f>E314-H314</f>
        <v>2441.5099999999998</v>
      </c>
      <c r="G314" s="164">
        <f>VLOOKUP(D314,$K$11:$L$23,2,TRUE)</f>
        <v>0.04</v>
      </c>
      <c r="H314" s="110">
        <f>ROUND(I313*G314/12,2)</f>
        <v>-837.68</v>
      </c>
      <c r="I314" s="110">
        <f>I313-F314</f>
        <v>-253746.20999999996</v>
      </c>
    </row>
    <row r="315" spans="4:9">
      <c r="D315" s="104">
        <f>D314+1</f>
        <v>305</v>
      </c>
      <c r="E315" s="110">
        <f>-ROUND($C$6,2)</f>
        <v>1603.83</v>
      </c>
      <c r="F315" s="110">
        <f>E315-H315</f>
        <v>2449.65</v>
      </c>
      <c r="G315" s="164">
        <f>VLOOKUP(D315,$K$11:$L$23,2,TRUE)</f>
        <v>0.04</v>
      </c>
      <c r="H315" s="110">
        <f>ROUND(I314*G315/12,2)</f>
        <v>-845.82</v>
      </c>
      <c r="I315" s="110">
        <f>I314-F315</f>
        <v>-256195.85999999996</v>
      </c>
    </row>
    <row r="316" spans="4:9">
      <c r="D316" s="104">
        <f>D315+1</f>
        <v>306</v>
      </c>
      <c r="E316" s="110">
        <f>-ROUND($C$6,2)</f>
        <v>1603.83</v>
      </c>
      <c r="F316" s="110">
        <f>E316-H316</f>
        <v>2457.8199999999997</v>
      </c>
      <c r="G316" s="164">
        <f>VLOOKUP(D316,$K$11:$L$23,2,TRUE)</f>
        <v>0.04</v>
      </c>
      <c r="H316" s="110">
        <f>ROUND(I315*G316/12,2)</f>
        <v>-853.99</v>
      </c>
      <c r="I316" s="110">
        <f>I315-F316</f>
        <v>-258653.67999999996</v>
      </c>
    </row>
    <row r="317" spans="4:9">
      <c r="D317" s="104">
        <f>D316+1</f>
        <v>307</v>
      </c>
      <c r="E317" s="110">
        <f>-ROUND($C$6,2)</f>
        <v>1603.83</v>
      </c>
      <c r="F317" s="110">
        <f>E317-H317</f>
        <v>2466.0099999999998</v>
      </c>
      <c r="G317" s="164">
        <f>VLOOKUP(D317,$K$11:$L$23,2,TRUE)</f>
        <v>0.04</v>
      </c>
      <c r="H317" s="110">
        <f>ROUND(I316*G317/12,2)</f>
        <v>-862.18</v>
      </c>
      <c r="I317" s="110">
        <f>I316-F317</f>
        <v>-261119.68999999997</v>
      </c>
    </row>
    <row r="318" spans="4:9">
      <c r="D318" s="104">
        <f>D317+1</f>
        <v>308</v>
      </c>
      <c r="E318" s="110">
        <f>-ROUND($C$6,2)</f>
        <v>1603.83</v>
      </c>
      <c r="F318" s="110">
        <f>E318-H318</f>
        <v>2474.23</v>
      </c>
      <c r="G318" s="164">
        <f>VLOOKUP(D318,$K$11:$L$23,2,TRUE)</f>
        <v>0.04</v>
      </c>
      <c r="H318" s="110">
        <f>ROUND(I317*G318/12,2)</f>
        <v>-870.4</v>
      </c>
      <c r="I318" s="110">
        <f>I317-F318</f>
        <v>-263593.92</v>
      </c>
    </row>
    <row r="319" spans="4:9">
      <c r="D319" s="104">
        <f>D318+1</f>
        <v>309</v>
      </c>
      <c r="E319" s="110">
        <f>-ROUND($C$6,2)</f>
        <v>1603.83</v>
      </c>
      <c r="F319" s="110">
        <f>E319-H319</f>
        <v>2482.48</v>
      </c>
      <c r="G319" s="164">
        <f>VLOOKUP(D319,$K$11:$L$23,2,TRUE)</f>
        <v>0.04</v>
      </c>
      <c r="H319" s="110">
        <f>ROUND(I318*G319/12,2)</f>
        <v>-878.65</v>
      </c>
      <c r="I319" s="110">
        <f>I318-F319</f>
        <v>-266076.39999999997</v>
      </c>
    </row>
    <row r="320" spans="4:9">
      <c r="D320" s="104">
        <f>D319+1</f>
        <v>310</v>
      </c>
      <c r="E320" s="110">
        <f>-ROUND($C$6,2)</f>
        <v>1603.83</v>
      </c>
      <c r="F320" s="110">
        <f>E320-H320</f>
        <v>2490.75</v>
      </c>
      <c r="G320" s="164">
        <f>VLOOKUP(D320,$K$11:$L$23,2,TRUE)</f>
        <v>0.04</v>
      </c>
      <c r="H320" s="110">
        <f>ROUND(I319*G320/12,2)</f>
        <v>-886.92</v>
      </c>
      <c r="I320" s="110">
        <f>I319-F320</f>
        <v>-268567.14999999997</v>
      </c>
    </row>
    <row r="321" spans="4:9">
      <c r="D321" s="104">
        <f>D320+1</f>
        <v>311</v>
      </c>
      <c r="E321" s="110">
        <f>-ROUND($C$6,2)</f>
        <v>1603.83</v>
      </c>
      <c r="F321" s="110">
        <f>E321-H321</f>
        <v>2499.0500000000002</v>
      </c>
      <c r="G321" s="164">
        <f>VLOOKUP(D321,$K$11:$L$23,2,TRUE)</f>
        <v>0.04</v>
      </c>
      <c r="H321" s="110">
        <f>ROUND(I320*G321/12,2)</f>
        <v>-895.22</v>
      </c>
      <c r="I321" s="110">
        <f>I320-F321</f>
        <v>-271066.19999999995</v>
      </c>
    </row>
    <row r="322" spans="4:9">
      <c r="D322" s="104">
        <f>D321+1</f>
        <v>312</v>
      </c>
      <c r="E322" s="110">
        <f>-ROUND($C$6,2)</f>
        <v>1603.83</v>
      </c>
      <c r="F322" s="110">
        <f>E322-H322</f>
        <v>2507.38</v>
      </c>
      <c r="G322" s="164">
        <f>VLOOKUP(D322,$K$11:$L$23,2,TRUE)</f>
        <v>0.04</v>
      </c>
      <c r="H322" s="110">
        <f>ROUND(I321*G322/12,2)</f>
        <v>-903.55</v>
      </c>
      <c r="I322" s="110">
        <f>I321-F322</f>
        <v>-273573.57999999996</v>
      </c>
    </row>
    <row r="323" spans="4:9">
      <c r="D323" s="104">
        <f>D322+1</f>
        <v>313</v>
      </c>
      <c r="E323" s="110">
        <f>-ROUND($C$6,2)</f>
        <v>1603.83</v>
      </c>
      <c r="F323" s="110">
        <f>E323-H323</f>
        <v>2515.7399999999998</v>
      </c>
      <c r="G323" s="164">
        <f>VLOOKUP(D323,$K$11:$L$23,2,TRUE)</f>
        <v>0.04</v>
      </c>
      <c r="H323" s="110">
        <f>ROUND(I322*G323/12,2)</f>
        <v>-911.91</v>
      </c>
      <c r="I323" s="110">
        <f>I322-F323</f>
        <v>-276089.31999999995</v>
      </c>
    </row>
    <row r="324" spans="4:9">
      <c r="D324" s="104">
        <f>D323+1</f>
        <v>314</v>
      </c>
      <c r="E324" s="110">
        <f>-ROUND($C$6,2)</f>
        <v>1603.83</v>
      </c>
      <c r="F324" s="110">
        <f>E324-H324</f>
        <v>2524.13</v>
      </c>
      <c r="G324" s="164">
        <f>VLOOKUP(D324,$K$11:$L$23,2,TRUE)</f>
        <v>0.04</v>
      </c>
      <c r="H324" s="110">
        <f>ROUND(I323*G324/12,2)</f>
        <v>-920.3</v>
      </c>
      <c r="I324" s="110">
        <f>I323-F324</f>
        <v>-278613.44999999995</v>
      </c>
    </row>
    <row r="325" spans="4:9">
      <c r="D325" s="104">
        <f>D324+1</f>
        <v>315</v>
      </c>
      <c r="E325" s="110">
        <f>-ROUND($C$6,2)</f>
        <v>1603.83</v>
      </c>
      <c r="F325" s="110">
        <f>E325-H325</f>
        <v>2532.54</v>
      </c>
      <c r="G325" s="164">
        <f>VLOOKUP(D325,$K$11:$L$23,2,TRUE)</f>
        <v>0.04</v>
      </c>
      <c r="H325" s="110">
        <f>ROUND(I324*G325/12,2)</f>
        <v>-928.71</v>
      </c>
      <c r="I325" s="110">
        <f>I324-F325</f>
        <v>-281145.98999999993</v>
      </c>
    </row>
    <row r="326" spans="4:9">
      <c r="D326" s="104">
        <f>D325+1</f>
        <v>316</v>
      </c>
      <c r="E326" s="110">
        <f>-ROUND($C$6,2)</f>
        <v>1603.83</v>
      </c>
      <c r="F326" s="110">
        <f>E326-H326</f>
        <v>2540.98</v>
      </c>
      <c r="G326" s="164">
        <f>VLOOKUP(D326,$K$11:$L$23,2,TRUE)</f>
        <v>0.04</v>
      </c>
      <c r="H326" s="110">
        <f>ROUND(I325*G326/12,2)</f>
        <v>-937.15</v>
      </c>
      <c r="I326" s="110">
        <f>I325-F326</f>
        <v>-283686.96999999991</v>
      </c>
    </row>
    <row r="327" spans="4:9">
      <c r="D327" s="104">
        <f>D326+1</f>
        <v>317</v>
      </c>
      <c r="E327" s="110">
        <f>-ROUND($C$6,2)</f>
        <v>1603.83</v>
      </c>
      <c r="F327" s="110">
        <f>E327-H327</f>
        <v>2549.4499999999998</v>
      </c>
      <c r="G327" s="164">
        <f>VLOOKUP(D327,$K$11:$L$23,2,TRUE)</f>
        <v>0.04</v>
      </c>
      <c r="H327" s="110">
        <f>ROUND(I326*G327/12,2)</f>
        <v>-945.62</v>
      </c>
      <c r="I327" s="110">
        <f>I326-F327</f>
        <v>-286236.41999999993</v>
      </c>
    </row>
    <row r="328" spans="4:9">
      <c r="D328" s="104">
        <f>D327+1</f>
        <v>318</v>
      </c>
      <c r="E328" s="110">
        <f>-ROUND($C$6,2)</f>
        <v>1603.83</v>
      </c>
      <c r="F328" s="110">
        <f>E328-H328</f>
        <v>2557.9499999999998</v>
      </c>
      <c r="G328" s="164">
        <f>VLOOKUP(D328,$K$11:$L$23,2,TRUE)</f>
        <v>0.04</v>
      </c>
      <c r="H328" s="110">
        <f>ROUND(I327*G328/12,2)</f>
        <v>-954.12</v>
      </c>
      <c r="I328" s="110">
        <f>I327-F328</f>
        <v>-288794.36999999994</v>
      </c>
    </row>
    <row r="329" spans="4:9">
      <c r="D329" s="104">
        <f>D328+1</f>
        <v>319</v>
      </c>
      <c r="E329" s="110">
        <f>-ROUND($C$6,2)</f>
        <v>1603.83</v>
      </c>
      <c r="F329" s="110">
        <f>E329-H329</f>
        <v>2566.48</v>
      </c>
      <c r="G329" s="164">
        <f>VLOOKUP(D329,$K$11:$L$23,2,TRUE)</f>
        <v>0.04</v>
      </c>
      <c r="H329" s="110">
        <f>ROUND(I328*G329/12,2)</f>
        <v>-962.65</v>
      </c>
      <c r="I329" s="110">
        <f>I328-F329</f>
        <v>-291360.84999999992</v>
      </c>
    </row>
    <row r="330" spans="4:9">
      <c r="D330" s="104">
        <f>D329+1</f>
        <v>320</v>
      </c>
      <c r="E330" s="110">
        <f>-ROUND($C$6,2)</f>
        <v>1603.83</v>
      </c>
      <c r="F330" s="110">
        <f>E330-H330</f>
        <v>2575.0299999999997</v>
      </c>
      <c r="G330" s="164">
        <f>VLOOKUP(D330,$K$11:$L$23,2,TRUE)</f>
        <v>0.04</v>
      </c>
      <c r="H330" s="110">
        <f>ROUND(I329*G330/12,2)</f>
        <v>-971.2</v>
      </c>
      <c r="I330" s="110">
        <f>I329-F330</f>
        <v>-293935.87999999995</v>
      </c>
    </row>
    <row r="331" spans="4:9">
      <c r="D331" s="104">
        <f>D330+1</f>
        <v>321</v>
      </c>
      <c r="E331" s="110">
        <f>-ROUND($C$6,2)</f>
        <v>1603.83</v>
      </c>
      <c r="F331" s="110">
        <f>E331-H331</f>
        <v>2583.62</v>
      </c>
      <c r="G331" s="164">
        <f>VLOOKUP(D331,$K$11:$L$23,2,TRUE)</f>
        <v>0.04</v>
      </c>
      <c r="H331" s="110">
        <f>ROUND(I330*G331/12,2)</f>
        <v>-979.79</v>
      </c>
      <c r="I331" s="110">
        <f>I330-F331</f>
        <v>-296519.49999999994</v>
      </c>
    </row>
    <row r="332" spans="4:9">
      <c r="D332" s="104">
        <f>D331+1</f>
        <v>322</v>
      </c>
      <c r="E332" s="110">
        <f>-ROUND($C$6,2)</f>
        <v>1603.83</v>
      </c>
      <c r="F332" s="110">
        <f>E332-H332</f>
        <v>2592.23</v>
      </c>
      <c r="G332" s="164">
        <f>VLOOKUP(D332,$K$11:$L$23,2,TRUE)</f>
        <v>0.04</v>
      </c>
      <c r="H332" s="110">
        <f>ROUND(I331*G332/12,2)</f>
        <v>-988.4</v>
      </c>
      <c r="I332" s="110">
        <f>I331-F332</f>
        <v>-299111.72999999992</v>
      </c>
    </row>
    <row r="333" spans="4:9">
      <c r="D333" s="104">
        <f>D332+1</f>
        <v>323</v>
      </c>
      <c r="E333" s="110">
        <f>-ROUND($C$6,2)</f>
        <v>1603.83</v>
      </c>
      <c r="F333" s="110">
        <f>E333-H333</f>
        <v>2600.87</v>
      </c>
      <c r="G333" s="164">
        <f>VLOOKUP(D333,$K$11:$L$23,2,TRUE)</f>
        <v>0.04</v>
      </c>
      <c r="H333" s="110">
        <f>ROUND(I332*G333/12,2)</f>
        <v>-997.04</v>
      </c>
      <c r="I333" s="110">
        <f>I332-F333</f>
        <v>-301712.59999999992</v>
      </c>
    </row>
    <row r="334" spans="4:9">
      <c r="D334" s="104">
        <f>D333+1</f>
        <v>324</v>
      </c>
      <c r="E334" s="110">
        <f>-ROUND($C$6,2)</f>
        <v>1603.83</v>
      </c>
      <c r="F334" s="110">
        <f>E334-H334</f>
        <v>2609.54</v>
      </c>
      <c r="G334" s="164">
        <f>VLOOKUP(D334,$K$11:$L$23,2,TRUE)</f>
        <v>0.04</v>
      </c>
      <c r="H334" s="110">
        <f>ROUND(I333*G334/12,2)</f>
        <v>-1005.71</v>
      </c>
      <c r="I334" s="110">
        <f>I333-F334</f>
        <v>-304322.1399999999</v>
      </c>
    </row>
    <row r="335" spans="4:9">
      <c r="D335" s="104">
        <f>D334+1</f>
        <v>325</v>
      </c>
      <c r="E335" s="110">
        <f>-ROUND($C$6,2)</f>
        <v>1603.83</v>
      </c>
      <c r="F335" s="110">
        <f>E335-H335</f>
        <v>2618.2399999999998</v>
      </c>
      <c r="G335" s="164">
        <f>VLOOKUP(D335,$K$11:$L$23,2,TRUE)</f>
        <v>0.04</v>
      </c>
      <c r="H335" s="110">
        <f>ROUND(I334*G335/12,2)</f>
        <v>-1014.41</v>
      </c>
      <c r="I335" s="110">
        <f>I334-F335</f>
        <v>-306940.37999999989</v>
      </c>
    </row>
    <row r="336" spans="4:9">
      <c r="D336" s="104">
        <f>D335+1</f>
        <v>326</v>
      </c>
      <c r="E336" s="110">
        <f>-ROUND($C$6,2)</f>
        <v>1603.83</v>
      </c>
      <c r="F336" s="110">
        <f>E336-H336</f>
        <v>2626.96</v>
      </c>
      <c r="G336" s="164">
        <f>VLOOKUP(D336,$K$11:$L$23,2,TRUE)</f>
        <v>0.04</v>
      </c>
      <c r="H336" s="110">
        <f>ROUND(I335*G336/12,2)</f>
        <v>-1023.13</v>
      </c>
      <c r="I336" s="110">
        <f>I335-F336</f>
        <v>-309567.33999999991</v>
      </c>
    </row>
    <row r="337" spans="4:9">
      <c r="D337" s="104">
        <f>D336+1</f>
        <v>327</v>
      </c>
      <c r="E337" s="110">
        <f>-ROUND($C$6,2)</f>
        <v>1603.83</v>
      </c>
      <c r="F337" s="110">
        <f>E337-H337</f>
        <v>2635.7200000000003</v>
      </c>
      <c r="G337" s="164">
        <f>VLOOKUP(D337,$K$11:$L$23,2,TRUE)</f>
        <v>0.04</v>
      </c>
      <c r="H337" s="110">
        <f>ROUND(I336*G337/12,2)</f>
        <v>-1031.8900000000001</v>
      </c>
      <c r="I337" s="110">
        <f>I336-F337</f>
        <v>-312203.05999999988</v>
      </c>
    </row>
    <row r="338" spans="4:9">
      <c r="D338" s="104">
        <f>D337+1</f>
        <v>328</v>
      </c>
      <c r="E338" s="110">
        <f>-ROUND($C$6,2)</f>
        <v>1603.83</v>
      </c>
      <c r="F338" s="110">
        <f>E338-H338</f>
        <v>2644.51</v>
      </c>
      <c r="G338" s="164">
        <f>VLOOKUP(D338,$K$11:$L$23,2,TRUE)</f>
        <v>0.04</v>
      </c>
      <c r="H338" s="110">
        <f>ROUND(I337*G338/12,2)</f>
        <v>-1040.68</v>
      </c>
      <c r="I338" s="110">
        <f>I337-F338</f>
        <v>-314847.56999999989</v>
      </c>
    </row>
    <row r="339" spans="4:9">
      <c r="D339" s="104">
        <f>D338+1</f>
        <v>329</v>
      </c>
      <c r="E339" s="110">
        <f>-ROUND($C$6,2)</f>
        <v>1603.83</v>
      </c>
      <c r="F339" s="110">
        <f>E339-H339</f>
        <v>2653.3199999999997</v>
      </c>
      <c r="G339" s="164">
        <f>VLOOKUP(D339,$K$11:$L$23,2,TRUE)</f>
        <v>0.04</v>
      </c>
      <c r="H339" s="110">
        <f>ROUND(I338*G339/12,2)</f>
        <v>-1049.49</v>
      </c>
      <c r="I339" s="110">
        <f>I338-F339</f>
        <v>-317500.8899999999</v>
      </c>
    </row>
    <row r="340" spans="4:9">
      <c r="D340" s="104">
        <f>D339+1</f>
        <v>330</v>
      </c>
      <c r="E340" s="110">
        <f>-ROUND($C$6,2)</f>
        <v>1603.83</v>
      </c>
      <c r="F340" s="110">
        <f>E340-H340</f>
        <v>2662.17</v>
      </c>
      <c r="G340" s="164">
        <f>VLOOKUP(D340,$K$11:$L$23,2,TRUE)</f>
        <v>0.04</v>
      </c>
      <c r="H340" s="110">
        <f>ROUND(I339*G340/12,2)</f>
        <v>-1058.3399999999999</v>
      </c>
      <c r="I340" s="110">
        <f>I339-F340</f>
        <v>-320163.05999999988</v>
      </c>
    </row>
    <row r="341" spans="4:9">
      <c r="D341" s="104">
        <f>D340+1</f>
        <v>331</v>
      </c>
      <c r="E341" s="110">
        <f>-ROUND($C$6,2)</f>
        <v>1603.83</v>
      </c>
      <c r="F341" s="110">
        <f>E341-H341</f>
        <v>2671.04</v>
      </c>
      <c r="G341" s="164">
        <f>VLOOKUP(D341,$K$11:$L$23,2,TRUE)</f>
        <v>0.04</v>
      </c>
      <c r="H341" s="110">
        <f>ROUND(I340*G341/12,2)</f>
        <v>-1067.21</v>
      </c>
      <c r="I341" s="110">
        <f>I340-F341</f>
        <v>-322834.09999999986</v>
      </c>
    </row>
    <row r="342" spans="4:9">
      <c r="D342" s="104">
        <f>D341+1</f>
        <v>332</v>
      </c>
      <c r="E342" s="110">
        <f>-ROUND($C$6,2)</f>
        <v>1603.83</v>
      </c>
      <c r="F342" s="110">
        <f>E342-H342</f>
        <v>2679.9399999999996</v>
      </c>
      <c r="G342" s="164">
        <f>VLOOKUP(D342,$K$11:$L$23,2,TRUE)</f>
        <v>0.04</v>
      </c>
      <c r="H342" s="110">
        <f>ROUND(I341*G342/12,2)</f>
        <v>-1076.1099999999999</v>
      </c>
      <c r="I342" s="110">
        <f>I341-F342</f>
        <v>-325514.03999999986</v>
      </c>
    </row>
    <row r="343" spans="4:9">
      <c r="D343" s="104">
        <f>D342+1</f>
        <v>333</v>
      </c>
      <c r="E343" s="110">
        <f>-ROUND($C$6,2)</f>
        <v>1603.83</v>
      </c>
      <c r="F343" s="110">
        <f>E343-H343</f>
        <v>2688.88</v>
      </c>
      <c r="G343" s="164">
        <f>VLOOKUP(D343,$K$11:$L$23,2,TRUE)</f>
        <v>0.04</v>
      </c>
      <c r="H343" s="110">
        <f>ROUND(I342*G343/12,2)</f>
        <v>-1085.05</v>
      </c>
      <c r="I343" s="110">
        <f>I342-F343</f>
        <v>-328202.91999999987</v>
      </c>
    </row>
    <row r="344" spans="4:9">
      <c r="D344" s="104">
        <f>D343+1</f>
        <v>334</v>
      </c>
      <c r="E344" s="110">
        <f>-ROUND($C$6,2)</f>
        <v>1603.83</v>
      </c>
      <c r="F344" s="110">
        <f>E344-H344</f>
        <v>2697.84</v>
      </c>
      <c r="G344" s="164">
        <f>VLOOKUP(D344,$K$11:$L$23,2,TRUE)</f>
        <v>0.04</v>
      </c>
      <c r="H344" s="110">
        <f>ROUND(I343*G344/12,2)</f>
        <v>-1094.01</v>
      </c>
      <c r="I344" s="110">
        <f>I343-F344</f>
        <v>-330900.75999999989</v>
      </c>
    </row>
    <row r="345" spans="4:9">
      <c r="D345" s="104">
        <f>D344+1</f>
        <v>335</v>
      </c>
      <c r="E345" s="110">
        <f>-ROUND($C$6,2)</f>
        <v>1603.83</v>
      </c>
      <c r="F345" s="110">
        <f>E345-H345</f>
        <v>2706.83</v>
      </c>
      <c r="G345" s="164">
        <f>VLOOKUP(D345,$K$11:$L$23,2,TRUE)</f>
        <v>0.04</v>
      </c>
      <c r="H345" s="110">
        <f>ROUND(I344*G345/12,2)</f>
        <v>-1103</v>
      </c>
      <c r="I345" s="110">
        <f>I344-F345</f>
        <v>-333607.58999999991</v>
      </c>
    </row>
    <row r="346" spans="4:9">
      <c r="D346" s="104">
        <f>D345+1</f>
        <v>336</v>
      </c>
      <c r="E346" s="110">
        <f>-ROUND($C$6,2)</f>
        <v>1603.83</v>
      </c>
      <c r="F346" s="110">
        <f>E346-H346</f>
        <v>2715.8599999999997</v>
      </c>
      <c r="G346" s="164">
        <f>VLOOKUP(D346,$K$11:$L$23,2,TRUE)</f>
        <v>0.04</v>
      </c>
      <c r="H346" s="110">
        <f>ROUND(I345*G346/12,2)</f>
        <v>-1112.03</v>
      </c>
      <c r="I346" s="110">
        <f>I345-F346</f>
        <v>-336323.4499999999</v>
      </c>
    </row>
    <row r="347" spans="4:9">
      <c r="D347" s="104">
        <f>D346+1</f>
        <v>337</v>
      </c>
      <c r="E347" s="110">
        <f>-ROUND($C$6,2)</f>
        <v>1603.83</v>
      </c>
      <c r="F347" s="110">
        <f>E347-H347</f>
        <v>2724.91</v>
      </c>
      <c r="G347" s="164">
        <f>VLOOKUP(D347,$K$11:$L$23,2,TRUE)</f>
        <v>0.04</v>
      </c>
      <c r="H347" s="110">
        <f>ROUND(I346*G347/12,2)</f>
        <v>-1121.08</v>
      </c>
      <c r="I347" s="110">
        <f>I346-F347</f>
        <v>-339048.35999999987</v>
      </c>
    </row>
    <row r="348" spans="4:9">
      <c r="D348" s="104">
        <f>D347+1</f>
        <v>338</v>
      </c>
      <c r="E348" s="110">
        <f>-ROUND($C$6,2)</f>
        <v>1603.83</v>
      </c>
      <c r="F348" s="110">
        <f>E348-H348</f>
        <v>2733.99</v>
      </c>
      <c r="G348" s="164">
        <f>VLOOKUP(D348,$K$11:$L$23,2,TRUE)</f>
        <v>0.04</v>
      </c>
      <c r="H348" s="110">
        <f>ROUND(I347*G348/12,2)</f>
        <v>-1130.1600000000001</v>
      </c>
      <c r="I348" s="110">
        <f>I347-F348</f>
        <v>-341782.34999999986</v>
      </c>
    </row>
    <row r="349" spans="4:9">
      <c r="D349" s="104">
        <f>D348+1</f>
        <v>339</v>
      </c>
      <c r="E349" s="110">
        <f>-ROUND($C$6,2)</f>
        <v>1603.83</v>
      </c>
      <c r="F349" s="110">
        <f>E349-H349</f>
        <v>2743.1</v>
      </c>
      <c r="G349" s="164">
        <f>VLOOKUP(D349,$K$11:$L$23,2,TRUE)</f>
        <v>0.04</v>
      </c>
      <c r="H349" s="110">
        <f>ROUND(I348*G349/12,2)</f>
        <v>-1139.27</v>
      </c>
      <c r="I349" s="110">
        <f>I348-F349</f>
        <v>-344525.44999999984</v>
      </c>
    </row>
    <row r="350" spans="4:9">
      <c r="D350" s="104">
        <f>D349+1</f>
        <v>340</v>
      </c>
      <c r="E350" s="110">
        <f>-ROUND($C$6,2)</f>
        <v>1603.83</v>
      </c>
      <c r="F350" s="110">
        <f>E350-H350</f>
        <v>2752.25</v>
      </c>
      <c r="G350" s="164">
        <f>VLOOKUP(D350,$K$11:$L$23,2,TRUE)</f>
        <v>0.04</v>
      </c>
      <c r="H350" s="110">
        <f>ROUND(I349*G350/12,2)</f>
        <v>-1148.42</v>
      </c>
      <c r="I350" s="110">
        <f>I349-F350</f>
        <v>-347277.69999999984</v>
      </c>
    </row>
    <row r="351" spans="4:9">
      <c r="D351" s="104">
        <f>D350+1</f>
        <v>341</v>
      </c>
      <c r="E351" s="110">
        <f>-ROUND($C$6,2)</f>
        <v>1603.83</v>
      </c>
      <c r="F351" s="110">
        <f>E351-H351</f>
        <v>2761.42</v>
      </c>
      <c r="G351" s="164">
        <f>VLOOKUP(D351,$K$11:$L$23,2,TRUE)</f>
        <v>0.04</v>
      </c>
      <c r="H351" s="110">
        <f>ROUND(I350*G351/12,2)</f>
        <v>-1157.5899999999999</v>
      </c>
      <c r="I351" s="110">
        <f>I350-F351</f>
        <v>-350039.11999999982</v>
      </c>
    </row>
    <row r="352" spans="4:9">
      <c r="D352" s="104">
        <f>D351+1</f>
        <v>342</v>
      </c>
      <c r="E352" s="110">
        <f>-ROUND($C$6,2)</f>
        <v>1603.83</v>
      </c>
      <c r="F352" s="110">
        <f>E352-H352</f>
        <v>2770.63</v>
      </c>
      <c r="G352" s="164">
        <f>VLOOKUP(D352,$K$11:$L$23,2,TRUE)</f>
        <v>0.04</v>
      </c>
      <c r="H352" s="110">
        <f>ROUND(I351*G352/12,2)</f>
        <v>-1166.8</v>
      </c>
      <c r="I352" s="110">
        <f>I351-F352</f>
        <v>-352809.74999999983</v>
      </c>
    </row>
    <row r="353" spans="4:9">
      <c r="D353" s="104">
        <f>D352+1</f>
        <v>343</v>
      </c>
      <c r="E353" s="110">
        <f>-ROUND($C$6,2)</f>
        <v>1603.83</v>
      </c>
      <c r="F353" s="110">
        <f>E353-H353</f>
        <v>2779.8599999999997</v>
      </c>
      <c r="G353" s="164">
        <f>VLOOKUP(D353,$K$11:$L$23,2,TRUE)</f>
        <v>0.04</v>
      </c>
      <c r="H353" s="110">
        <f>ROUND(I352*G353/12,2)</f>
        <v>-1176.03</v>
      </c>
      <c r="I353" s="110">
        <f>I352-F353</f>
        <v>-355589.60999999981</v>
      </c>
    </row>
    <row r="354" spans="4:9">
      <c r="D354" s="104">
        <f>D353+1</f>
        <v>344</v>
      </c>
      <c r="E354" s="110">
        <f>-ROUND($C$6,2)</f>
        <v>1603.83</v>
      </c>
      <c r="F354" s="110">
        <f>E354-H354</f>
        <v>2789.13</v>
      </c>
      <c r="G354" s="164">
        <f>VLOOKUP(D354,$K$11:$L$23,2,TRUE)</f>
        <v>0.04</v>
      </c>
      <c r="H354" s="110">
        <f>ROUND(I353*G354/12,2)</f>
        <v>-1185.3</v>
      </c>
      <c r="I354" s="110">
        <f>I353-F354</f>
        <v>-358378.73999999982</v>
      </c>
    </row>
    <row r="355" spans="4:9">
      <c r="D355" s="104">
        <f>D354+1</f>
        <v>345</v>
      </c>
      <c r="E355" s="110">
        <f>-ROUND($C$6,2)</f>
        <v>1603.83</v>
      </c>
      <c r="F355" s="110">
        <f>E355-H355</f>
        <v>2798.43</v>
      </c>
      <c r="G355" s="164">
        <f>VLOOKUP(D355,$K$11:$L$23,2,TRUE)</f>
        <v>0.04</v>
      </c>
      <c r="H355" s="110">
        <f>ROUND(I354*G355/12,2)</f>
        <v>-1194.5999999999999</v>
      </c>
      <c r="I355" s="110">
        <f>I354-F355</f>
        <v>-361177.16999999981</v>
      </c>
    </row>
    <row r="356" spans="4:9">
      <c r="D356" s="104">
        <f>D355+1</f>
        <v>346</v>
      </c>
      <c r="E356" s="110">
        <f>-ROUND($C$6,2)</f>
        <v>1603.83</v>
      </c>
      <c r="F356" s="110">
        <f>E356-H356</f>
        <v>2807.75</v>
      </c>
      <c r="G356" s="164">
        <f>VLOOKUP(D356,$K$11:$L$23,2,TRUE)</f>
        <v>0.04</v>
      </c>
      <c r="H356" s="110">
        <f>ROUND(I355*G356/12,2)</f>
        <v>-1203.92</v>
      </c>
      <c r="I356" s="110">
        <f>I355-F356</f>
        <v>-363984.91999999981</v>
      </c>
    </row>
    <row r="357" spans="4:9">
      <c r="D357" s="104">
        <f>D356+1</f>
        <v>347</v>
      </c>
      <c r="E357" s="110">
        <f>-ROUND($C$6,2)</f>
        <v>1603.83</v>
      </c>
      <c r="F357" s="110">
        <f>E357-H357</f>
        <v>2817.1099999999997</v>
      </c>
      <c r="G357" s="164">
        <f>VLOOKUP(D357,$K$11:$L$23,2,TRUE)</f>
        <v>0.04</v>
      </c>
      <c r="H357" s="110">
        <f>ROUND(I356*G357/12,2)</f>
        <v>-1213.28</v>
      </c>
      <c r="I357" s="110">
        <f>I356-F357</f>
        <v>-366802.0299999998</v>
      </c>
    </row>
    <row r="358" spans="4:9">
      <c r="D358" s="104">
        <f>D357+1</f>
        <v>348</v>
      </c>
      <c r="E358" s="110">
        <f>-ROUND($C$6,2)</f>
        <v>1603.83</v>
      </c>
      <c r="F358" s="110">
        <f>E358-H358</f>
        <v>2826.5</v>
      </c>
      <c r="G358" s="164">
        <f>VLOOKUP(D358,$K$11:$L$23,2,TRUE)</f>
        <v>0.04</v>
      </c>
      <c r="H358" s="110">
        <f>ROUND(I357*G358/12,2)</f>
        <v>-1222.67</v>
      </c>
      <c r="I358" s="110">
        <f>I357-F358</f>
        <v>-369628.5299999998</v>
      </c>
    </row>
    <row r="359" spans="4:9">
      <c r="D359" s="104">
        <f>D358+1</f>
        <v>349</v>
      </c>
      <c r="E359" s="110">
        <f>-ROUND($C$6,2)</f>
        <v>1603.83</v>
      </c>
      <c r="F359" s="110">
        <f>E359-H359</f>
        <v>2835.93</v>
      </c>
      <c r="G359" s="164">
        <f>VLOOKUP(D359,$K$11:$L$23,2,TRUE)</f>
        <v>0.04</v>
      </c>
      <c r="H359" s="110">
        <f>ROUND(I358*G359/12,2)</f>
        <v>-1232.0999999999999</v>
      </c>
      <c r="I359" s="110">
        <f>I358-F359</f>
        <v>-372464.45999999979</v>
      </c>
    </row>
    <row r="360" spans="4:9">
      <c r="D360" s="104">
        <f>D359+1</f>
        <v>350</v>
      </c>
      <c r="E360" s="110">
        <f>-ROUND($C$6,2)</f>
        <v>1603.83</v>
      </c>
      <c r="F360" s="110">
        <f>E360-H360</f>
        <v>2845.38</v>
      </c>
      <c r="G360" s="164">
        <f>VLOOKUP(D360,$K$11:$L$23,2,TRUE)</f>
        <v>0.04</v>
      </c>
      <c r="H360" s="110">
        <f>ROUND(I359*G360/12,2)</f>
        <v>-1241.55</v>
      </c>
      <c r="I360" s="110">
        <f>I359-F360</f>
        <v>-375309.83999999979</v>
      </c>
    </row>
    <row r="361" spans="4:9">
      <c r="D361" s="104">
        <f>D360+1</f>
        <v>351</v>
      </c>
      <c r="E361" s="110">
        <f>-ROUND($C$6,2)</f>
        <v>1603.83</v>
      </c>
      <c r="F361" s="110">
        <f>E361-H361</f>
        <v>2854.8599999999997</v>
      </c>
      <c r="G361" s="164">
        <f>VLOOKUP(D361,$K$11:$L$23,2,TRUE)</f>
        <v>0.04</v>
      </c>
      <c r="H361" s="110">
        <f>ROUND(I360*G361/12,2)</f>
        <v>-1251.03</v>
      </c>
      <c r="I361" s="110">
        <f>I360-F361</f>
        <v>-378164.69999999978</v>
      </c>
    </row>
    <row r="362" spans="4:9">
      <c r="D362" s="104">
        <f>D361+1</f>
        <v>352</v>
      </c>
      <c r="E362" s="110">
        <f>-ROUND($C$6,2)</f>
        <v>1603.83</v>
      </c>
      <c r="F362" s="110">
        <f>E362-H362</f>
        <v>2864.38</v>
      </c>
      <c r="G362" s="164">
        <f>VLOOKUP(D362,$K$11:$L$23,2,TRUE)</f>
        <v>0.04</v>
      </c>
      <c r="H362" s="110">
        <f>ROUND(I361*G362/12,2)</f>
        <v>-1260.55</v>
      </c>
      <c r="I362" s="110">
        <f>I361-F362</f>
        <v>-381029.07999999978</v>
      </c>
    </row>
    <row r="363" spans="4:9">
      <c r="D363" s="104">
        <f>D362+1</f>
        <v>353</v>
      </c>
      <c r="E363" s="110">
        <f>-ROUND($C$6,2)</f>
        <v>1603.83</v>
      </c>
      <c r="F363" s="110">
        <f>E363-H363</f>
        <v>2873.93</v>
      </c>
      <c r="G363" s="164">
        <f>VLOOKUP(D363,$K$11:$L$23,2,TRUE)</f>
        <v>0.04</v>
      </c>
      <c r="H363" s="110">
        <f>ROUND(I362*G363/12,2)</f>
        <v>-1270.0999999999999</v>
      </c>
      <c r="I363" s="110">
        <f>I362-F363</f>
        <v>-383903.00999999978</v>
      </c>
    </row>
    <row r="364" spans="4:9">
      <c r="D364" s="104">
        <f>D363+1</f>
        <v>354</v>
      </c>
      <c r="E364" s="110">
        <f>-ROUND($C$6,2)</f>
        <v>1603.83</v>
      </c>
      <c r="F364" s="110">
        <f>E364-H364</f>
        <v>2883.51</v>
      </c>
      <c r="G364" s="164">
        <f>VLOOKUP(D364,$K$11:$L$23,2,TRUE)</f>
        <v>0.04</v>
      </c>
      <c r="H364" s="110">
        <f>ROUND(I363*G364/12,2)</f>
        <v>-1279.68</v>
      </c>
      <c r="I364" s="110">
        <f>I363-F364</f>
        <v>-386786.51999999979</v>
      </c>
    </row>
    <row r="365" spans="4:9">
      <c r="D365" s="104">
        <f>D364+1</f>
        <v>355</v>
      </c>
      <c r="E365" s="110">
        <f>-ROUND($C$6,2)</f>
        <v>1603.83</v>
      </c>
      <c r="F365" s="110">
        <f>E365-H365</f>
        <v>2893.12</v>
      </c>
      <c r="G365" s="164">
        <f>VLOOKUP(D365,$K$11:$L$23,2,TRUE)</f>
        <v>0.04</v>
      </c>
      <c r="H365" s="110">
        <f>ROUND(I364*G365/12,2)</f>
        <v>-1289.29</v>
      </c>
      <c r="I365" s="110">
        <f>I364-F365</f>
        <v>-389679.63999999978</v>
      </c>
    </row>
    <row r="366" spans="4:9">
      <c r="D366" s="104">
        <f>D365+1</f>
        <v>356</v>
      </c>
      <c r="E366" s="110">
        <f>-ROUND($C$6,2)</f>
        <v>1603.83</v>
      </c>
      <c r="F366" s="110">
        <f>E366-H366</f>
        <v>2902.76</v>
      </c>
      <c r="G366" s="164">
        <f>VLOOKUP(D366,$K$11:$L$23,2,TRUE)</f>
        <v>0.04</v>
      </c>
      <c r="H366" s="110">
        <f>ROUND(I365*G366/12,2)</f>
        <v>-1298.93</v>
      </c>
      <c r="I366" s="110">
        <f>I365-F366</f>
        <v>-392582.39999999979</v>
      </c>
    </row>
    <row r="367" spans="4:9">
      <c r="D367" s="104">
        <f>D366+1</f>
        <v>357</v>
      </c>
      <c r="E367" s="110">
        <f>-ROUND($C$6,2)</f>
        <v>1603.83</v>
      </c>
      <c r="F367" s="110">
        <f>E367-H367</f>
        <v>2912.4399999999996</v>
      </c>
      <c r="G367" s="164">
        <f>VLOOKUP(D367,$K$11:$L$23,2,TRUE)</f>
        <v>0.04</v>
      </c>
      <c r="H367" s="110">
        <f>ROUND(I366*G367/12,2)</f>
        <v>-1308.6099999999999</v>
      </c>
      <c r="I367" s="110">
        <f>I366-F367</f>
        <v>-395494.83999999979</v>
      </c>
    </row>
    <row r="368" spans="4:9">
      <c r="D368" s="104">
        <f>D367+1</f>
        <v>358</v>
      </c>
      <c r="E368" s="110">
        <f>-ROUND($C$6,2)</f>
        <v>1603.83</v>
      </c>
      <c r="F368" s="110">
        <f>E368-H368</f>
        <v>2922.1499999999996</v>
      </c>
      <c r="G368" s="164">
        <f>VLOOKUP(D368,$K$11:$L$23,2,TRUE)</f>
        <v>0.04</v>
      </c>
      <c r="H368" s="110">
        <f>ROUND(I367*G368/12,2)</f>
        <v>-1318.32</v>
      </c>
      <c r="I368" s="110">
        <f>I367-F368</f>
        <v>-398416.98999999982</v>
      </c>
    </row>
    <row r="369" spans="4:9">
      <c r="D369" s="104">
        <f>D368+1</f>
        <v>359</v>
      </c>
      <c r="E369" s="110">
        <f>-ROUND($C$6,2)</f>
        <v>1603.83</v>
      </c>
      <c r="F369" s="110">
        <f>E369-H369</f>
        <v>2931.89</v>
      </c>
      <c r="G369" s="164">
        <f>VLOOKUP(D369,$K$11:$L$23,2,TRUE)</f>
        <v>0.04</v>
      </c>
      <c r="H369" s="110">
        <f>ROUND(I368*G369/12,2)</f>
        <v>-1328.06</v>
      </c>
      <c r="I369" s="110">
        <f>I368-F369</f>
        <v>-401348.87999999983</v>
      </c>
    </row>
    <row r="370" spans="4:9">
      <c r="D370" s="104">
        <f>D369+1</f>
        <v>360</v>
      </c>
      <c r="E370" s="110">
        <f>-ROUND($C$6,2)</f>
        <v>1603.83</v>
      </c>
      <c r="F370" s="110">
        <f>E370-H370</f>
        <v>2941.66</v>
      </c>
      <c r="G370" s="164">
        <f>VLOOKUP(D370,$K$11:$L$23,2,TRUE)</f>
        <v>0.04</v>
      </c>
      <c r="H370" s="110">
        <f>ROUND(I369*G370/12,2)</f>
        <v>-1337.83</v>
      </c>
      <c r="I370" s="110">
        <f>I369-F370</f>
        <v>-404290.5399999998</v>
      </c>
    </row>
  </sheetData>
  <conditionalFormatting sqref="D12:I370">
    <cfRule type="expression" dxfId="11" priority="1">
      <formula>$D12&gt;$C$4*12</formula>
    </cfRule>
  </conditionalFormatting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L370"/>
  <sheetViews>
    <sheetView workbookViewId="0">
      <selection activeCell="C15" sqref="C15"/>
    </sheetView>
  </sheetViews>
  <sheetFormatPr defaultRowHeight="15"/>
  <cols>
    <col min="1" max="1" width="6.7109375" customWidth="1"/>
    <col min="2" max="2" width="23.42578125" bestFit="1" customWidth="1"/>
    <col min="3" max="3" width="11.5703125" bestFit="1" customWidth="1"/>
    <col min="4" max="4" width="10.7109375" customWidth="1"/>
    <col min="5" max="7" width="9.5703125" customWidth="1"/>
    <col min="8" max="8" width="8" customWidth="1"/>
    <col min="9" max="9" width="11.5703125" customWidth="1"/>
    <col min="10" max="10" width="3.85546875" customWidth="1"/>
    <col min="11" max="11" width="10.7109375" bestFit="1" customWidth="1"/>
  </cols>
  <sheetData>
    <row r="2" spans="2:12">
      <c r="B2" s="134" t="s">
        <v>795</v>
      </c>
      <c r="C2" s="166">
        <v>215000</v>
      </c>
    </row>
    <row r="3" spans="2:12">
      <c r="B3" s="134" t="s">
        <v>794</v>
      </c>
      <c r="C3" s="167">
        <v>4.1250000000000002E-2</v>
      </c>
    </row>
    <row r="4" spans="2:12">
      <c r="B4" s="134" t="s">
        <v>793</v>
      </c>
      <c r="C4" s="166">
        <v>15</v>
      </c>
    </row>
    <row r="5" spans="2:12" ht="15.75" thickBot="1">
      <c r="B5" s="134"/>
    </row>
    <row r="6" spans="2:12" ht="15.75" thickBot="1">
      <c r="B6" s="134" t="s">
        <v>792</v>
      </c>
      <c r="C6" s="165">
        <f>PMT(C3/12,C4*12,C2,0,0)</f>
        <v>-1603.8302979919331</v>
      </c>
    </row>
    <row r="9" spans="2:12">
      <c r="D9" s="97" t="s">
        <v>791</v>
      </c>
      <c r="E9" s="97" t="s">
        <v>790</v>
      </c>
      <c r="F9" s="97" t="s">
        <v>788</v>
      </c>
      <c r="G9" s="97" t="s">
        <v>799</v>
      </c>
      <c r="H9" s="97" t="s">
        <v>787</v>
      </c>
      <c r="I9" s="97" t="s">
        <v>329</v>
      </c>
      <c r="K9" s="169" t="s">
        <v>798</v>
      </c>
      <c r="L9" s="168"/>
    </row>
    <row r="10" spans="2:12">
      <c r="I10" s="110">
        <f>C2</f>
        <v>215000</v>
      </c>
      <c r="K10" s="97" t="s">
        <v>797</v>
      </c>
      <c r="L10" s="97" t="s">
        <v>796</v>
      </c>
    </row>
    <row r="11" spans="2:12">
      <c r="D11" s="70">
        <v>42014</v>
      </c>
      <c r="E11" s="110">
        <f>-ROUND($C$6,2)</f>
        <v>1603.83</v>
      </c>
      <c r="F11" s="110">
        <f>E11-H11</f>
        <v>864.77</v>
      </c>
      <c r="G11" s="164">
        <f>VLOOKUP(D11,$K$11:$L$23,2,TRUE)</f>
        <v>4.1250000000000002E-2</v>
      </c>
      <c r="H11" s="110">
        <f>ROUND(I10*G11/12,2)</f>
        <v>739.06</v>
      </c>
      <c r="I11" s="110">
        <f>I10-F11</f>
        <v>214135.23</v>
      </c>
      <c r="K11" s="70">
        <f>D11</f>
        <v>42014</v>
      </c>
      <c r="L11" s="164">
        <f>C3</f>
        <v>4.1250000000000002E-2</v>
      </c>
    </row>
    <row r="12" spans="2:12">
      <c r="D12" s="70">
        <f>DATE(YEAR(D11),MONTH(D11)+1,DAY(D11))</f>
        <v>42045</v>
      </c>
      <c r="E12" s="110">
        <f>-ROUND($C$6,2)</f>
        <v>1603.83</v>
      </c>
      <c r="F12" s="110">
        <f>E12-H12</f>
        <v>867.7399999999999</v>
      </c>
      <c r="G12" s="164">
        <f>VLOOKUP(D12,$K$11:$L$23,2,TRUE)</f>
        <v>4.1250000000000002E-2</v>
      </c>
      <c r="H12" s="110">
        <f>ROUND(I11*G12/12,2)</f>
        <v>736.09</v>
      </c>
      <c r="I12" s="110">
        <f>I11-F12</f>
        <v>213267.49000000002</v>
      </c>
      <c r="K12" s="170">
        <v>42278</v>
      </c>
      <c r="L12" s="167">
        <v>3.875E-2</v>
      </c>
    </row>
    <row r="13" spans="2:12">
      <c r="D13" s="70">
        <f>DATE(YEAR(D12),MONTH(D12)+1,DAY(D12))</f>
        <v>42073</v>
      </c>
      <c r="E13" s="110">
        <f>-ROUND($C$6,2)</f>
        <v>1603.83</v>
      </c>
      <c r="F13" s="110">
        <f>E13-H13</f>
        <v>870.71999999999991</v>
      </c>
      <c r="G13" s="164">
        <f>VLOOKUP(D13,$K$11:$L$23,2,TRUE)</f>
        <v>4.1250000000000002E-2</v>
      </c>
      <c r="H13" s="110">
        <f>ROUND(I12*G13/12,2)</f>
        <v>733.11</v>
      </c>
      <c r="I13" s="110">
        <f>I12-F13</f>
        <v>212396.77000000002</v>
      </c>
      <c r="K13" s="170">
        <v>44958</v>
      </c>
      <c r="L13" s="167">
        <v>0.04</v>
      </c>
    </row>
    <row r="14" spans="2:12">
      <c r="D14" s="70">
        <f>DATE(YEAR(D13),MONTH(D13)+1,DAY(D13))</f>
        <v>42104</v>
      </c>
      <c r="E14" s="110">
        <f>-ROUND($C$6,2)</f>
        <v>1603.83</v>
      </c>
      <c r="F14" s="110">
        <f>E14-H14</f>
        <v>873.71999999999991</v>
      </c>
      <c r="G14" s="164">
        <f>VLOOKUP(D14,$K$11:$L$23,2,TRUE)</f>
        <v>4.1250000000000002E-2</v>
      </c>
      <c r="H14" s="110">
        <f>ROUND(I13*G14/12,2)</f>
        <v>730.11</v>
      </c>
      <c r="I14" s="110">
        <f>I13-F14</f>
        <v>211523.05000000002</v>
      </c>
      <c r="K14" s="170"/>
      <c r="L14" s="167"/>
    </row>
    <row r="15" spans="2:12">
      <c r="D15" s="70">
        <f>DATE(YEAR(D14),MONTH(D14)+1,DAY(D14))</f>
        <v>42134</v>
      </c>
      <c r="E15" s="110">
        <f>-ROUND($C$6,2)</f>
        <v>1603.83</v>
      </c>
      <c r="F15" s="110">
        <f>E15-H15</f>
        <v>876.71999999999991</v>
      </c>
      <c r="G15" s="164">
        <f>VLOOKUP(D15,$K$11:$L$23,2,TRUE)</f>
        <v>4.1250000000000002E-2</v>
      </c>
      <c r="H15" s="110">
        <f>ROUND(I14*G15/12,2)</f>
        <v>727.11</v>
      </c>
      <c r="I15" s="110">
        <f>I14-F15</f>
        <v>210646.33000000002</v>
      </c>
      <c r="K15" s="170"/>
      <c r="L15" s="167"/>
    </row>
    <row r="16" spans="2:12">
      <c r="D16" s="70">
        <f>DATE(YEAR(D15),MONTH(D15)+1,DAY(D15))</f>
        <v>42165</v>
      </c>
      <c r="E16" s="110">
        <f>-ROUND($C$6,2)</f>
        <v>1603.83</v>
      </c>
      <c r="F16" s="110">
        <f>E16-H16</f>
        <v>879.7299999999999</v>
      </c>
      <c r="G16" s="164">
        <f>VLOOKUP(D16,$K$11:$L$23,2,TRUE)</f>
        <v>4.1250000000000002E-2</v>
      </c>
      <c r="H16" s="110">
        <f>ROUND(I15*G16/12,2)</f>
        <v>724.1</v>
      </c>
      <c r="I16" s="110">
        <f>I15-F16</f>
        <v>209766.6</v>
      </c>
      <c r="K16" s="170"/>
      <c r="L16" s="167"/>
    </row>
    <row r="17" spans="4:12">
      <c r="D17" s="70">
        <f>DATE(YEAR(D16),MONTH(D16)+1,DAY(D16))</f>
        <v>42195</v>
      </c>
      <c r="E17" s="110">
        <f>-ROUND($C$6,2)</f>
        <v>1603.83</v>
      </c>
      <c r="F17" s="110">
        <f>E17-H17</f>
        <v>882.75999999999988</v>
      </c>
      <c r="G17" s="164">
        <f>VLOOKUP(D17,$K$11:$L$23,2,TRUE)</f>
        <v>4.1250000000000002E-2</v>
      </c>
      <c r="H17" s="110">
        <f>ROUND(I16*G17/12,2)</f>
        <v>721.07</v>
      </c>
      <c r="I17" s="110">
        <f>I16-F17</f>
        <v>208883.84</v>
      </c>
      <c r="K17" s="170"/>
      <c r="L17" s="167"/>
    </row>
    <row r="18" spans="4:12">
      <c r="D18" s="70">
        <f>DATE(YEAR(D17),MONTH(D17)+1,DAY(D17))</f>
        <v>42226</v>
      </c>
      <c r="E18" s="110">
        <f>-ROUND($C$6,2)</f>
        <v>1603.83</v>
      </c>
      <c r="F18" s="110">
        <f>E18-H18</f>
        <v>885.79</v>
      </c>
      <c r="G18" s="164">
        <f>VLOOKUP(D18,$K$11:$L$23,2,TRUE)</f>
        <v>4.1250000000000002E-2</v>
      </c>
      <c r="H18" s="110">
        <f>ROUND(I17*G18/12,2)</f>
        <v>718.04</v>
      </c>
      <c r="I18" s="110">
        <f>I17-F18</f>
        <v>207998.05</v>
      </c>
      <c r="K18" s="170"/>
      <c r="L18" s="167"/>
    </row>
    <row r="19" spans="4:12">
      <c r="D19" s="70">
        <f>DATE(YEAR(D18),MONTH(D18)+1,DAY(D18))</f>
        <v>42257</v>
      </c>
      <c r="E19" s="110">
        <f>-ROUND($C$6,2)</f>
        <v>1603.83</v>
      </c>
      <c r="F19" s="110">
        <f>E19-H19</f>
        <v>888.83999999999992</v>
      </c>
      <c r="G19" s="164">
        <f>VLOOKUP(D19,$K$11:$L$23,2,TRUE)</f>
        <v>4.1250000000000002E-2</v>
      </c>
      <c r="H19" s="110">
        <f>ROUND(I18*G19/12,2)</f>
        <v>714.99</v>
      </c>
      <c r="I19" s="110">
        <f>I18-F19</f>
        <v>207109.21</v>
      </c>
      <c r="K19" s="170"/>
      <c r="L19" s="167"/>
    </row>
    <row r="20" spans="4:12">
      <c r="D20" s="70">
        <f>DATE(YEAR(D19),MONTH(D19)+1,DAY(D19))</f>
        <v>42287</v>
      </c>
      <c r="E20" s="110">
        <f>-ROUND($C$6,2)</f>
        <v>1603.83</v>
      </c>
      <c r="F20" s="110">
        <f>E20-H20</f>
        <v>935.04</v>
      </c>
      <c r="G20" s="164">
        <f>VLOOKUP(D20,$K$11:$L$23,2,TRUE)</f>
        <v>3.875E-2</v>
      </c>
      <c r="H20" s="110">
        <f>ROUND(I19*G20/12,2)</f>
        <v>668.79</v>
      </c>
      <c r="I20" s="110">
        <f>I19-F20</f>
        <v>206174.16999999998</v>
      </c>
      <c r="K20" s="170"/>
      <c r="L20" s="167"/>
    </row>
    <row r="21" spans="4:12">
      <c r="D21" s="70">
        <f>DATE(YEAR(D20),MONTH(D20)+1,DAY(D20))</f>
        <v>42318</v>
      </c>
      <c r="E21" s="110">
        <f>-ROUND($C$6,2)</f>
        <v>1603.83</v>
      </c>
      <c r="F21" s="110">
        <f>E21-H21</f>
        <v>938.06</v>
      </c>
      <c r="G21" s="164">
        <f>VLOOKUP(D21,$K$11:$L$23,2,TRUE)</f>
        <v>3.875E-2</v>
      </c>
      <c r="H21" s="110">
        <f>ROUND(I20*G21/12,2)</f>
        <v>665.77</v>
      </c>
      <c r="I21" s="110">
        <f>I20-F21</f>
        <v>205236.11</v>
      </c>
      <c r="K21" s="170"/>
      <c r="L21" s="167"/>
    </row>
    <row r="22" spans="4:12">
      <c r="D22" s="70">
        <f>DATE(YEAR(D21),MONTH(D21)+1,DAY(D21))</f>
        <v>42348</v>
      </c>
      <c r="E22" s="110">
        <f>-ROUND($C$6,2)</f>
        <v>1603.83</v>
      </c>
      <c r="F22" s="110">
        <f>E22-H22</f>
        <v>941.08999999999992</v>
      </c>
      <c r="G22" s="164">
        <f>VLOOKUP(D22,$K$11:$L$23,2,TRUE)</f>
        <v>3.875E-2</v>
      </c>
      <c r="H22" s="110">
        <f>ROUND(I21*G22/12,2)</f>
        <v>662.74</v>
      </c>
      <c r="I22" s="110">
        <f>I21-F22</f>
        <v>204295.02</v>
      </c>
      <c r="K22" s="170"/>
      <c r="L22" s="167"/>
    </row>
    <row r="23" spans="4:12">
      <c r="D23" s="70">
        <f>DATE(YEAR(D22),MONTH(D22)+1,DAY(D22))</f>
        <v>42379</v>
      </c>
      <c r="E23" s="110">
        <f>-ROUND($C$6,2)</f>
        <v>1603.83</v>
      </c>
      <c r="F23" s="110">
        <f>E23-H23</f>
        <v>944.12999999999988</v>
      </c>
      <c r="G23" s="164">
        <f>VLOOKUP(D23,$K$11:$L$23,2,TRUE)</f>
        <v>3.875E-2</v>
      </c>
      <c r="H23" s="110">
        <f>ROUND(I22*G23/12,2)</f>
        <v>659.7</v>
      </c>
      <c r="I23" s="110">
        <f>I22-F23</f>
        <v>203350.88999999998</v>
      </c>
      <c r="K23" s="170"/>
      <c r="L23" s="98"/>
    </row>
    <row r="24" spans="4:12">
      <c r="D24" s="70">
        <f>DATE(YEAR(D23),MONTH(D23)+1,DAY(D23))</f>
        <v>42410</v>
      </c>
      <c r="E24" s="110">
        <f>-ROUND($C$6,2)</f>
        <v>1603.83</v>
      </c>
      <c r="F24" s="110">
        <f>E24-H24</f>
        <v>947.18</v>
      </c>
      <c r="G24" s="164">
        <f>VLOOKUP(D24,$K$11:$L$23,2,TRUE)</f>
        <v>3.875E-2</v>
      </c>
      <c r="H24" s="110">
        <f>ROUND(I23*G24/12,2)</f>
        <v>656.65</v>
      </c>
      <c r="I24" s="110">
        <f>I23-F24</f>
        <v>202403.71</v>
      </c>
    </row>
    <row r="25" spans="4:12">
      <c r="D25" s="70">
        <f>DATE(YEAR(D24),MONTH(D24)+1,DAY(D24))</f>
        <v>42439</v>
      </c>
      <c r="E25" s="110">
        <f>-ROUND($C$6,2)</f>
        <v>1603.83</v>
      </c>
      <c r="F25" s="110">
        <f>E25-H25</f>
        <v>950.2299999999999</v>
      </c>
      <c r="G25" s="164">
        <f>VLOOKUP(D25,$K$11:$L$23,2,TRUE)</f>
        <v>3.875E-2</v>
      </c>
      <c r="H25" s="110">
        <f>ROUND(I24*G25/12,2)</f>
        <v>653.6</v>
      </c>
      <c r="I25" s="110">
        <f>I24-F25</f>
        <v>201453.47999999998</v>
      </c>
    </row>
    <row r="26" spans="4:12">
      <c r="D26" s="70">
        <f>DATE(YEAR(D25),MONTH(D25)+1,DAY(D25))</f>
        <v>42470</v>
      </c>
      <c r="E26" s="110">
        <f>-ROUND($C$6,2)</f>
        <v>1603.83</v>
      </c>
      <c r="F26" s="110">
        <f>E26-H26</f>
        <v>953.3</v>
      </c>
      <c r="G26" s="164">
        <f>VLOOKUP(D26,$K$11:$L$23,2,TRUE)</f>
        <v>3.875E-2</v>
      </c>
      <c r="H26" s="110">
        <f>ROUND(I25*G26/12,2)</f>
        <v>650.53</v>
      </c>
      <c r="I26" s="110">
        <f>I25-F26</f>
        <v>200500.18</v>
      </c>
    </row>
    <row r="27" spans="4:12">
      <c r="D27" s="70">
        <f>DATE(YEAR(D26),MONTH(D26)+1,DAY(D26))</f>
        <v>42500</v>
      </c>
      <c r="E27" s="110">
        <f>-ROUND($C$6,2)</f>
        <v>1603.83</v>
      </c>
      <c r="F27" s="110">
        <f>E27-H27</f>
        <v>956.37999999999988</v>
      </c>
      <c r="G27" s="164">
        <f>VLOOKUP(D27,$K$11:$L$23,2,TRUE)</f>
        <v>3.875E-2</v>
      </c>
      <c r="H27" s="110">
        <f>ROUND(I26*G27/12,2)</f>
        <v>647.45000000000005</v>
      </c>
      <c r="I27" s="110">
        <f>I26-F27</f>
        <v>199543.8</v>
      </c>
    </row>
    <row r="28" spans="4:12">
      <c r="D28" s="70">
        <f>DATE(YEAR(D27),MONTH(D27)+1,DAY(D27))</f>
        <v>42531</v>
      </c>
      <c r="E28" s="110">
        <f>-ROUND($C$6,2)</f>
        <v>1603.83</v>
      </c>
      <c r="F28" s="110">
        <f>E28-H28</f>
        <v>959.46999999999991</v>
      </c>
      <c r="G28" s="164">
        <f>VLOOKUP(D28,$K$11:$L$23,2,TRUE)</f>
        <v>3.875E-2</v>
      </c>
      <c r="H28" s="110">
        <f>ROUND(I27*G28/12,2)</f>
        <v>644.36</v>
      </c>
      <c r="I28" s="110">
        <f>I27-F28</f>
        <v>198584.33</v>
      </c>
    </row>
    <row r="29" spans="4:12">
      <c r="D29" s="70">
        <f>DATE(YEAR(D28),MONTH(D28)+1,DAY(D28))</f>
        <v>42561</v>
      </c>
      <c r="E29" s="110">
        <f>-ROUND($C$6,2)</f>
        <v>1603.83</v>
      </c>
      <c r="F29" s="110">
        <f>E29-H29</f>
        <v>962.56999999999994</v>
      </c>
      <c r="G29" s="164">
        <f>VLOOKUP(D29,$K$11:$L$23,2,TRUE)</f>
        <v>3.875E-2</v>
      </c>
      <c r="H29" s="110">
        <f>ROUND(I28*G29/12,2)</f>
        <v>641.26</v>
      </c>
      <c r="I29" s="110">
        <f>I28-F29</f>
        <v>197621.75999999998</v>
      </c>
    </row>
    <row r="30" spans="4:12">
      <c r="D30" s="70">
        <f>DATE(YEAR(D29),MONTH(D29)+1,DAY(D29))</f>
        <v>42592</v>
      </c>
      <c r="E30" s="110">
        <f>-ROUND($C$6,2)</f>
        <v>1603.83</v>
      </c>
      <c r="F30" s="110">
        <f>E30-H30</f>
        <v>965.68</v>
      </c>
      <c r="G30" s="164">
        <f>VLOOKUP(D30,$K$11:$L$23,2,TRUE)</f>
        <v>3.875E-2</v>
      </c>
      <c r="H30" s="110">
        <f>ROUND(I29*G30/12,2)</f>
        <v>638.15</v>
      </c>
      <c r="I30" s="110">
        <f>I29-F30</f>
        <v>196656.08</v>
      </c>
    </row>
    <row r="31" spans="4:12">
      <c r="D31" s="70">
        <f>DATE(YEAR(D30),MONTH(D30)+1,DAY(D30))</f>
        <v>42623</v>
      </c>
      <c r="E31" s="110">
        <f>-ROUND($C$6,2)</f>
        <v>1603.83</v>
      </c>
      <c r="F31" s="110">
        <f>E31-H31</f>
        <v>968.79</v>
      </c>
      <c r="G31" s="164">
        <f>VLOOKUP(D31,$K$11:$L$23,2,TRUE)</f>
        <v>3.875E-2</v>
      </c>
      <c r="H31" s="110">
        <f>ROUND(I30*G31/12,2)</f>
        <v>635.04</v>
      </c>
      <c r="I31" s="110">
        <f>I30-F31</f>
        <v>195687.28999999998</v>
      </c>
    </row>
    <row r="32" spans="4:12">
      <c r="D32" s="70">
        <f>DATE(YEAR(D31),MONTH(D31)+1,DAY(D31))</f>
        <v>42653</v>
      </c>
      <c r="E32" s="110">
        <f>-ROUND($C$6,2)</f>
        <v>1603.83</v>
      </c>
      <c r="F32" s="110">
        <f>E32-H32</f>
        <v>971.92</v>
      </c>
      <c r="G32" s="164">
        <f>VLOOKUP(D32,$K$11:$L$23,2,TRUE)</f>
        <v>3.875E-2</v>
      </c>
      <c r="H32" s="110">
        <f>ROUND(I31*G32/12,2)</f>
        <v>631.91</v>
      </c>
      <c r="I32" s="110">
        <f>I31-F32</f>
        <v>194715.36999999997</v>
      </c>
    </row>
    <row r="33" spans="4:9">
      <c r="D33" s="70">
        <f>DATE(YEAR(D32),MONTH(D32)+1,DAY(D32))</f>
        <v>42684</v>
      </c>
      <c r="E33" s="110">
        <f>-ROUND($C$6,2)</f>
        <v>1603.83</v>
      </c>
      <c r="F33" s="110">
        <f>E33-H33</f>
        <v>975.06</v>
      </c>
      <c r="G33" s="164">
        <f>VLOOKUP(D33,$K$11:$L$23,2,TRUE)</f>
        <v>3.875E-2</v>
      </c>
      <c r="H33" s="110">
        <f>ROUND(I32*G33/12,2)</f>
        <v>628.77</v>
      </c>
      <c r="I33" s="110">
        <f>I32-F33</f>
        <v>193740.30999999997</v>
      </c>
    </row>
    <row r="34" spans="4:9">
      <c r="D34" s="70">
        <f>DATE(YEAR(D33),MONTH(D33)+1,DAY(D33))</f>
        <v>42714</v>
      </c>
      <c r="E34" s="110">
        <f>-ROUND($C$6,2)</f>
        <v>1603.83</v>
      </c>
      <c r="F34" s="110">
        <f>E34-H34</f>
        <v>978.20999999999992</v>
      </c>
      <c r="G34" s="164">
        <f>VLOOKUP(D34,$K$11:$L$23,2,TRUE)</f>
        <v>3.875E-2</v>
      </c>
      <c r="H34" s="110">
        <f>ROUND(I33*G34/12,2)</f>
        <v>625.62</v>
      </c>
      <c r="I34" s="110">
        <f>I33-F34</f>
        <v>192762.09999999998</v>
      </c>
    </row>
    <row r="35" spans="4:9">
      <c r="D35" s="70">
        <f>DATE(YEAR(D34),MONTH(D34)+1,DAY(D34))</f>
        <v>42745</v>
      </c>
      <c r="E35" s="110">
        <f>-ROUND($C$6,2)</f>
        <v>1603.83</v>
      </c>
      <c r="F35" s="110">
        <f>E35-H35</f>
        <v>981.36999999999989</v>
      </c>
      <c r="G35" s="164">
        <f>VLOOKUP(D35,$K$11:$L$23,2,TRUE)</f>
        <v>3.875E-2</v>
      </c>
      <c r="H35" s="110">
        <f>ROUND(I34*G35/12,2)</f>
        <v>622.46</v>
      </c>
      <c r="I35" s="110">
        <f>I34-F35</f>
        <v>191780.72999999998</v>
      </c>
    </row>
    <row r="36" spans="4:9">
      <c r="D36" s="70">
        <f>DATE(YEAR(D35),MONTH(D35)+1,DAY(D35))</f>
        <v>42776</v>
      </c>
      <c r="E36" s="110">
        <f>-ROUND($C$6,2)</f>
        <v>1603.83</v>
      </c>
      <c r="F36" s="110">
        <f>E36-H36</f>
        <v>984.54</v>
      </c>
      <c r="G36" s="164">
        <f>VLOOKUP(D36,$K$11:$L$23,2,TRUE)</f>
        <v>3.875E-2</v>
      </c>
      <c r="H36" s="110">
        <f>ROUND(I35*G36/12,2)</f>
        <v>619.29</v>
      </c>
      <c r="I36" s="110">
        <f>I35-F36</f>
        <v>190796.18999999997</v>
      </c>
    </row>
    <row r="37" spans="4:9">
      <c r="D37" s="70">
        <f>DATE(YEAR(D36),MONTH(D36)+1,DAY(D36))</f>
        <v>42804</v>
      </c>
      <c r="E37" s="110">
        <f>-ROUND($C$6,2)</f>
        <v>1603.83</v>
      </c>
      <c r="F37" s="110">
        <f>E37-H37</f>
        <v>987.71999999999991</v>
      </c>
      <c r="G37" s="164">
        <f>VLOOKUP(D37,$K$11:$L$23,2,TRUE)</f>
        <v>3.875E-2</v>
      </c>
      <c r="H37" s="110">
        <f>ROUND(I36*G37/12,2)</f>
        <v>616.11</v>
      </c>
      <c r="I37" s="110">
        <f>I36-F37</f>
        <v>189808.46999999997</v>
      </c>
    </row>
    <row r="38" spans="4:9">
      <c r="D38" s="70">
        <f>DATE(YEAR(D37),MONTH(D37)+1,DAY(D37))</f>
        <v>42835</v>
      </c>
      <c r="E38" s="110">
        <f>-ROUND($C$6,2)</f>
        <v>1603.83</v>
      </c>
      <c r="F38" s="110">
        <f>E38-H38</f>
        <v>990.91</v>
      </c>
      <c r="G38" s="164">
        <f>VLOOKUP(D38,$K$11:$L$23,2,TRUE)</f>
        <v>3.875E-2</v>
      </c>
      <c r="H38" s="110">
        <f>ROUND(I37*G38/12,2)</f>
        <v>612.91999999999996</v>
      </c>
      <c r="I38" s="110">
        <f>I37-F38</f>
        <v>188817.55999999997</v>
      </c>
    </row>
    <row r="39" spans="4:9">
      <c r="D39" s="70">
        <f>DATE(YEAR(D38),MONTH(D38)+1,DAY(D38))</f>
        <v>42865</v>
      </c>
      <c r="E39" s="110">
        <f>-ROUND($C$6,2)</f>
        <v>1603.83</v>
      </c>
      <c r="F39" s="110">
        <f>E39-H39</f>
        <v>994.1099999999999</v>
      </c>
      <c r="G39" s="164">
        <f>VLOOKUP(D39,$K$11:$L$23,2,TRUE)</f>
        <v>3.875E-2</v>
      </c>
      <c r="H39" s="110">
        <f>ROUND(I38*G39/12,2)</f>
        <v>609.72</v>
      </c>
      <c r="I39" s="110">
        <f>I38-F39</f>
        <v>187823.44999999998</v>
      </c>
    </row>
    <row r="40" spans="4:9">
      <c r="D40" s="70">
        <f>DATE(YEAR(D39),MONTH(D39)+1,DAY(D39))</f>
        <v>42896</v>
      </c>
      <c r="E40" s="110">
        <f>-ROUND($C$6,2)</f>
        <v>1603.83</v>
      </c>
      <c r="F40" s="110">
        <f>E40-H40</f>
        <v>997.31999999999994</v>
      </c>
      <c r="G40" s="164">
        <f>VLOOKUP(D40,$K$11:$L$23,2,TRUE)</f>
        <v>3.875E-2</v>
      </c>
      <c r="H40" s="110">
        <f>ROUND(I39*G40/12,2)</f>
        <v>606.51</v>
      </c>
      <c r="I40" s="110">
        <f>I39-F40</f>
        <v>186826.12999999998</v>
      </c>
    </row>
    <row r="41" spans="4:9">
      <c r="D41" s="70">
        <f>DATE(YEAR(D40),MONTH(D40)+1,DAY(D40))</f>
        <v>42926</v>
      </c>
      <c r="E41" s="110">
        <f>-ROUND($C$6,2)</f>
        <v>1603.83</v>
      </c>
      <c r="F41" s="110">
        <f>E41-H41</f>
        <v>1000.54</v>
      </c>
      <c r="G41" s="164">
        <f>VLOOKUP(D41,$K$11:$L$23,2,TRUE)</f>
        <v>3.875E-2</v>
      </c>
      <c r="H41" s="110">
        <f>ROUND(I40*G41/12,2)</f>
        <v>603.29</v>
      </c>
      <c r="I41" s="110">
        <f>I40-F41</f>
        <v>185825.58999999997</v>
      </c>
    </row>
    <row r="42" spans="4:9">
      <c r="D42" s="70">
        <f>DATE(YEAR(D41),MONTH(D41)+1,DAY(D41))</f>
        <v>42957</v>
      </c>
      <c r="E42" s="110">
        <f>-ROUND($C$6,2)</f>
        <v>1603.83</v>
      </c>
      <c r="F42" s="110">
        <f>E42-H42</f>
        <v>1003.77</v>
      </c>
      <c r="G42" s="164">
        <f>VLOOKUP(D42,$K$11:$L$23,2,TRUE)</f>
        <v>3.875E-2</v>
      </c>
      <c r="H42" s="110">
        <f>ROUND(I41*G42/12,2)</f>
        <v>600.05999999999995</v>
      </c>
      <c r="I42" s="110">
        <f>I41-F42</f>
        <v>184821.81999999998</v>
      </c>
    </row>
    <row r="43" spans="4:9">
      <c r="D43" s="70">
        <f>DATE(YEAR(D42),MONTH(D42)+1,DAY(D42))</f>
        <v>42988</v>
      </c>
      <c r="E43" s="110">
        <f>-ROUND($C$6,2)</f>
        <v>1603.83</v>
      </c>
      <c r="F43" s="110">
        <f>E43-H43</f>
        <v>1007.0099999999999</v>
      </c>
      <c r="G43" s="164">
        <f>VLOOKUP(D43,$K$11:$L$23,2,TRUE)</f>
        <v>3.875E-2</v>
      </c>
      <c r="H43" s="110">
        <f>ROUND(I42*G43/12,2)</f>
        <v>596.82000000000005</v>
      </c>
      <c r="I43" s="110">
        <f>I42-F43</f>
        <v>183814.80999999997</v>
      </c>
    </row>
    <row r="44" spans="4:9">
      <c r="D44" s="70">
        <f>DATE(YEAR(D43),MONTH(D43)+1,DAY(D43))</f>
        <v>43018</v>
      </c>
      <c r="E44" s="110">
        <f>-ROUND($C$6,2)</f>
        <v>1603.83</v>
      </c>
      <c r="F44" s="110">
        <f>E44-H44</f>
        <v>1010.2599999999999</v>
      </c>
      <c r="G44" s="164">
        <f>VLOOKUP(D44,$K$11:$L$23,2,TRUE)</f>
        <v>3.875E-2</v>
      </c>
      <c r="H44" s="110">
        <f>ROUND(I43*G44/12,2)</f>
        <v>593.57000000000005</v>
      </c>
      <c r="I44" s="110">
        <f>I43-F44</f>
        <v>182804.54999999996</v>
      </c>
    </row>
    <row r="45" spans="4:9">
      <c r="D45" s="70">
        <f>DATE(YEAR(D44),MONTH(D44)+1,DAY(D44))</f>
        <v>43049</v>
      </c>
      <c r="E45" s="110">
        <f>-ROUND($C$6,2)</f>
        <v>1603.83</v>
      </c>
      <c r="F45" s="110">
        <f>E45-H45</f>
        <v>1013.52</v>
      </c>
      <c r="G45" s="164">
        <f>VLOOKUP(D45,$K$11:$L$23,2,TRUE)</f>
        <v>3.875E-2</v>
      </c>
      <c r="H45" s="110">
        <f>ROUND(I44*G45/12,2)</f>
        <v>590.30999999999995</v>
      </c>
      <c r="I45" s="110">
        <f>I44-F45</f>
        <v>181791.02999999997</v>
      </c>
    </row>
    <row r="46" spans="4:9">
      <c r="D46" s="70">
        <f>DATE(YEAR(D45),MONTH(D45)+1,DAY(D45))</f>
        <v>43079</v>
      </c>
      <c r="E46" s="110">
        <f>-ROUND($C$6,2)</f>
        <v>1603.83</v>
      </c>
      <c r="F46" s="110">
        <f>E46-H46</f>
        <v>1016.8</v>
      </c>
      <c r="G46" s="164">
        <f>VLOOKUP(D46,$K$11:$L$23,2,TRUE)</f>
        <v>3.875E-2</v>
      </c>
      <c r="H46" s="110">
        <f>ROUND(I45*G46/12,2)</f>
        <v>587.03</v>
      </c>
      <c r="I46" s="110">
        <f>I45-F46</f>
        <v>180774.22999999998</v>
      </c>
    </row>
    <row r="47" spans="4:9">
      <c r="D47" s="70">
        <f>DATE(YEAR(D46),MONTH(D46)+1,DAY(D46))</f>
        <v>43110</v>
      </c>
      <c r="E47" s="110">
        <f>-ROUND($C$6,2)</f>
        <v>1603.83</v>
      </c>
      <c r="F47" s="110">
        <f>E47-H47</f>
        <v>1020.0799999999999</v>
      </c>
      <c r="G47" s="164">
        <f>VLOOKUP(D47,$K$11:$L$23,2,TRUE)</f>
        <v>3.875E-2</v>
      </c>
      <c r="H47" s="110">
        <f>ROUND(I46*G47/12,2)</f>
        <v>583.75</v>
      </c>
      <c r="I47" s="110">
        <f>I46-F47</f>
        <v>179754.15</v>
      </c>
    </row>
    <row r="48" spans="4:9">
      <c r="D48" s="70">
        <f>DATE(YEAR(D47),MONTH(D47)+1,DAY(D47))</f>
        <v>43141</v>
      </c>
      <c r="E48" s="110">
        <f>-ROUND($C$6,2)</f>
        <v>1603.83</v>
      </c>
      <c r="F48" s="110">
        <f>E48-H48</f>
        <v>1023.3699999999999</v>
      </c>
      <c r="G48" s="164">
        <f>VLOOKUP(D48,$K$11:$L$23,2,TRUE)</f>
        <v>3.875E-2</v>
      </c>
      <c r="H48" s="110">
        <f>ROUND(I47*G48/12,2)</f>
        <v>580.46</v>
      </c>
      <c r="I48" s="110">
        <f>I47-F48</f>
        <v>178730.78</v>
      </c>
    </row>
    <row r="49" spans="4:9">
      <c r="D49" s="70">
        <f>DATE(YEAR(D48),MONTH(D48)+1,DAY(D48))</f>
        <v>43169</v>
      </c>
      <c r="E49" s="110">
        <f>-ROUND($C$6,2)</f>
        <v>1603.83</v>
      </c>
      <c r="F49" s="110">
        <f>E49-H49</f>
        <v>1026.6799999999998</v>
      </c>
      <c r="G49" s="164">
        <f>VLOOKUP(D49,$K$11:$L$23,2,TRUE)</f>
        <v>3.875E-2</v>
      </c>
      <c r="H49" s="110">
        <f>ROUND(I48*G49/12,2)</f>
        <v>577.15</v>
      </c>
      <c r="I49" s="110">
        <f>I48-F49</f>
        <v>177704.1</v>
      </c>
    </row>
    <row r="50" spans="4:9">
      <c r="D50" s="70">
        <f>DATE(YEAR(D49),MONTH(D49)+1,DAY(D49))</f>
        <v>43200</v>
      </c>
      <c r="E50" s="110">
        <f>-ROUND($C$6,2)</f>
        <v>1603.83</v>
      </c>
      <c r="F50" s="110">
        <f>E50-H50</f>
        <v>1029.9899999999998</v>
      </c>
      <c r="G50" s="164">
        <f>VLOOKUP(D50,$K$11:$L$23,2,TRUE)</f>
        <v>3.875E-2</v>
      </c>
      <c r="H50" s="110">
        <f>ROUND(I49*G50/12,2)</f>
        <v>573.84</v>
      </c>
      <c r="I50" s="110">
        <f>I49-F50</f>
        <v>176674.11000000002</v>
      </c>
    </row>
    <row r="51" spans="4:9">
      <c r="D51" s="70">
        <f>DATE(YEAR(D50),MONTH(D50)+1,DAY(D50))</f>
        <v>43230</v>
      </c>
      <c r="E51" s="110">
        <f>-ROUND($C$6,2)</f>
        <v>1603.83</v>
      </c>
      <c r="F51" s="110">
        <f>E51-H51</f>
        <v>1033.32</v>
      </c>
      <c r="G51" s="164">
        <f>VLOOKUP(D51,$K$11:$L$23,2,TRUE)</f>
        <v>3.875E-2</v>
      </c>
      <c r="H51" s="110">
        <f>ROUND(I50*G51/12,2)</f>
        <v>570.51</v>
      </c>
      <c r="I51" s="110">
        <f>I50-F51</f>
        <v>175640.79</v>
      </c>
    </row>
    <row r="52" spans="4:9">
      <c r="D52" s="70">
        <f>DATE(YEAR(D51),MONTH(D51)+1,DAY(D51))</f>
        <v>43261</v>
      </c>
      <c r="E52" s="110">
        <f>-ROUND($C$6,2)</f>
        <v>1603.83</v>
      </c>
      <c r="F52" s="110">
        <f>E52-H52</f>
        <v>1036.6599999999999</v>
      </c>
      <c r="G52" s="164">
        <f>VLOOKUP(D52,$K$11:$L$23,2,TRUE)</f>
        <v>3.875E-2</v>
      </c>
      <c r="H52" s="110">
        <f>ROUND(I51*G52/12,2)</f>
        <v>567.16999999999996</v>
      </c>
      <c r="I52" s="110">
        <f>I51-F52</f>
        <v>174604.13</v>
      </c>
    </row>
    <row r="53" spans="4:9">
      <c r="D53" s="70">
        <f>DATE(YEAR(D52),MONTH(D52)+1,DAY(D52))</f>
        <v>43291</v>
      </c>
      <c r="E53" s="110">
        <f>-ROUND($C$6,2)</f>
        <v>1603.83</v>
      </c>
      <c r="F53" s="110">
        <f>E53-H53</f>
        <v>1040</v>
      </c>
      <c r="G53" s="164">
        <f>VLOOKUP(D53,$K$11:$L$23,2,TRUE)</f>
        <v>3.875E-2</v>
      </c>
      <c r="H53" s="110">
        <f>ROUND(I52*G53/12,2)</f>
        <v>563.83000000000004</v>
      </c>
      <c r="I53" s="110">
        <f>I52-F53</f>
        <v>173564.13</v>
      </c>
    </row>
    <row r="54" spans="4:9">
      <c r="D54" s="70">
        <f>DATE(YEAR(D53),MONTH(D53)+1,DAY(D53))</f>
        <v>43322</v>
      </c>
      <c r="E54" s="110">
        <f>-ROUND($C$6,2)</f>
        <v>1603.83</v>
      </c>
      <c r="F54" s="110">
        <f>E54-H54</f>
        <v>1043.3599999999999</v>
      </c>
      <c r="G54" s="164">
        <f>VLOOKUP(D54,$K$11:$L$23,2,TRUE)</f>
        <v>3.875E-2</v>
      </c>
      <c r="H54" s="110">
        <f>ROUND(I53*G54/12,2)</f>
        <v>560.47</v>
      </c>
      <c r="I54" s="110">
        <f>I53-F54</f>
        <v>172520.77000000002</v>
      </c>
    </row>
    <row r="55" spans="4:9">
      <c r="D55" s="70">
        <f>DATE(YEAR(D54),MONTH(D54)+1,DAY(D54))</f>
        <v>43353</v>
      </c>
      <c r="E55" s="110">
        <f>-ROUND($C$6,2)</f>
        <v>1603.83</v>
      </c>
      <c r="F55" s="110">
        <f>E55-H55</f>
        <v>1046.73</v>
      </c>
      <c r="G55" s="164">
        <f>VLOOKUP(D55,$K$11:$L$23,2,TRUE)</f>
        <v>3.875E-2</v>
      </c>
      <c r="H55" s="110">
        <f>ROUND(I54*G55/12,2)</f>
        <v>557.1</v>
      </c>
      <c r="I55" s="110">
        <f>I54-F55</f>
        <v>171474.04</v>
      </c>
    </row>
    <row r="56" spans="4:9">
      <c r="D56" s="70">
        <f>DATE(YEAR(D55),MONTH(D55)+1,DAY(D55))</f>
        <v>43383</v>
      </c>
      <c r="E56" s="110">
        <f>-ROUND($C$6,2)</f>
        <v>1603.83</v>
      </c>
      <c r="F56" s="110">
        <f>E56-H56</f>
        <v>1050.1099999999999</v>
      </c>
      <c r="G56" s="164">
        <f>VLOOKUP(D56,$K$11:$L$23,2,TRUE)</f>
        <v>3.875E-2</v>
      </c>
      <c r="H56" s="110">
        <f>ROUND(I55*G56/12,2)</f>
        <v>553.72</v>
      </c>
      <c r="I56" s="110">
        <f>I55-F56</f>
        <v>170423.93000000002</v>
      </c>
    </row>
    <row r="57" spans="4:9">
      <c r="D57" s="70">
        <f>DATE(YEAR(D56),MONTH(D56)+1,DAY(D56))</f>
        <v>43414</v>
      </c>
      <c r="E57" s="110">
        <f>-ROUND($C$6,2)</f>
        <v>1603.83</v>
      </c>
      <c r="F57" s="110">
        <f>E57-H57</f>
        <v>1053.5</v>
      </c>
      <c r="G57" s="164">
        <f>VLOOKUP(D57,$K$11:$L$23,2,TRUE)</f>
        <v>3.875E-2</v>
      </c>
      <c r="H57" s="110">
        <f>ROUND(I56*G57/12,2)</f>
        <v>550.33000000000004</v>
      </c>
      <c r="I57" s="110">
        <f>I56-F57</f>
        <v>169370.43000000002</v>
      </c>
    </row>
    <row r="58" spans="4:9">
      <c r="D58" s="70">
        <f>DATE(YEAR(D57),MONTH(D57)+1,DAY(D57))</f>
        <v>43444</v>
      </c>
      <c r="E58" s="110">
        <f>-ROUND($C$6,2)</f>
        <v>1603.83</v>
      </c>
      <c r="F58" s="110">
        <f>E58-H58</f>
        <v>1056.9000000000001</v>
      </c>
      <c r="G58" s="164">
        <f>VLOOKUP(D58,$K$11:$L$23,2,TRUE)</f>
        <v>3.875E-2</v>
      </c>
      <c r="H58" s="110">
        <f>ROUND(I57*G58/12,2)</f>
        <v>546.92999999999995</v>
      </c>
      <c r="I58" s="110">
        <f>I57-F58</f>
        <v>168313.53000000003</v>
      </c>
    </row>
    <row r="59" spans="4:9">
      <c r="D59" s="70">
        <f>DATE(YEAR(D58),MONTH(D58)+1,DAY(D58))</f>
        <v>43475</v>
      </c>
      <c r="E59" s="110">
        <f>-ROUND($C$6,2)</f>
        <v>1603.83</v>
      </c>
      <c r="F59" s="110">
        <f>E59-H59</f>
        <v>1060.32</v>
      </c>
      <c r="G59" s="164">
        <f>VLOOKUP(D59,$K$11:$L$23,2,TRUE)</f>
        <v>3.875E-2</v>
      </c>
      <c r="H59" s="110">
        <f>ROUND(I58*G59/12,2)</f>
        <v>543.51</v>
      </c>
      <c r="I59" s="110">
        <f>I58-F59</f>
        <v>167253.21000000002</v>
      </c>
    </row>
    <row r="60" spans="4:9">
      <c r="D60" s="70">
        <f>DATE(YEAR(D59),MONTH(D59)+1,DAY(D59))</f>
        <v>43506</v>
      </c>
      <c r="E60" s="110">
        <f>-ROUND($C$6,2)</f>
        <v>1603.83</v>
      </c>
      <c r="F60" s="110">
        <f>E60-H60</f>
        <v>1063.7399999999998</v>
      </c>
      <c r="G60" s="164">
        <f>VLOOKUP(D60,$K$11:$L$23,2,TRUE)</f>
        <v>3.875E-2</v>
      </c>
      <c r="H60" s="110">
        <f>ROUND(I59*G60/12,2)</f>
        <v>540.09</v>
      </c>
      <c r="I60" s="110">
        <f>I59-F60</f>
        <v>166189.47000000003</v>
      </c>
    </row>
    <row r="61" spans="4:9">
      <c r="D61" s="70">
        <f>DATE(YEAR(D60),MONTH(D60)+1,DAY(D60))</f>
        <v>43534</v>
      </c>
      <c r="E61" s="110">
        <f>-ROUND($C$6,2)</f>
        <v>1603.83</v>
      </c>
      <c r="F61" s="110">
        <f>E61-H61</f>
        <v>1067.1799999999998</v>
      </c>
      <c r="G61" s="164">
        <f>VLOOKUP(D61,$K$11:$L$23,2,TRUE)</f>
        <v>3.875E-2</v>
      </c>
      <c r="H61" s="110">
        <f>ROUND(I60*G61/12,2)</f>
        <v>536.65</v>
      </c>
      <c r="I61" s="110">
        <f>I60-F61</f>
        <v>165122.29000000004</v>
      </c>
    </row>
    <row r="62" spans="4:9">
      <c r="D62" s="70">
        <f>DATE(YEAR(D61),MONTH(D61)+1,DAY(D61))</f>
        <v>43565</v>
      </c>
      <c r="E62" s="110">
        <f>-ROUND($C$6,2)</f>
        <v>1603.83</v>
      </c>
      <c r="F62" s="110">
        <f>E62-H62</f>
        <v>1070.6199999999999</v>
      </c>
      <c r="G62" s="164">
        <f>VLOOKUP(D62,$K$11:$L$23,2,TRUE)</f>
        <v>3.875E-2</v>
      </c>
      <c r="H62" s="110">
        <f>ROUND(I61*G62/12,2)</f>
        <v>533.21</v>
      </c>
      <c r="I62" s="110">
        <f>I61-F62</f>
        <v>164051.67000000004</v>
      </c>
    </row>
    <row r="63" spans="4:9">
      <c r="D63" s="70">
        <f>DATE(YEAR(D62),MONTH(D62)+1,DAY(D62))</f>
        <v>43595</v>
      </c>
      <c r="E63" s="110">
        <f>-ROUND($C$6,2)</f>
        <v>1603.83</v>
      </c>
      <c r="F63" s="110">
        <f>E63-H63</f>
        <v>1074.08</v>
      </c>
      <c r="G63" s="164">
        <f>VLOOKUP(D63,$K$11:$L$23,2,TRUE)</f>
        <v>3.875E-2</v>
      </c>
      <c r="H63" s="110">
        <f>ROUND(I62*G63/12,2)</f>
        <v>529.75</v>
      </c>
      <c r="I63" s="110">
        <f>I62-F63</f>
        <v>162977.59000000005</v>
      </c>
    </row>
    <row r="64" spans="4:9">
      <c r="D64" s="70">
        <f>DATE(YEAR(D63),MONTH(D63)+1,DAY(D63))</f>
        <v>43626</v>
      </c>
      <c r="E64" s="110">
        <f>-ROUND($C$6,2)</f>
        <v>1603.83</v>
      </c>
      <c r="F64" s="110">
        <f>E64-H64</f>
        <v>1077.55</v>
      </c>
      <c r="G64" s="164">
        <f>VLOOKUP(D64,$K$11:$L$23,2,TRUE)</f>
        <v>3.875E-2</v>
      </c>
      <c r="H64" s="110">
        <f>ROUND(I63*G64/12,2)</f>
        <v>526.28</v>
      </c>
      <c r="I64" s="110">
        <f>I63-F64</f>
        <v>161900.04000000007</v>
      </c>
    </row>
    <row r="65" spans="4:9">
      <c r="D65" s="70">
        <f>DATE(YEAR(D64),MONTH(D64)+1,DAY(D64))</f>
        <v>43656</v>
      </c>
      <c r="E65" s="110">
        <f>-ROUND($C$6,2)</f>
        <v>1603.83</v>
      </c>
      <c r="F65" s="110">
        <f>E65-H65</f>
        <v>1081.03</v>
      </c>
      <c r="G65" s="164">
        <f>VLOOKUP(D65,$K$11:$L$23,2,TRUE)</f>
        <v>3.875E-2</v>
      </c>
      <c r="H65" s="110">
        <f>ROUND(I64*G65/12,2)</f>
        <v>522.79999999999995</v>
      </c>
      <c r="I65" s="110">
        <f>I64-F65</f>
        <v>160819.01000000007</v>
      </c>
    </row>
    <row r="66" spans="4:9">
      <c r="D66" s="70">
        <f>DATE(YEAR(D65),MONTH(D65)+1,DAY(D65))</f>
        <v>43687</v>
      </c>
      <c r="E66" s="110">
        <f>-ROUND($C$6,2)</f>
        <v>1603.83</v>
      </c>
      <c r="F66" s="110">
        <f>E66-H66</f>
        <v>1084.52</v>
      </c>
      <c r="G66" s="164">
        <f>VLOOKUP(D66,$K$11:$L$23,2,TRUE)</f>
        <v>3.875E-2</v>
      </c>
      <c r="H66" s="110">
        <f>ROUND(I65*G66/12,2)</f>
        <v>519.30999999999995</v>
      </c>
      <c r="I66" s="110">
        <f>I65-F66</f>
        <v>159734.49000000008</v>
      </c>
    </row>
    <row r="67" spans="4:9">
      <c r="D67" s="70">
        <f>DATE(YEAR(D66),MONTH(D66)+1,DAY(D66))</f>
        <v>43718</v>
      </c>
      <c r="E67" s="110">
        <f>-ROUND($C$6,2)</f>
        <v>1603.83</v>
      </c>
      <c r="F67" s="110">
        <f>E67-H67</f>
        <v>1088.02</v>
      </c>
      <c r="G67" s="164">
        <f>VLOOKUP(D67,$K$11:$L$23,2,TRUE)</f>
        <v>3.875E-2</v>
      </c>
      <c r="H67" s="110">
        <f>ROUND(I66*G67/12,2)</f>
        <v>515.80999999999995</v>
      </c>
      <c r="I67" s="110">
        <f>I66-F67</f>
        <v>158646.47000000009</v>
      </c>
    </row>
    <row r="68" spans="4:9">
      <c r="D68" s="70">
        <f>DATE(YEAR(D67),MONTH(D67)+1,DAY(D67))</f>
        <v>43748</v>
      </c>
      <c r="E68" s="110">
        <f>-ROUND($C$6,2)</f>
        <v>1603.83</v>
      </c>
      <c r="F68" s="110">
        <f>E68-H68</f>
        <v>1091.53</v>
      </c>
      <c r="G68" s="164">
        <f>VLOOKUP(D68,$K$11:$L$23,2,TRUE)</f>
        <v>3.875E-2</v>
      </c>
      <c r="H68" s="110">
        <f>ROUND(I67*G68/12,2)</f>
        <v>512.29999999999995</v>
      </c>
      <c r="I68" s="110">
        <f>I67-F68</f>
        <v>157554.94000000009</v>
      </c>
    </row>
    <row r="69" spans="4:9">
      <c r="D69" s="70">
        <f>DATE(YEAR(D68),MONTH(D68)+1,DAY(D68))</f>
        <v>43779</v>
      </c>
      <c r="E69" s="110">
        <f>-ROUND($C$6,2)</f>
        <v>1603.83</v>
      </c>
      <c r="F69" s="110">
        <f>E69-H69</f>
        <v>1095.06</v>
      </c>
      <c r="G69" s="164">
        <f>VLOOKUP(D69,$K$11:$L$23,2,TRUE)</f>
        <v>3.875E-2</v>
      </c>
      <c r="H69" s="110">
        <f>ROUND(I68*G69/12,2)</f>
        <v>508.77</v>
      </c>
      <c r="I69" s="110">
        <f>I68-F69</f>
        <v>156459.88000000009</v>
      </c>
    </row>
    <row r="70" spans="4:9">
      <c r="D70" s="70">
        <f>DATE(YEAR(D69),MONTH(D69)+1,DAY(D69))</f>
        <v>43809</v>
      </c>
      <c r="E70" s="110">
        <f>-ROUND($C$6,2)</f>
        <v>1603.83</v>
      </c>
      <c r="F70" s="110">
        <f>E70-H70</f>
        <v>1098.5899999999999</v>
      </c>
      <c r="G70" s="164">
        <f>VLOOKUP(D70,$K$11:$L$23,2,TRUE)</f>
        <v>3.875E-2</v>
      </c>
      <c r="H70" s="110">
        <f>ROUND(I69*G70/12,2)</f>
        <v>505.24</v>
      </c>
      <c r="I70" s="110">
        <f>I69-F70</f>
        <v>155361.2900000001</v>
      </c>
    </row>
    <row r="71" spans="4:9">
      <c r="D71" s="70">
        <f>DATE(YEAR(D70),MONTH(D70)+1,DAY(D70))</f>
        <v>43840</v>
      </c>
      <c r="E71" s="110">
        <f>-ROUND($C$6,2)</f>
        <v>1603.83</v>
      </c>
      <c r="F71" s="110">
        <f>E71-H71</f>
        <v>1102.1399999999999</v>
      </c>
      <c r="G71" s="164">
        <f>VLOOKUP(D71,$K$11:$L$23,2,TRUE)</f>
        <v>3.875E-2</v>
      </c>
      <c r="H71" s="110">
        <f>ROUND(I70*G71/12,2)</f>
        <v>501.69</v>
      </c>
      <c r="I71" s="110">
        <f>I70-F71</f>
        <v>154259.15000000008</v>
      </c>
    </row>
    <row r="72" spans="4:9">
      <c r="D72" s="70">
        <f>DATE(YEAR(D71),MONTH(D71)+1,DAY(D71))</f>
        <v>43871</v>
      </c>
      <c r="E72" s="110">
        <f>-ROUND($C$6,2)</f>
        <v>1603.83</v>
      </c>
      <c r="F72" s="110">
        <f>E72-H72</f>
        <v>1105.6999999999998</v>
      </c>
      <c r="G72" s="164">
        <f>VLOOKUP(D72,$K$11:$L$23,2,TRUE)</f>
        <v>3.875E-2</v>
      </c>
      <c r="H72" s="110">
        <f>ROUND(I71*G72/12,2)</f>
        <v>498.13</v>
      </c>
      <c r="I72" s="110">
        <f>I71-F72</f>
        <v>153153.45000000007</v>
      </c>
    </row>
    <row r="73" spans="4:9">
      <c r="D73" s="70">
        <f>DATE(YEAR(D72),MONTH(D72)+1,DAY(D72))</f>
        <v>43900</v>
      </c>
      <c r="E73" s="110">
        <f>-ROUND($C$6,2)</f>
        <v>1603.83</v>
      </c>
      <c r="F73" s="110">
        <f>E73-H73</f>
        <v>1109.27</v>
      </c>
      <c r="G73" s="164">
        <f>VLOOKUP(D73,$K$11:$L$23,2,TRUE)</f>
        <v>3.875E-2</v>
      </c>
      <c r="H73" s="110">
        <f>ROUND(I72*G73/12,2)</f>
        <v>494.56</v>
      </c>
      <c r="I73" s="110">
        <f>I72-F73</f>
        <v>152044.18000000008</v>
      </c>
    </row>
    <row r="74" spans="4:9">
      <c r="D74" s="70">
        <f>DATE(YEAR(D73),MONTH(D73)+1,DAY(D73))</f>
        <v>43931</v>
      </c>
      <c r="E74" s="110">
        <f>-ROUND($C$6,2)</f>
        <v>1603.83</v>
      </c>
      <c r="F74" s="110">
        <f>E74-H74</f>
        <v>1112.8499999999999</v>
      </c>
      <c r="G74" s="164">
        <f>VLOOKUP(D74,$K$11:$L$23,2,TRUE)</f>
        <v>3.875E-2</v>
      </c>
      <c r="H74" s="110">
        <f>ROUND(I73*G74/12,2)</f>
        <v>490.98</v>
      </c>
      <c r="I74" s="110">
        <f>I73-F74</f>
        <v>150931.33000000007</v>
      </c>
    </row>
    <row r="75" spans="4:9">
      <c r="D75" s="70">
        <f>DATE(YEAR(D74),MONTH(D74)+1,DAY(D74))</f>
        <v>43961</v>
      </c>
      <c r="E75" s="110">
        <f>-ROUND($C$6,2)</f>
        <v>1603.83</v>
      </c>
      <c r="F75" s="110">
        <f>E75-H75</f>
        <v>1116.4499999999998</v>
      </c>
      <c r="G75" s="164">
        <f>VLOOKUP(D75,$K$11:$L$23,2,TRUE)</f>
        <v>3.875E-2</v>
      </c>
      <c r="H75" s="110">
        <f>ROUND(I74*G75/12,2)</f>
        <v>487.38</v>
      </c>
      <c r="I75" s="110">
        <f>I74-F75</f>
        <v>149814.88000000006</v>
      </c>
    </row>
    <row r="76" spans="4:9">
      <c r="D76" s="70">
        <f>DATE(YEAR(D75),MONTH(D75)+1,DAY(D75))</f>
        <v>43992</v>
      </c>
      <c r="E76" s="110">
        <f>-ROUND($C$6,2)</f>
        <v>1603.83</v>
      </c>
      <c r="F76" s="110">
        <f>E76-H76</f>
        <v>1120.05</v>
      </c>
      <c r="G76" s="164">
        <f>VLOOKUP(D76,$K$11:$L$23,2,TRUE)</f>
        <v>3.875E-2</v>
      </c>
      <c r="H76" s="110">
        <f>ROUND(I75*G76/12,2)</f>
        <v>483.78</v>
      </c>
      <c r="I76" s="110">
        <f>I75-F76</f>
        <v>148694.83000000007</v>
      </c>
    </row>
    <row r="77" spans="4:9">
      <c r="D77" s="70">
        <f>DATE(YEAR(D76),MONTH(D76)+1,DAY(D76))</f>
        <v>44022</v>
      </c>
      <c r="E77" s="110">
        <f>-ROUND($C$6,2)</f>
        <v>1603.83</v>
      </c>
      <c r="F77" s="110">
        <f>E77-H77</f>
        <v>1123.6699999999998</v>
      </c>
      <c r="G77" s="164">
        <f>VLOOKUP(D77,$K$11:$L$23,2,TRUE)</f>
        <v>3.875E-2</v>
      </c>
      <c r="H77" s="110">
        <f>ROUND(I76*G77/12,2)</f>
        <v>480.16</v>
      </c>
      <c r="I77" s="110">
        <f>I76-F77</f>
        <v>147571.16000000006</v>
      </c>
    </row>
    <row r="78" spans="4:9">
      <c r="D78" s="70">
        <f>DATE(YEAR(D77),MONTH(D77)+1,DAY(D77))</f>
        <v>44053</v>
      </c>
      <c r="E78" s="110">
        <f>-ROUND($C$6,2)</f>
        <v>1603.83</v>
      </c>
      <c r="F78" s="110">
        <f>E78-H78</f>
        <v>1127.3</v>
      </c>
      <c r="G78" s="164">
        <f>VLOOKUP(D78,$K$11:$L$23,2,TRUE)</f>
        <v>3.875E-2</v>
      </c>
      <c r="H78" s="110">
        <f>ROUND(I77*G78/12,2)</f>
        <v>476.53</v>
      </c>
      <c r="I78" s="110">
        <f>I77-F78</f>
        <v>146443.86000000007</v>
      </c>
    </row>
    <row r="79" spans="4:9">
      <c r="D79" s="70">
        <f>DATE(YEAR(D78),MONTH(D78)+1,DAY(D78))</f>
        <v>44084</v>
      </c>
      <c r="E79" s="110">
        <f>-ROUND($C$6,2)</f>
        <v>1603.83</v>
      </c>
      <c r="F79" s="110">
        <f>E79-H79</f>
        <v>1130.94</v>
      </c>
      <c r="G79" s="164">
        <f>VLOOKUP(D79,$K$11:$L$23,2,TRUE)</f>
        <v>3.875E-2</v>
      </c>
      <c r="H79" s="110">
        <f>ROUND(I78*G79/12,2)</f>
        <v>472.89</v>
      </c>
      <c r="I79" s="110">
        <f>I78-F79</f>
        <v>145312.92000000007</v>
      </c>
    </row>
    <row r="80" spans="4:9">
      <c r="D80" s="70">
        <f>DATE(YEAR(D79),MONTH(D79)+1,DAY(D79))</f>
        <v>44114</v>
      </c>
      <c r="E80" s="110">
        <f>-ROUND($C$6,2)</f>
        <v>1603.83</v>
      </c>
      <c r="F80" s="110">
        <f>E80-H80</f>
        <v>1134.5899999999999</v>
      </c>
      <c r="G80" s="164">
        <f>VLOOKUP(D80,$K$11:$L$23,2,TRUE)</f>
        <v>3.875E-2</v>
      </c>
      <c r="H80" s="110">
        <f>ROUND(I79*G80/12,2)</f>
        <v>469.24</v>
      </c>
      <c r="I80" s="110">
        <f>I79-F80</f>
        <v>144178.33000000007</v>
      </c>
    </row>
    <row r="81" spans="4:9">
      <c r="D81" s="70">
        <f>DATE(YEAR(D80),MONTH(D80)+1,DAY(D80))</f>
        <v>44145</v>
      </c>
      <c r="E81" s="110">
        <f>-ROUND($C$6,2)</f>
        <v>1603.83</v>
      </c>
      <c r="F81" s="110">
        <f>E81-H81</f>
        <v>1138.25</v>
      </c>
      <c r="G81" s="164">
        <f>VLOOKUP(D81,$K$11:$L$23,2,TRUE)</f>
        <v>3.875E-2</v>
      </c>
      <c r="H81" s="110">
        <f>ROUND(I80*G81/12,2)</f>
        <v>465.58</v>
      </c>
      <c r="I81" s="110">
        <f>I80-F81</f>
        <v>143040.08000000007</v>
      </c>
    </row>
    <row r="82" spans="4:9">
      <c r="D82" s="70">
        <f>DATE(YEAR(D81),MONTH(D81)+1,DAY(D81))</f>
        <v>44175</v>
      </c>
      <c r="E82" s="110">
        <f>-ROUND($C$6,2)</f>
        <v>1603.83</v>
      </c>
      <c r="F82" s="110">
        <f>E82-H82</f>
        <v>1141.9299999999998</v>
      </c>
      <c r="G82" s="164">
        <f>VLOOKUP(D82,$K$11:$L$23,2,TRUE)</f>
        <v>3.875E-2</v>
      </c>
      <c r="H82" s="110">
        <f>ROUND(I81*G82/12,2)</f>
        <v>461.9</v>
      </c>
      <c r="I82" s="110">
        <f>I81-F82</f>
        <v>141898.15000000008</v>
      </c>
    </row>
    <row r="83" spans="4:9">
      <c r="D83" s="70">
        <f>DATE(YEAR(D82),MONTH(D82)+1,DAY(D82))</f>
        <v>44206</v>
      </c>
      <c r="E83" s="110">
        <f>-ROUND($C$6,2)</f>
        <v>1603.83</v>
      </c>
      <c r="F83" s="110">
        <f>E83-H83</f>
        <v>1145.6199999999999</v>
      </c>
      <c r="G83" s="164">
        <f>VLOOKUP(D83,$K$11:$L$23,2,TRUE)</f>
        <v>3.875E-2</v>
      </c>
      <c r="H83" s="110">
        <f>ROUND(I82*G83/12,2)</f>
        <v>458.21</v>
      </c>
      <c r="I83" s="110">
        <f>I82-F83</f>
        <v>140752.53000000009</v>
      </c>
    </row>
    <row r="84" spans="4:9">
      <c r="D84" s="70">
        <f>DATE(YEAR(D83),MONTH(D83)+1,DAY(D83))</f>
        <v>44237</v>
      </c>
      <c r="E84" s="110">
        <f>-ROUND($C$6,2)</f>
        <v>1603.83</v>
      </c>
      <c r="F84" s="110">
        <f>E84-H84</f>
        <v>1149.32</v>
      </c>
      <c r="G84" s="164">
        <f>VLOOKUP(D84,$K$11:$L$23,2,TRUE)</f>
        <v>3.875E-2</v>
      </c>
      <c r="H84" s="110">
        <f>ROUND(I83*G84/12,2)</f>
        <v>454.51</v>
      </c>
      <c r="I84" s="110">
        <f>I83-F84</f>
        <v>139603.21000000008</v>
      </c>
    </row>
    <row r="85" spans="4:9">
      <c r="D85" s="70">
        <f>DATE(YEAR(D84),MONTH(D84)+1,DAY(D84))</f>
        <v>44265</v>
      </c>
      <c r="E85" s="110">
        <f>-ROUND($C$6,2)</f>
        <v>1603.83</v>
      </c>
      <c r="F85" s="110">
        <f>E85-H85</f>
        <v>1153.03</v>
      </c>
      <c r="G85" s="164">
        <f>VLOOKUP(D85,$K$11:$L$23,2,TRUE)</f>
        <v>3.875E-2</v>
      </c>
      <c r="H85" s="110">
        <f>ROUND(I84*G85/12,2)</f>
        <v>450.8</v>
      </c>
      <c r="I85" s="110">
        <f>I84-F85</f>
        <v>138450.18000000008</v>
      </c>
    </row>
    <row r="86" spans="4:9">
      <c r="D86" s="70">
        <f>DATE(YEAR(D85),MONTH(D85)+1,DAY(D85))</f>
        <v>44296</v>
      </c>
      <c r="E86" s="110">
        <f>-ROUND($C$6,2)</f>
        <v>1603.83</v>
      </c>
      <c r="F86" s="110">
        <f>E86-H86</f>
        <v>1156.75</v>
      </c>
      <c r="G86" s="164">
        <f>VLOOKUP(D86,$K$11:$L$23,2,TRUE)</f>
        <v>3.875E-2</v>
      </c>
      <c r="H86" s="110">
        <f>ROUND(I85*G86/12,2)</f>
        <v>447.08</v>
      </c>
      <c r="I86" s="110">
        <f>I85-F86</f>
        <v>137293.43000000008</v>
      </c>
    </row>
    <row r="87" spans="4:9">
      <c r="D87" s="70">
        <f>DATE(YEAR(D86),MONTH(D86)+1,DAY(D86))</f>
        <v>44326</v>
      </c>
      <c r="E87" s="110">
        <f>-ROUND($C$6,2)</f>
        <v>1603.83</v>
      </c>
      <c r="F87" s="110">
        <f>E87-H87</f>
        <v>1160.49</v>
      </c>
      <c r="G87" s="164">
        <f>VLOOKUP(D87,$K$11:$L$23,2,TRUE)</f>
        <v>3.875E-2</v>
      </c>
      <c r="H87" s="110">
        <f>ROUND(I86*G87/12,2)</f>
        <v>443.34</v>
      </c>
      <c r="I87" s="110">
        <f>I86-F87</f>
        <v>136132.94000000009</v>
      </c>
    </row>
    <row r="88" spans="4:9">
      <c r="D88" s="70">
        <f>DATE(YEAR(D87),MONTH(D87)+1,DAY(D87))</f>
        <v>44357</v>
      </c>
      <c r="E88" s="110">
        <f>-ROUND($C$6,2)</f>
        <v>1603.83</v>
      </c>
      <c r="F88" s="110">
        <f>E88-H88</f>
        <v>1164.23</v>
      </c>
      <c r="G88" s="164">
        <f>VLOOKUP(D88,$K$11:$L$23,2,TRUE)</f>
        <v>3.875E-2</v>
      </c>
      <c r="H88" s="110">
        <f>ROUND(I87*G88/12,2)</f>
        <v>439.6</v>
      </c>
      <c r="I88" s="110">
        <f>I87-F88</f>
        <v>134968.71000000008</v>
      </c>
    </row>
    <row r="89" spans="4:9">
      <c r="D89" s="70">
        <f>DATE(YEAR(D88),MONTH(D88)+1,DAY(D88))</f>
        <v>44387</v>
      </c>
      <c r="E89" s="110">
        <f>-ROUND($C$6,2)</f>
        <v>1603.83</v>
      </c>
      <c r="F89" s="110">
        <f>E89-H89</f>
        <v>1167.99</v>
      </c>
      <c r="G89" s="164">
        <f>VLOOKUP(D89,$K$11:$L$23,2,TRUE)</f>
        <v>3.875E-2</v>
      </c>
      <c r="H89" s="110">
        <f>ROUND(I88*G89/12,2)</f>
        <v>435.84</v>
      </c>
      <c r="I89" s="110">
        <f>I88-F89</f>
        <v>133800.72000000009</v>
      </c>
    </row>
    <row r="90" spans="4:9">
      <c r="D90" s="70">
        <f>DATE(YEAR(D89),MONTH(D89)+1,DAY(D89))</f>
        <v>44418</v>
      </c>
      <c r="E90" s="110">
        <f>-ROUND($C$6,2)</f>
        <v>1603.83</v>
      </c>
      <c r="F90" s="110">
        <f>E90-H90</f>
        <v>1171.77</v>
      </c>
      <c r="G90" s="164">
        <f>VLOOKUP(D90,$K$11:$L$23,2,TRUE)</f>
        <v>3.875E-2</v>
      </c>
      <c r="H90" s="110">
        <f>ROUND(I89*G90/12,2)</f>
        <v>432.06</v>
      </c>
      <c r="I90" s="110">
        <f>I89-F90</f>
        <v>132628.9500000001</v>
      </c>
    </row>
    <row r="91" spans="4:9">
      <c r="D91" s="70">
        <f>DATE(YEAR(D90),MONTH(D90)+1,DAY(D90))</f>
        <v>44449</v>
      </c>
      <c r="E91" s="110">
        <f>-ROUND($C$6,2)</f>
        <v>1603.83</v>
      </c>
      <c r="F91" s="110">
        <f>E91-H91</f>
        <v>1175.55</v>
      </c>
      <c r="G91" s="164">
        <f>VLOOKUP(D91,$K$11:$L$23,2,TRUE)</f>
        <v>3.875E-2</v>
      </c>
      <c r="H91" s="110">
        <f>ROUND(I90*G91/12,2)</f>
        <v>428.28</v>
      </c>
      <c r="I91" s="110">
        <f>I90-F91</f>
        <v>131453.40000000011</v>
      </c>
    </row>
    <row r="92" spans="4:9">
      <c r="D92" s="70">
        <f>DATE(YEAR(D91),MONTH(D91)+1,DAY(D91))</f>
        <v>44479</v>
      </c>
      <c r="E92" s="110">
        <f>-ROUND($C$6,2)</f>
        <v>1603.83</v>
      </c>
      <c r="F92" s="110">
        <f>E92-H92</f>
        <v>1179.3499999999999</v>
      </c>
      <c r="G92" s="164">
        <f>VLOOKUP(D92,$K$11:$L$23,2,TRUE)</f>
        <v>3.875E-2</v>
      </c>
      <c r="H92" s="110">
        <f>ROUND(I91*G92/12,2)</f>
        <v>424.48</v>
      </c>
      <c r="I92" s="110">
        <f>I91-F92</f>
        <v>130274.0500000001</v>
      </c>
    </row>
    <row r="93" spans="4:9">
      <c r="D93" s="70">
        <f>DATE(YEAR(D92),MONTH(D92)+1,DAY(D92))</f>
        <v>44510</v>
      </c>
      <c r="E93" s="110">
        <f>-ROUND($C$6,2)</f>
        <v>1603.83</v>
      </c>
      <c r="F93" s="110">
        <f>E93-H93</f>
        <v>1183.1499999999999</v>
      </c>
      <c r="G93" s="164">
        <f>VLOOKUP(D93,$K$11:$L$23,2,TRUE)</f>
        <v>3.875E-2</v>
      </c>
      <c r="H93" s="110">
        <f>ROUND(I92*G93/12,2)</f>
        <v>420.68</v>
      </c>
      <c r="I93" s="110">
        <f>I92-F93</f>
        <v>129090.90000000011</v>
      </c>
    </row>
    <row r="94" spans="4:9">
      <c r="D94" s="70">
        <f>DATE(YEAR(D93),MONTH(D93)+1,DAY(D93))</f>
        <v>44540</v>
      </c>
      <c r="E94" s="110">
        <f>-ROUND($C$6,2)</f>
        <v>1603.83</v>
      </c>
      <c r="F94" s="110">
        <f>E94-H94</f>
        <v>1186.9699999999998</v>
      </c>
      <c r="G94" s="164">
        <f>VLOOKUP(D94,$K$11:$L$23,2,TRUE)</f>
        <v>3.875E-2</v>
      </c>
      <c r="H94" s="110">
        <f>ROUND(I93*G94/12,2)</f>
        <v>416.86</v>
      </c>
      <c r="I94" s="110">
        <f>I93-F94</f>
        <v>127903.93000000011</v>
      </c>
    </row>
    <row r="95" spans="4:9">
      <c r="D95" s="70">
        <f>DATE(YEAR(D94),MONTH(D94)+1,DAY(D94))</f>
        <v>44571</v>
      </c>
      <c r="E95" s="110">
        <f>-ROUND($C$6,2)</f>
        <v>1603.83</v>
      </c>
      <c r="F95" s="110">
        <f>E95-H95</f>
        <v>1190.81</v>
      </c>
      <c r="G95" s="164">
        <f>VLOOKUP(D95,$K$11:$L$23,2,TRUE)</f>
        <v>3.875E-2</v>
      </c>
      <c r="H95" s="110">
        <f>ROUND(I94*G95/12,2)</f>
        <v>413.02</v>
      </c>
      <c r="I95" s="110">
        <f>I94-F95</f>
        <v>126713.12000000011</v>
      </c>
    </row>
    <row r="96" spans="4:9">
      <c r="D96" s="70">
        <f>DATE(YEAR(D95),MONTH(D95)+1,DAY(D95))</f>
        <v>44602</v>
      </c>
      <c r="E96" s="110">
        <f>-ROUND($C$6,2)</f>
        <v>1603.83</v>
      </c>
      <c r="F96" s="110">
        <f>E96-H96</f>
        <v>1194.6499999999999</v>
      </c>
      <c r="G96" s="164">
        <f>VLOOKUP(D96,$K$11:$L$23,2,TRUE)</f>
        <v>3.875E-2</v>
      </c>
      <c r="H96" s="110">
        <f>ROUND(I95*G96/12,2)</f>
        <v>409.18</v>
      </c>
      <c r="I96" s="110">
        <f>I95-F96</f>
        <v>125518.47000000012</v>
      </c>
    </row>
    <row r="97" spans="4:9">
      <c r="D97" s="70">
        <f>DATE(YEAR(D96),MONTH(D96)+1,DAY(D96))</f>
        <v>44630</v>
      </c>
      <c r="E97" s="110">
        <f>-ROUND($C$6,2)</f>
        <v>1603.83</v>
      </c>
      <c r="F97" s="110">
        <f>E97-H97</f>
        <v>1198.51</v>
      </c>
      <c r="G97" s="164">
        <f>VLOOKUP(D97,$K$11:$L$23,2,TRUE)</f>
        <v>3.875E-2</v>
      </c>
      <c r="H97" s="110">
        <f>ROUND(I96*G97/12,2)</f>
        <v>405.32</v>
      </c>
      <c r="I97" s="110">
        <f>I96-F97</f>
        <v>124319.96000000012</v>
      </c>
    </row>
    <row r="98" spans="4:9">
      <c r="D98" s="70">
        <f>DATE(YEAR(D97),MONTH(D97)+1,DAY(D97))</f>
        <v>44661</v>
      </c>
      <c r="E98" s="110">
        <f>-ROUND($C$6,2)</f>
        <v>1603.83</v>
      </c>
      <c r="F98" s="110">
        <f>E98-H98</f>
        <v>1202.3799999999999</v>
      </c>
      <c r="G98" s="164">
        <f>VLOOKUP(D98,$K$11:$L$23,2,TRUE)</f>
        <v>3.875E-2</v>
      </c>
      <c r="H98" s="110">
        <f>ROUND(I97*G98/12,2)</f>
        <v>401.45</v>
      </c>
      <c r="I98" s="110">
        <f>I97-F98</f>
        <v>123117.58000000012</v>
      </c>
    </row>
    <row r="99" spans="4:9">
      <c r="D99" s="70">
        <f>DATE(YEAR(D98),MONTH(D98)+1,DAY(D98))</f>
        <v>44691</v>
      </c>
      <c r="E99" s="110">
        <f>-ROUND($C$6,2)</f>
        <v>1603.83</v>
      </c>
      <c r="F99" s="110">
        <f>E99-H99</f>
        <v>1206.26</v>
      </c>
      <c r="G99" s="164">
        <f>VLOOKUP(D99,$K$11:$L$23,2,TRUE)</f>
        <v>3.875E-2</v>
      </c>
      <c r="H99" s="110">
        <f>ROUND(I98*G99/12,2)</f>
        <v>397.57</v>
      </c>
      <c r="I99" s="110">
        <f>I98-F99</f>
        <v>121911.32000000012</v>
      </c>
    </row>
    <row r="100" spans="4:9">
      <c r="D100" s="70">
        <f>DATE(YEAR(D99),MONTH(D99)+1,DAY(D99))</f>
        <v>44722</v>
      </c>
      <c r="E100" s="110">
        <f>-ROUND($C$6,2)</f>
        <v>1603.83</v>
      </c>
      <c r="F100" s="110">
        <f>E100-H100</f>
        <v>1210.1599999999999</v>
      </c>
      <c r="G100" s="164">
        <f>VLOOKUP(D100,$K$11:$L$23,2,TRUE)</f>
        <v>3.875E-2</v>
      </c>
      <c r="H100" s="110">
        <f>ROUND(I99*G100/12,2)</f>
        <v>393.67</v>
      </c>
      <c r="I100" s="110">
        <f>I99-F100</f>
        <v>120701.16000000012</v>
      </c>
    </row>
    <row r="101" spans="4:9">
      <c r="D101" s="70">
        <f>DATE(YEAR(D100),MONTH(D100)+1,DAY(D100))</f>
        <v>44752</v>
      </c>
      <c r="E101" s="110">
        <f>-ROUND($C$6,2)</f>
        <v>1603.83</v>
      </c>
      <c r="F101" s="110">
        <f>E101-H101</f>
        <v>1214.07</v>
      </c>
      <c r="G101" s="164">
        <f>VLOOKUP(D101,$K$11:$L$23,2,TRUE)</f>
        <v>3.875E-2</v>
      </c>
      <c r="H101" s="110">
        <f>ROUND(I100*G101/12,2)</f>
        <v>389.76</v>
      </c>
      <c r="I101" s="110">
        <f>I100-F101</f>
        <v>119487.09000000011</v>
      </c>
    </row>
    <row r="102" spans="4:9">
      <c r="D102" s="70">
        <f>DATE(YEAR(D101),MONTH(D101)+1,DAY(D101))</f>
        <v>44783</v>
      </c>
      <c r="E102" s="110">
        <f>-ROUND($C$6,2)</f>
        <v>1603.83</v>
      </c>
      <c r="F102" s="110">
        <f>E102-H102</f>
        <v>1217.99</v>
      </c>
      <c r="G102" s="164">
        <f>VLOOKUP(D102,$K$11:$L$23,2,TRUE)</f>
        <v>3.875E-2</v>
      </c>
      <c r="H102" s="110">
        <f>ROUND(I101*G102/12,2)</f>
        <v>385.84</v>
      </c>
      <c r="I102" s="110">
        <f>I101-F102</f>
        <v>118269.10000000011</v>
      </c>
    </row>
    <row r="103" spans="4:9">
      <c r="D103" s="70">
        <f>DATE(YEAR(D102),MONTH(D102)+1,DAY(D102))</f>
        <v>44814</v>
      </c>
      <c r="E103" s="110">
        <f>-ROUND($C$6,2)</f>
        <v>1603.83</v>
      </c>
      <c r="F103" s="110">
        <f>E103-H103</f>
        <v>1221.9199999999998</v>
      </c>
      <c r="G103" s="164">
        <f>VLOOKUP(D103,$K$11:$L$23,2,TRUE)</f>
        <v>3.875E-2</v>
      </c>
      <c r="H103" s="110">
        <f>ROUND(I102*G103/12,2)</f>
        <v>381.91</v>
      </c>
      <c r="I103" s="110">
        <f>I102-F103</f>
        <v>117047.18000000011</v>
      </c>
    </row>
    <row r="104" spans="4:9">
      <c r="D104" s="70">
        <f>DATE(YEAR(D103),MONTH(D103)+1,DAY(D103))</f>
        <v>44844</v>
      </c>
      <c r="E104" s="110">
        <f>-ROUND($C$6,2)</f>
        <v>1603.83</v>
      </c>
      <c r="F104" s="110">
        <f>E104-H104</f>
        <v>1225.8699999999999</v>
      </c>
      <c r="G104" s="164">
        <f>VLOOKUP(D104,$K$11:$L$23,2,TRUE)</f>
        <v>3.875E-2</v>
      </c>
      <c r="H104" s="110">
        <f>ROUND(I103*G104/12,2)</f>
        <v>377.96</v>
      </c>
      <c r="I104" s="110">
        <f>I103-F104</f>
        <v>115821.31000000011</v>
      </c>
    </row>
    <row r="105" spans="4:9">
      <c r="D105" s="70">
        <f>DATE(YEAR(D104),MONTH(D104)+1,DAY(D104))</f>
        <v>44875</v>
      </c>
      <c r="E105" s="110">
        <f>-ROUND($C$6,2)</f>
        <v>1603.83</v>
      </c>
      <c r="F105" s="110">
        <f>E105-H105</f>
        <v>1229.82</v>
      </c>
      <c r="G105" s="164">
        <f>VLOOKUP(D105,$K$11:$L$23,2,TRUE)</f>
        <v>3.875E-2</v>
      </c>
      <c r="H105" s="110">
        <f>ROUND(I104*G105/12,2)</f>
        <v>374.01</v>
      </c>
      <c r="I105" s="110">
        <f>I104-F105</f>
        <v>114591.49000000011</v>
      </c>
    </row>
    <row r="106" spans="4:9">
      <c r="D106" s="70">
        <f>DATE(YEAR(D105),MONTH(D105)+1,DAY(D105))</f>
        <v>44905</v>
      </c>
      <c r="E106" s="110">
        <f>-ROUND($C$6,2)</f>
        <v>1603.83</v>
      </c>
      <c r="F106" s="110">
        <f>E106-H106</f>
        <v>1233.79</v>
      </c>
      <c r="G106" s="164">
        <f>VLOOKUP(D106,$K$11:$L$23,2,TRUE)</f>
        <v>3.875E-2</v>
      </c>
      <c r="H106" s="110">
        <f>ROUND(I105*G106/12,2)</f>
        <v>370.04</v>
      </c>
      <c r="I106" s="110">
        <f>I105-F106</f>
        <v>113357.70000000011</v>
      </c>
    </row>
    <row r="107" spans="4:9">
      <c r="D107" s="70">
        <f>DATE(YEAR(D106),MONTH(D106)+1,DAY(D106))</f>
        <v>44936</v>
      </c>
      <c r="E107" s="110">
        <f>-ROUND($C$6,2)</f>
        <v>1603.83</v>
      </c>
      <c r="F107" s="110">
        <f>E107-H107</f>
        <v>1237.78</v>
      </c>
      <c r="G107" s="164">
        <f>VLOOKUP(D107,$K$11:$L$23,2,TRUE)</f>
        <v>3.875E-2</v>
      </c>
      <c r="H107" s="110">
        <f>ROUND(I106*G107/12,2)</f>
        <v>366.05</v>
      </c>
      <c r="I107" s="110">
        <f>I106-F107</f>
        <v>112119.92000000011</v>
      </c>
    </row>
    <row r="108" spans="4:9">
      <c r="D108" s="70">
        <f>DATE(YEAR(D107),MONTH(D107)+1,DAY(D107))</f>
        <v>44967</v>
      </c>
      <c r="E108" s="110">
        <f>-ROUND($C$6,2)</f>
        <v>1603.83</v>
      </c>
      <c r="F108" s="110">
        <f>E108-H108</f>
        <v>1230.0999999999999</v>
      </c>
      <c r="G108" s="164">
        <f>VLOOKUP(D108,$K$11:$L$23,2,TRUE)</f>
        <v>0.04</v>
      </c>
      <c r="H108" s="110">
        <f>ROUND(I107*G108/12,2)</f>
        <v>373.73</v>
      </c>
      <c r="I108" s="110">
        <f>I107-F108</f>
        <v>110889.82000000011</v>
      </c>
    </row>
    <row r="109" spans="4:9">
      <c r="D109" s="70">
        <f>DATE(YEAR(D108),MONTH(D108)+1,DAY(D108))</f>
        <v>44995</v>
      </c>
      <c r="E109" s="110">
        <f>-ROUND($C$6,2)</f>
        <v>1603.83</v>
      </c>
      <c r="F109" s="110">
        <f>E109-H109</f>
        <v>1234.1999999999998</v>
      </c>
      <c r="G109" s="164">
        <f>VLOOKUP(D109,$K$11:$L$23,2,TRUE)</f>
        <v>0.04</v>
      </c>
      <c r="H109" s="110">
        <f>ROUND(I108*G109/12,2)</f>
        <v>369.63</v>
      </c>
      <c r="I109" s="110">
        <f>I108-F109</f>
        <v>109655.62000000011</v>
      </c>
    </row>
    <row r="110" spans="4:9">
      <c r="D110" s="70">
        <f>DATE(YEAR(D109),MONTH(D109)+1,DAY(D109))</f>
        <v>45026</v>
      </c>
      <c r="E110" s="110">
        <f>-ROUND($C$6,2)</f>
        <v>1603.83</v>
      </c>
      <c r="F110" s="110">
        <f>E110-H110</f>
        <v>1238.31</v>
      </c>
      <c r="G110" s="164">
        <f>VLOOKUP(D110,$K$11:$L$23,2,TRUE)</f>
        <v>0.04</v>
      </c>
      <c r="H110" s="110">
        <f>ROUND(I109*G110/12,2)</f>
        <v>365.52</v>
      </c>
      <c r="I110" s="110">
        <f>I109-F110</f>
        <v>108417.31000000011</v>
      </c>
    </row>
    <row r="111" spans="4:9">
      <c r="D111" s="70">
        <f>DATE(YEAR(D110),MONTH(D110)+1,DAY(D110))</f>
        <v>45056</v>
      </c>
      <c r="E111" s="110">
        <f>-ROUND($C$6,2)</f>
        <v>1603.83</v>
      </c>
      <c r="F111" s="110">
        <f>E111-H111</f>
        <v>1242.44</v>
      </c>
      <c r="G111" s="164">
        <f>VLOOKUP(D111,$K$11:$L$23,2,TRUE)</f>
        <v>0.04</v>
      </c>
      <c r="H111" s="110">
        <f>ROUND(I110*G111/12,2)</f>
        <v>361.39</v>
      </c>
      <c r="I111" s="110">
        <f>I110-F111</f>
        <v>107174.87000000011</v>
      </c>
    </row>
    <row r="112" spans="4:9">
      <c r="D112" s="70">
        <f>DATE(YEAR(D111),MONTH(D111)+1,DAY(D111))</f>
        <v>45087</v>
      </c>
      <c r="E112" s="110">
        <f>-ROUND($C$6,2)</f>
        <v>1603.83</v>
      </c>
      <c r="F112" s="110">
        <f>E112-H112</f>
        <v>1246.58</v>
      </c>
      <c r="G112" s="164">
        <f>VLOOKUP(D112,$K$11:$L$23,2,TRUE)</f>
        <v>0.04</v>
      </c>
      <c r="H112" s="110">
        <f>ROUND(I111*G112/12,2)</f>
        <v>357.25</v>
      </c>
      <c r="I112" s="110">
        <f>I111-F112</f>
        <v>105928.29000000011</v>
      </c>
    </row>
    <row r="113" spans="4:9">
      <c r="D113" s="70">
        <f>DATE(YEAR(D112),MONTH(D112)+1,DAY(D112))</f>
        <v>45117</v>
      </c>
      <c r="E113" s="110">
        <f>-ROUND($C$6,2)</f>
        <v>1603.83</v>
      </c>
      <c r="F113" s="110">
        <f>E113-H113</f>
        <v>1250.74</v>
      </c>
      <c r="G113" s="164">
        <f>VLOOKUP(D113,$K$11:$L$23,2,TRUE)</f>
        <v>0.04</v>
      </c>
      <c r="H113" s="110">
        <f>ROUND(I112*G113/12,2)</f>
        <v>353.09</v>
      </c>
      <c r="I113" s="110">
        <f>I112-F113</f>
        <v>104677.5500000001</v>
      </c>
    </row>
    <row r="114" spans="4:9">
      <c r="D114" s="70">
        <f>DATE(YEAR(D113),MONTH(D113)+1,DAY(D113))</f>
        <v>45148</v>
      </c>
      <c r="E114" s="110">
        <f>-ROUND($C$6,2)</f>
        <v>1603.83</v>
      </c>
      <c r="F114" s="110">
        <f>E114-H114</f>
        <v>1254.8999999999999</v>
      </c>
      <c r="G114" s="164">
        <f>VLOOKUP(D114,$K$11:$L$23,2,TRUE)</f>
        <v>0.04</v>
      </c>
      <c r="H114" s="110">
        <f>ROUND(I113*G114/12,2)</f>
        <v>348.93</v>
      </c>
      <c r="I114" s="110">
        <f>I113-F114</f>
        <v>103422.65000000011</v>
      </c>
    </row>
    <row r="115" spans="4:9">
      <c r="D115" s="70">
        <f>DATE(YEAR(D114),MONTH(D114)+1,DAY(D114))</f>
        <v>45179</v>
      </c>
      <c r="E115" s="110">
        <f>-ROUND($C$6,2)</f>
        <v>1603.83</v>
      </c>
      <c r="F115" s="110">
        <f>E115-H115</f>
        <v>1259.0899999999999</v>
      </c>
      <c r="G115" s="164">
        <f>VLOOKUP(D115,$K$11:$L$23,2,TRUE)</f>
        <v>0.04</v>
      </c>
      <c r="H115" s="110">
        <f>ROUND(I114*G115/12,2)</f>
        <v>344.74</v>
      </c>
      <c r="I115" s="110">
        <f>I114-F115</f>
        <v>102163.56000000011</v>
      </c>
    </row>
    <row r="116" spans="4:9">
      <c r="D116" s="70">
        <f>DATE(YEAR(D115),MONTH(D115)+1,DAY(D115))</f>
        <v>45209</v>
      </c>
      <c r="E116" s="110">
        <f>-ROUND($C$6,2)</f>
        <v>1603.83</v>
      </c>
      <c r="F116" s="110">
        <f>E116-H116</f>
        <v>1263.28</v>
      </c>
      <c r="G116" s="164">
        <f>VLOOKUP(D116,$K$11:$L$23,2,TRUE)</f>
        <v>0.04</v>
      </c>
      <c r="H116" s="110">
        <f>ROUND(I115*G116/12,2)</f>
        <v>340.55</v>
      </c>
      <c r="I116" s="110">
        <f>I115-F116</f>
        <v>100900.28000000012</v>
      </c>
    </row>
    <row r="117" spans="4:9">
      <c r="D117" s="70">
        <f>DATE(YEAR(D116),MONTH(D116)+1,DAY(D116))</f>
        <v>45240</v>
      </c>
      <c r="E117" s="110">
        <f>-ROUND($C$6,2)</f>
        <v>1603.83</v>
      </c>
      <c r="F117" s="110">
        <f>E117-H117</f>
        <v>1267.5</v>
      </c>
      <c r="G117" s="164">
        <f>VLOOKUP(D117,$K$11:$L$23,2,TRUE)</f>
        <v>0.04</v>
      </c>
      <c r="H117" s="110">
        <f>ROUND(I116*G117/12,2)</f>
        <v>336.33</v>
      </c>
      <c r="I117" s="110">
        <f>I116-F117</f>
        <v>99632.780000000115</v>
      </c>
    </row>
    <row r="118" spans="4:9">
      <c r="D118" s="70">
        <f>DATE(YEAR(D117),MONTH(D117)+1,DAY(D117))</f>
        <v>45270</v>
      </c>
      <c r="E118" s="110">
        <f>-ROUND($C$6,2)</f>
        <v>1603.83</v>
      </c>
      <c r="F118" s="110">
        <f>E118-H118</f>
        <v>1271.7199999999998</v>
      </c>
      <c r="G118" s="164">
        <f>VLOOKUP(D118,$K$11:$L$23,2,TRUE)</f>
        <v>0.04</v>
      </c>
      <c r="H118" s="110">
        <f>ROUND(I117*G118/12,2)</f>
        <v>332.11</v>
      </c>
      <c r="I118" s="110">
        <f>I117-F118</f>
        <v>98361.060000000114</v>
      </c>
    </row>
    <row r="119" spans="4:9">
      <c r="D119" s="70">
        <f>DATE(YEAR(D118),MONTH(D118)+1,DAY(D118))</f>
        <v>45301</v>
      </c>
      <c r="E119" s="110">
        <f>-ROUND($C$6,2)</f>
        <v>1603.83</v>
      </c>
      <c r="F119" s="110">
        <f>E119-H119</f>
        <v>1275.96</v>
      </c>
      <c r="G119" s="164">
        <f>VLOOKUP(D119,$K$11:$L$23,2,TRUE)</f>
        <v>0.04</v>
      </c>
      <c r="H119" s="110">
        <f>ROUND(I118*G119/12,2)</f>
        <v>327.87</v>
      </c>
      <c r="I119" s="110">
        <f>I118-F119</f>
        <v>97085.100000000108</v>
      </c>
    </row>
    <row r="120" spans="4:9">
      <c r="D120" s="70">
        <f>DATE(YEAR(D119),MONTH(D119)+1,DAY(D119))</f>
        <v>45332</v>
      </c>
      <c r="E120" s="110">
        <f>-ROUND($C$6,2)</f>
        <v>1603.83</v>
      </c>
      <c r="F120" s="110">
        <f>E120-H120</f>
        <v>1280.21</v>
      </c>
      <c r="G120" s="164">
        <f>VLOOKUP(D120,$K$11:$L$23,2,TRUE)</f>
        <v>0.04</v>
      </c>
      <c r="H120" s="110">
        <f>ROUND(I119*G120/12,2)</f>
        <v>323.62</v>
      </c>
      <c r="I120" s="110">
        <f>I119-F120</f>
        <v>95804.890000000101</v>
      </c>
    </row>
    <row r="121" spans="4:9">
      <c r="D121" s="70">
        <f>DATE(YEAR(D120),MONTH(D120)+1,DAY(D120))</f>
        <v>45361</v>
      </c>
      <c r="E121" s="110">
        <f>-ROUND($C$6,2)</f>
        <v>1603.83</v>
      </c>
      <c r="F121" s="110">
        <f>E121-H121</f>
        <v>1284.48</v>
      </c>
      <c r="G121" s="164">
        <f>VLOOKUP(D121,$K$11:$L$23,2,TRUE)</f>
        <v>0.04</v>
      </c>
      <c r="H121" s="110">
        <f>ROUND(I120*G121/12,2)</f>
        <v>319.35000000000002</v>
      </c>
      <c r="I121" s="110">
        <f>I120-F121</f>
        <v>94520.410000000105</v>
      </c>
    </row>
    <row r="122" spans="4:9">
      <c r="D122" s="70">
        <f>DATE(YEAR(D121),MONTH(D121)+1,DAY(D121))</f>
        <v>45392</v>
      </c>
      <c r="E122" s="110">
        <f>-ROUND($C$6,2)</f>
        <v>1603.83</v>
      </c>
      <c r="F122" s="110">
        <f>E122-H122</f>
        <v>1288.76</v>
      </c>
      <c r="G122" s="164">
        <f>VLOOKUP(D122,$K$11:$L$23,2,TRUE)</f>
        <v>0.04</v>
      </c>
      <c r="H122" s="110">
        <f>ROUND(I121*G122/12,2)</f>
        <v>315.07</v>
      </c>
      <c r="I122" s="110">
        <f>I121-F122</f>
        <v>93231.650000000111</v>
      </c>
    </row>
    <row r="123" spans="4:9">
      <c r="D123" s="70">
        <f>DATE(YEAR(D122),MONTH(D122)+1,DAY(D122))</f>
        <v>45422</v>
      </c>
      <c r="E123" s="110">
        <f>-ROUND($C$6,2)</f>
        <v>1603.83</v>
      </c>
      <c r="F123" s="110">
        <f>E123-H123</f>
        <v>1293.06</v>
      </c>
      <c r="G123" s="164">
        <f>VLOOKUP(D123,$K$11:$L$23,2,TRUE)</f>
        <v>0.04</v>
      </c>
      <c r="H123" s="110">
        <f>ROUND(I122*G123/12,2)</f>
        <v>310.77</v>
      </c>
      <c r="I123" s="110">
        <f>I122-F123</f>
        <v>91938.590000000113</v>
      </c>
    </row>
    <row r="124" spans="4:9">
      <c r="D124" s="70">
        <f>DATE(YEAR(D123),MONTH(D123)+1,DAY(D123))</f>
        <v>45453</v>
      </c>
      <c r="E124" s="110">
        <f>-ROUND($C$6,2)</f>
        <v>1603.83</v>
      </c>
      <c r="F124" s="110">
        <f>E124-H124</f>
        <v>1297.3699999999999</v>
      </c>
      <c r="G124" s="164">
        <f>VLOOKUP(D124,$K$11:$L$23,2,TRUE)</f>
        <v>0.04</v>
      </c>
      <c r="H124" s="110">
        <f>ROUND(I123*G124/12,2)</f>
        <v>306.45999999999998</v>
      </c>
      <c r="I124" s="110">
        <f>I123-F124</f>
        <v>90641.220000000118</v>
      </c>
    </row>
    <row r="125" spans="4:9">
      <c r="D125" s="70">
        <f>DATE(YEAR(D124),MONTH(D124)+1,DAY(D124))</f>
        <v>45483</v>
      </c>
      <c r="E125" s="110">
        <f>-ROUND($C$6,2)</f>
        <v>1603.83</v>
      </c>
      <c r="F125" s="110">
        <f>E125-H125</f>
        <v>1301.69</v>
      </c>
      <c r="G125" s="164">
        <f>VLOOKUP(D125,$K$11:$L$23,2,TRUE)</f>
        <v>0.04</v>
      </c>
      <c r="H125" s="110">
        <f>ROUND(I124*G125/12,2)</f>
        <v>302.14</v>
      </c>
      <c r="I125" s="110">
        <f>I124-F125</f>
        <v>89339.530000000115</v>
      </c>
    </row>
    <row r="126" spans="4:9">
      <c r="D126" s="70">
        <f>DATE(YEAR(D125),MONTH(D125)+1,DAY(D125))</f>
        <v>45514</v>
      </c>
      <c r="E126" s="110">
        <f>-ROUND($C$6,2)</f>
        <v>1603.83</v>
      </c>
      <c r="F126" s="110">
        <f>E126-H126</f>
        <v>1306.03</v>
      </c>
      <c r="G126" s="164">
        <f>VLOOKUP(D126,$K$11:$L$23,2,TRUE)</f>
        <v>0.04</v>
      </c>
      <c r="H126" s="110">
        <f>ROUND(I125*G126/12,2)</f>
        <v>297.8</v>
      </c>
      <c r="I126" s="110">
        <f>I125-F126</f>
        <v>88033.500000000116</v>
      </c>
    </row>
    <row r="127" spans="4:9">
      <c r="D127" s="70">
        <f>DATE(YEAR(D126),MONTH(D126)+1,DAY(D126))</f>
        <v>45545</v>
      </c>
      <c r="E127" s="110">
        <f>-ROUND($C$6,2)</f>
        <v>1603.83</v>
      </c>
      <c r="F127" s="110">
        <f>E127-H127</f>
        <v>1310.3799999999999</v>
      </c>
      <c r="G127" s="164">
        <f>VLOOKUP(D127,$K$11:$L$23,2,TRUE)</f>
        <v>0.04</v>
      </c>
      <c r="H127" s="110">
        <f>ROUND(I126*G127/12,2)</f>
        <v>293.45</v>
      </c>
      <c r="I127" s="110">
        <f>I126-F127</f>
        <v>86723.120000000112</v>
      </c>
    </row>
    <row r="128" spans="4:9">
      <c r="D128" s="70">
        <f>DATE(YEAR(D127),MONTH(D127)+1,DAY(D127))</f>
        <v>45575</v>
      </c>
      <c r="E128" s="110">
        <f>-ROUND($C$6,2)</f>
        <v>1603.83</v>
      </c>
      <c r="F128" s="110">
        <f>E128-H128</f>
        <v>1314.75</v>
      </c>
      <c r="G128" s="164">
        <f>VLOOKUP(D128,$K$11:$L$23,2,TRUE)</f>
        <v>0.04</v>
      </c>
      <c r="H128" s="110">
        <f>ROUND(I127*G128/12,2)</f>
        <v>289.08</v>
      </c>
      <c r="I128" s="110">
        <f>I127-F128</f>
        <v>85408.370000000112</v>
      </c>
    </row>
    <row r="129" spans="4:9">
      <c r="D129" s="70">
        <f>DATE(YEAR(D128),MONTH(D128)+1,DAY(D128))</f>
        <v>45606</v>
      </c>
      <c r="E129" s="110">
        <f>-ROUND($C$6,2)</f>
        <v>1603.83</v>
      </c>
      <c r="F129" s="110">
        <f>E129-H129</f>
        <v>1319.1399999999999</v>
      </c>
      <c r="G129" s="164">
        <f>VLOOKUP(D129,$K$11:$L$23,2,TRUE)</f>
        <v>0.04</v>
      </c>
      <c r="H129" s="110">
        <f>ROUND(I128*G129/12,2)</f>
        <v>284.69</v>
      </c>
      <c r="I129" s="110">
        <f>I128-F129</f>
        <v>84089.230000000112</v>
      </c>
    </row>
    <row r="130" spans="4:9">
      <c r="D130" s="70">
        <f>DATE(YEAR(D129),MONTH(D129)+1,DAY(D129))</f>
        <v>45636</v>
      </c>
      <c r="E130" s="110">
        <f>-ROUND($C$6,2)</f>
        <v>1603.83</v>
      </c>
      <c r="F130" s="110">
        <f>E130-H130</f>
        <v>1323.53</v>
      </c>
      <c r="G130" s="164">
        <f>VLOOKUP(D130,$K$11:$L$23,2,TRUE)</f>
        <v>0.04</v>
      </c>
      <c r="H130" s="110">
        <f>ROUND(I129*G130/12,2)</f>
        <v>280.3</v>
      </c>
      <c r="I130" s="110">
        <f>I129-F130</f>
        <v>82765.700000000114</v>
      </c>
    </row>
    <row r="131" spans="4:9">
      <c r="D131" s="70">
        <f>DATE(YEAR(D130),MONTH(D130)+1,DAY(D130))</f>
        <v>45667</v>
      </c>
      <c r="E131" s="110">
        <f>-ROUND($C$6,2)</f>
        <v>1603.83</v>
      </c>
      <c r="F131" s="110">
        <f>E131-H131</f>
        <v>1327.94</v>
      </c>
      <c r="G131" s="164">
        <f>VLOOKUP(D131,$K$11:$L$23,2,TRUE)</f>
        <v>0.04</v>
      </c>
      <c r="H131" s="110">
        <f>ROUND(I130*G131/12,2)</f>
        <v>275.89</v>
      </c>
      <c r="I131" s="110">
        <f>I130-F131</f>
        <v>81437.760000000111</v>
      </c>
    </row>
    <row r="132" spans="4:9">
      <c r="D132" s="70">
        <f>DATE(YEAR(D131),MONTH(D131)+1,DAY(D131))</f>
        <v>45698</v>
      </c>
      <c r="E132" s="110">
        <f>-ROUND($C$6,2)</f>
        <v>1603.83</v>
      </c>
      <c r="F132" s="110">
        <f>E132-H132</f>
        <v>1332.37</v>
      </c>
      <c r="G132" s="164">
        <f>VLOOKUP(D132,$K$11:$L$23,2,TRUE)</f>
        <v>0.04</v>
      </c>
      <c r="H132" s="110">
        <f>ROUND(I131*G132/12,2)</f>
        <v>271.45999999999998</v>
      </c>
      <c r="I132" s="110">
        <f>I131-F132</f>
        <v>80105.390000000116</v>
      </c>
    </row>
    <row r="133" spans="4:9">
      <c r="D133" s="70">
        <f>DATE(YEAR(D132),MONTH(D132)+1,DAY(D132))</f>
        <v>45726</v>
      </c>
      <c r="E133" s="110">
        <f>-ROUND($C$6,2)</f>
        <v>1603.83</v>
      </c>
      <c r="F133" s="110">
        <f>E133-H133</f>
        <v>1336.81</v>
      </c>
      <c r="G133" s="164">
        <f>VLOOKUP(D133,$K$11:$L$23,2,TRUE)</f>
        <v>0.04</v>
      </c>
      <c r="H133" s="110">
        <f>ROUND(I132*G133/12,2)</f>
        <v>267.02</v>
      </c>
      <c r="I133" s="110">
        <f>I132-F133</f>
        <v>78768.580000000118</v>
      </c>
    </row>
    <row r="134" spans="4:9">
      <c r="D134" s="70">
        <f>DATE(YEAR(D133),MONTH(D133)+1,DAY(D133))</f>
        <v>45757</v>
      </c>
      <c r="E134" s="110">
        <f>-ROUND($C$6,2)</f>
        <v>1603.83</v>
      </c>
      <c r="F134" s="110">
        <f>E134-H134</f>
        <v>1341.27</v>
      </c>
      <c r="G134" s="164">
        <f>VLOOKUP(D134,$K$11:$L$23,2,TRUE)</f>
        <v>0.04</v>
      </c>
      <c r="H134" s="110">
        <f>ROUND(I133*G134/12,2)</f>
        <v>262.56</v>
      </c>
      <c r="I134" s="110">
        <f>I133-F134</f>
        <v>77427.310000000114</v>
      </c>
    </row>
    <row r="135" spans="4:9">
      <c r="D135" s="70">
        <f>DATE(YEAR(D134),MONTH(D134)+1,DAY(D134))</f>
        <v>45787</v>
      </c>
      <c r="E135" s="110">
        <f>-ROUND($C$6,2)</f>
        <v>1603.83</v>
      </c>
      <c r="F135" s="110">
        <f>E135-H135</f>
        <v>1345.74</v>
      </c>
      <c r="G135" s="164">
        <f>VLOOKUP(D135,$K$11:$L$23,2,TRUE)</f>
        <v>0.04</v>
      </c>
      <c r="H135" s="110">
        <f>ROUND(I134*G135/12,2)</f>
        <v>258.08999999999997</v>
      </c>
      <c r="I135" s="110">
        <f>I134-F135</f>
        <v>76081.570000000109</v>
      </c>
    </row>
    <row r="136" spans="4:9">
      <c r="D136" s="70">
        <f>DATE(YEAR(D135),MONTH(D135)+1,DAY(D135))</f>
        <v>45818</v>
      </c>
      <c r="E136" s="110">
        <f>-ROUND($C$6,2)</f>
        <v>1603.83</v>
      </c>
      <c r="F136" s="110">
        <f>E136-H136</f>
        <v>1350.2199999999998</v>
      </c>
      <c r="G136" s="164">
        <f>VLOOKUP(D136,$K$11:$L$23,2,TRUE)</f>
        <v>0.04</v>
      </c>
      <c r="H136" s="110">
        <f>ROUND(I135*G136/12,2)</f>
        <v>253.61</v>
      </c>
      <c r="I136" s="110">
        <f>I135-F136</f>
        <v>74731.350000000108</v>
      </c>
    </row>
    <row r="137" spans="4:9">
      <c r="D137" s="70">
        <f>DATE(YEAR(D136),MONTH(D136)+1,DAY(D136))</f>
        <v>45848</v>
      </c>
      <c r="E137" s="110">
        <f>-ROUND($C$6,2)</f>
        <v>1603.83</v>
      </c>
      <c r="F137" s="110">
        <f>E137-H137</f>
        <v>1354.73</v>
      </c>
      <c r="G137" s="164">
        <f>VLOOKUP(D137,$K$11:$L$23,2,TRUE)</f>
        <v>0.04</v>
      </c>
      <c r="H137" s="110">
        <f>ROUND(I136*G137/12,2)</f>
        <v>249.1</v>
      </c>
      <c r="I137" s="110">
        <f>I136-F137</f>
        <v>73376.620000000112</v>
      </c>
    </row>
    <row r="138" spans="4:9">
      <c r="D138" s="70">
        <f>DATE(YEAR(D137),MONTH(D137)+1,DAY(D137))</f>
        <v>45879</v>
      </c>
      <c r="E138" s="110">
        <f>-ROUND($C$6,2)</f>
        <v>1603.83</v>
      </c>
      <c r="F138" s="110">
        <f>E138-H138</f>
        <v>1359.24</v>
      </c>
      <c r="G138" s="164">
        <f>VLOOKUP(D138,$K$11:$L$23,2,TRUE)</f>
        <v>0.04</v>
      </c>
      <c r="H138" s="110">
        <f>ROUND(I137*G138/12,2)</f>
        <v>244.59</v>
      </c>
      <c r="I138" s="110">
        <f>I137-F138</f>
        <v>72017.380000000107</v>
      </c>
    </row>
    <row r="139" spans="4:9">
      <c r="D139" s="70">
        <f>DATE(YEAR(D138),MONTH(D138)+1,DAY(D138))</f>
        <v>45910</v>
      </c>
      <c r="E139" s="110">
        <f>-ROUND($C$6,2)</f>
        <v>1603.83</v>
      </c>
      <c r="F139" s="110">
        <f>E139-H139</f>
        <v>1363.77</v>
      </c>
      <c r="G139" s="164">
        <f>VLOOKUP(D139,$K$11:$L$23,2,TRUE)</f>
        <v>0.04</v>
      </c>
      <c r="H139" s="110">
        <f>ROUND(I138*G139/12,2)</f>
        <v>240.06</v>
      </c>
      <c r="I139" s="110">
        <f>I138-F139</f>
        <v>70653.610000000102</v>
      </c>
    </row>
    <row r="140" spans="4:9">
      <c r="D140" s="70">
        <f>DATE(YEAR(D139),MONTH(D139)+1,DAY(D139))</f>
        <v>45940</v>
      </c>
      <c r="E140" s="110">
        <f>-ROUND($C$6,2)</f>
        <v>1603.83</v>
      </c>
      <c r="F140" s="110">
        <f>E140-H140</f>
        <v>1368.32</v>
      </c>
      <c r="G140" s="164">
        <f>VLOOKUP(D140,$K$11:$L$23,2,TRUE)</f>
        <v>0.04</v>
      </c>
      <c r="H140" s="110">
        <f>ROUND(I139*G140/12,2)</f>
        <v>235.51</v>
      </c>
      <c r="I140" s="110">
        <f>I139-F140</f>
        <v>69285.290000000095</v>
      </c>
    </row>
    <row r="141" spans="4:9">
      <c r="D141" s="70">
        <f>DATE(YEAR(D140),MONTH(D140)+1,DAY(D140))</f>
        <v>45971</v>
      </c>
      <c r="E141" s="110">
        <f>-ROUND($C$6,2)</f>
        <v>1603.83</v>
      </c>
      <c r="F141" s="110">
        <f>E141-H141</f>
        <v>1372.8799999999999</v>
      </c>
      <c r="G141" s="164">
        <f>VLOOKUP(D141,$K$11:$L$23,2,TRUE)</f>
        <v>0.04</v>
      </c>
      <c r="H141" s="110">
        <f>ROUND(I140*G141/12,2)</f>
        <v>230.95</v>
      </c>
      <c r="I141" s="110">
        <f>I140-F141</f>
        <v>67912.410000000091</v>
      </c>
    </row>
    <row r="142" spans="4:9">
      <c r="D142" s="70">
        <f>DATE(YEAR(D141),MONTH(D141)+1,DAY(D141))</f>
        <v>46001</v>
      </c>
      <c r="E142" s="110">
        <f>-ROUND($C$6,2)</f>
        <v>1603.83</v>
      </c>
      <c r="F142" s="110">
        <f>E142-H142</f>
        <v>1377.46</v>
      </c>
      <c r="G142" s="164">
        <f>VLOOKUP(D142,$K$11:$L$23,2,TRUE)</f>
        <v>0.04</v>
      </c>
      <c r="H142" s="110">
        <f>ROUND(I141*G142/12,2)</f>
        <v>226.37</v>
      </c>
      <c r="I142" s="110">
        <f>I141-F142</f>
        <v>66534.950000000084</v>
      </c>
    </row>
    <row r="143" spans="4:9">
      <c r="D143" s="70">
        <f>DATE(YEAR(D142),MONTH(D142)+1,DAY(D142))</f>
        <v>46032</v>
      </c>
      <c r="E143" s="110">
        <f>-ROUND($C$6,2)</f>
        <v>1603.83</v>
      </c>
      <c r="F143" s="110">
        <f>E143-H143</f>
        <v>1382.05</v>
      </c>
      <c r="G143" s="164">
        <f>VLOOKUP(D143,$K$11:$L$23,2,TRUE)</f>
        <v>0.04</v>
      </c>
      <c r="H143" s="110">
        <f>ROUND(I142*G143/12,2)</f>
        <v>221.78</v>
      </c>
      <c r="I143" s="110">
        <f>I142-F143</f>
        <v>65152.900000000081</v>
      </c>
    </row>
    <row r="144" spans="4:9">
      <c r="D144" s="70">
        <f>DATE(YEAR(D143),MONTH(D143)+1,DAY(D143))</f>
        <v>46063</v>
      </c>
      <c r="E144" s="110">
        <f>-ROUND($C$6,2)</f>
        <v>1603.83</v>
      </c>
      <c r="F144" s="110">
        <f>E144-H144</f>
        <v>1386.6499999999999</v>
      </c>
      <c r="G144" s="164">
        <f>VLOOKUP(D144,$K$11:$L$23,2,TRUE)</f>
        <v>0.04</v>
      </c>
      <c r="H144" s="110">
        <f>ROUND(I143*G144/12,2)</f>
        <v>217.18</v>
      </c>
      <c r="I144" s="110">
        <f>I143-F144</f>
        <v>63766.25000000008</v>
      </c>
    </row>
    <row r="145" spans="4:9">
      <c r="D145" s="70">
        <f>DATE(YEAR(D144),MONTH(D144)+1,DAY(D144))</f>
        <v>46091</v>
      </c>
      <c r="E145" s="110">
        <f>-ROUND($C$6,2)</f>
        <v>1603.83</v>
      </c>
      <c r="F145" s="110">
        <f>E145-H145</f>
        <v>1391.28</v>
      </c>
      <c r="G145" s="164">
        <f>VLOOKUP(D145,$K$11:$L$23,2,TRUE)</f>
        <v>0.04</v>
      </c>
      <c r="H145" s="110">
        <f>ROUND(I144*G145/12,2)</f>
        <v>212.55</v>
      </c>
      <c r="I145" s="110">
        <f>I144-F145</f>
        <v>62374.970000000081</v>
      </c>
    </row>
    <row r="146" spans="4:9">
      <c r="D146" s="70">
        <f>DATE(YEAR(D145),MONTH(D145)+1,DAY(D145))</f>
        <v>46122</v>
      </c>
      <c r="E146" s="110">
        <f>-ROUND($C$6,2)</f>
        <v>1603.83</v>
      </c>
      <c r="F146" s="110">
        <f>E146-H146</f>
        <v>1395.9099999999999</v>
      </c>
      <c r="G146" s="164">
        <f>VLOOKUP(D146,$K$11:$L$23,2,TRUE)</f>
        <v>0.04</v>
      </c>
      <c r="H146" s="110">
        <f>ROUND(I145*G146/12,2)</f>
        <v>207.92</v>
      </c>
      <c r="I146" s="110">
        <f>I145-F146</f>
        <v>60979.060000000085</v>
      </c>
    </row>
    <row r="147" spans="4:9">
      <c r="D147" s="70">
        <f>DATE(YEAR(D146),MONTH(D146)+1,DAY(D146))</f>
        <v>46152</v>
      </c>
      <c r="E147" s="110">
        <f>-ROUND($C$6,2)</f>
        <v>1603.83</v>
      </c>
      <c r="F147" s="110">
        <f>E147-H147</f>
        <v>1400.57</v>
      </c>
      <c r="G147" s="164">
        <f>VLOOKUP(D147,$K$11:$L$23,2,TRUE)</f>
        <v>0.04</v>
      </c>
      <c r="H147" s="110">
        <f>ROUND(I146*G147/12,2)</f>
        <v>203.26</v>
      </c>
      <c r="I147" s="110">
        <f>I146-F147</f>
        <v>59578.490000000085</v>
      </c>
    </row>
    <row r="148" spans="4:9">
      <c r="D148" s="70">
        <f>DATE(YEAR(D147),MONTH(D147)+1,DAY(D147))</f>
        <v>46183</v>
      </c>
      <c r="E148" s="110">
        <f>-ROUND($C$6,2)</f>
        <v>1603.83</v>
      </c>
      <c r="F148" s="110">
        <f>E148-H148</f>
        <v>1405.24</v>
      </c>
      <c r="G148" s="164">
        <f>VLOOKUP(D148,$K$11:$L$23,2,TRUE)</f>
        <v>0.04</v>
      </c>
      <c r="H148" s="110">
        <f>ROUND(I147*G148/12,2)</f>
        <v>198.59</v>
      </c>
      <c r="I148" s="110">
        <f>I147-F148</f>
        <v>58173.250000000087</v>
      </c>
    </row>
    <row r="149" spans="4:9">
      <c r="D149" s="70">
        <f>DATE(YEAR(D148),MONTH(D148)+1,DAY(D148))</f>
        <v>46213</v>
      </c>
      <c r="E149" s="110">
        <f>-ROUND($C$6,2)</f>
        <v>1603.83</v>
      </c>
      <c r="F149" s="110">
        <f>E149-H149</f>
        <v>1409.9199999999998</v>
      </c>
      <c r="G149" s="164">
        <f>VLOOKUP(D149,$K$11:$L$23,2,TRUE)</f>
        <v>0.04</v>
      </c>
      <c r="H149" s="110">
        <f>ROUND(I148*G149/12,2)</f>
        <v>193.91</v>
      </c>
      <c r="I149" s="110">
        <f>I148-F149</f>
        <v>56763.330000000089</v>
      </c>
    </row>
    <row r="150" spans="4:9">
      <c r="D150" s="70">
        <f>DATE(YEAR(D149),MONTH(D149)+1,DAY(D149))</f>
        <v>46244</v>
      </c>
      <c r="E150" s="110">
        <f>-ROUND($C$6,2)</f>
        <v>1603.83</v>
      </c>
      <c r="F150" s="110">
        <f>E150-H150</f>
        <v>1414.62</v>
      </c>
      <c r="G150" s="164">
        <f>VLOOKUP(D150,$K$11:$L$23,2,TRUE)</f>
        <v>0.04</v>
      </c>
      <c r="H150" s="110">
        <f>ROUND(I149*G150/12,2)</f>
        <v>189.21</v>
      </c>
      <c r="I150" s="110">
        <f>I149-F150</f>
        <v>55348.710000000086</v>
      </c>
    </row>
    <row r="151" spans="4:9">
      <c r="D151" s="70">
        <f>DATE(YEAR(D150),MONTH(D150)+1,DAY(D150))</f>
        <v>46275</v>
      </c>
      <c r="E151" s="110">
        <f>-ROUND($C$6,2)</f>
        <v>1603.83</v>
      </c>
      <c r="F151" s="110">
        <f>E151-H151</f>
        <v>1419.33</v>
      </c>
      <c r="G151" s="164">
        <f>VLOOKUP(D151,$K$11:$L$23,2,TRUE)</f>
        <v>0.04</v>
      </c>
      <c r="H151" s="110">
        <f>ROUND(I150*G151/12,2)</f>
        <v>184.5</v>
      </c>
      <c r="I151" s="110">
        <f>I150-F151</f>
        <v>53929.380000000085</v>
      </c>
    </row>
    <row r="152" spans="4:9">
      <c r="D152" s="70">
        <f>DATE(YEAR(D151),MONTH(D151)+1,DAY(D151))</f>
        <v>46305</v>
      </c>
      <c r="E152" s="110">
        <f>-ROUND($C$6,2)</f>
        <v>1603.83</v>
      </c>
      <c r="F152" s="110">
        <f>E152-H152</f>
        <v>1424.07</v>
      </c>
      <c r="G152" s="164">
        <f>VLOOKUP(D152,$K$11:$L$23,2,TRUE)</f>
        <v>0.04</v>
      </c>
      <c r="H152" s="110">
        <f>ROUND(I151*G152/12,2)</f>
        <v>179.76</v>
      </c>
      <c r="I152" s="110">
        <f>I151-F152</f>
        <v>52505.310000000085</v>
      </c>
    </row>
    <row r="153" spans="4:9">
      <c r="D153" s="70">
        <f>DATE(YEAR(D152),MONTH(D152)+1,DAY(D152))</f>
        <v>46336</v>
      </c>
      <c r="E153" s="110">
        <f>-ROUND($C$6,2)</f>
        <v>1603.83</v>
      </c>
      <c r="F153" s="110">
        <f>E153-H153</f>
        <v>1428.81</v>
      </c>
      <c r="G153" s="164">
        <f>VLOOKUP(D153,$K$11:$L$23,2,TRUE)</f>
        <v>0.04</v>
      </c>
      <c r="H153" s="110">
        <f>ROUND(I152*G153/12,2)</f>
        <v>175.02</v>
      </c>
      <c r="I153" s="110">
        <f>I152-F153</f>
        <v>51076.500000000087</v>
      </c>
    </row>
    <row r="154" spans="4:9">
      <c r="D154" s="70">
        <f>DATE(YEAR(D153),MONTH(D153)+1,DAY(D153))</f>
        <v>46366</v>
      </c>
      <c r="E154" s="110">
        <f>-ROUND($C$6,2)</f>
        <v>1603.83</v>
      </c>
      <c r="F154" s="110">
        <f>E154-H154</f>
        <v>1433.57</v>
      </c>
      <c r="G154" s="164">
        <f>VLOOKUP(D154,$K$11:$L$23,2,TRUE)</f>
        <v>0.04</v>
      </c>
      <c r="H154" s="110">
        <f>ROUND(I153*G154/12,2)</f>
        <v>170.26</v>
      </c>
      <c r="I154" s="110">
        <f>I153-F154</f>
        <v>49642.930000000088</v>
      </c>
    </row>
    <row r="155" spans="4:9">
      <c r="D155" s="70">
        <f>DATE(YEAR(D154),MONTH(D154)+1,DAY(D154))</f>
        <v>46397</v>
      </c>
      <c r="E155" s="110">
        <f>-ROUND($C$6,2)</f>
        <v>1603.83</v>
      </c>
      <c r="F155" s="110">
        <f>E155-H155</f>
        <v>1438.35</v>
      </c>
      <c r="G155" s="164">
        <f>VLOOKUP(D155,$K$11:$L$23,2,TRUE)</f>
        <v>0.04</v>
      </c>
      <c r="H155" s="110">
        <f>ROUND(I154*G155/12,2)</f>
        <v>165.48</v>
      </c>
      <c r="I155" s="110">
        <f>I154-F155</f>
        <v>48204.580000000089</v>
      </c>
    </row>
    <row r="156" spans="4:9">
      <c r="D156" s="70">
        <f>DATE(YEAR(D155),MONTH(D155)+1,DAY(D155))</f>
        <v>46428</v>
      </c>
      <c r="E156" s="110">
        <f>-ROUND($C$6,2)</f>
        <v>1603.83</v>
      </c>
      <c r="F156" s="110">
        <f>E156-H156</f>
        <v>1443.1499999999999</v>
      </c>
      <c r="G156" s="164">
        <f>VLOOKUP(D156,$K$11:$L$23,2,TRUE)</f>
        <v>0.04</v>
      </c>
      <c r="H156" s="110">
        <f>ROUND(I155*G156/12,2)</f>
        <v>160.68</v>
      </c>
      <c r="I156" s="110">
        <f>I155-F156</f>
        <v>46761.430000000088</v>
      </c>
    </row>
    <row r="157" spans="4:9">
      <c r="D157" s="70">
        <f>DATE(YEAR(D156),MONTH(D156)+1,DAY(D156))</f>
        <v>46456</v>
      </c>
      <c r="E157" s="110">
        <f>-ROUND($C$6,2)</f>
        <v>1603.83</v>
      </c>
      <c r="F157" s="110">
        <f>E157-H157</f>
        <v>1447.96</v>
      </c>
      <c r="G157" s="164">
        <f>VLOOKUP(D157,$K$11:$L$23,2,TRUE)</f>
        <v>0.04</v>
      </c>
      <c r="H157" s="110">
        <f>ROUND(I156*G157/12,2)</f>
        <v>155.87</v>
      </c>
      <c r="I157" s="110">
        <f>I156-F157</f>
        <v>45313.470000000088</v>
      </c>
    </row>
    <row r="158" spans="4:9">
      <c r="D158" s="70">
        <f>DATE(YEAR(D157),MONTH(D157)+1,DAY(D157))</f>
        <v>46487</v>
      </c>
      <c r="E158" s="110">
        <f>-ROUND($C$6,2)</f>
        <v>1603.83</v>
      </c>
      <c r="F158" s="110">
        <f>E158-H158</f>
        <v>1452.79</v>
      </c>
      <c r="G158" s="164">
        <f>VLOOKUP(D158,$K$11:$L$23,2,TRUE)</f>
        <v>0.04</v>
      </c>
      <c r="H158" s="110">
        <f>ROUND(I157*G158/12,2)</f>
        <v>151.04</v>
      </c>
      <c r="I158" s="110">
        <f>I157-F158</f>
        <v>43860.680000000088</v>
      </c>
    </row>
    <row r="159" spans="4:9">
      <c r="D159" s="70">
        <f>DATE(YEAR(D158),MONTH(D158)+1,DAY(D158))</f>
        <v>46517</v>
      </c>
      <c r="E159" s="110">
        <f>-ROUND($C$6,2)</f>
        <v>1603.83</v>
      </c>
      <c r="F159" s="110">
        <f>E159-H159</f>
        <v>1457.6299999999999</v>
      </c>
      <c r="G159" s="164">
        <f>VLOOKUP(D159,$K$11:$L$23,2,TRUE)</f>
        <v>0.04</v>
      </c>
      <c r="H159" s="110">
        <f>ROUND(I158*G159/12,2)</f>
        <v>146.19999999999999</v>
      </c>
      <c r="I159" s="110">
        <f>I158-F159</f>
        <v>42403.05000000009</v>
      </c>
    </row>
    <row r="160" spans="4:9">
      <c r="D160" s="70">
        <f>DATE(YEAR(D159),MONTH(D159)+1,DAY(D159))</f>
        <v>46548</v>
      </c>
      <c r="E160" s="110">
        <f>-ROUND($C$6,2)</f>
        <v>1603.83</v>
      </c>
      <c r="F160" s="110">
        <f>E160-H160</f>
        <v>1462.49</v>
      </c>
      <c r="G160" s="164">
        <f>VLOOKUP(D160,$K$11:$L$23,2,TRUE)</f>
        <v>0.04</v>
      </c>
      <c r="H160" s="110">
        <f>ROUND(I159*G160/12,2)</f>
        <v>141.34</v>
      </c>
      <c r="I160" s="110">
        <f>I159-F160</f>
        <v>40940.560000000092</v>
      </c>
    </row>
    <row r="161" spans="4:9">
      <c r="D161" s="70">
        <f>DATE(YEAR(D160),MONTH(D160)+1,DAY(D160))</f>
        <v>46578</v>
      </c>
      <c r="E161" s="110">
        <f>-ROUND($C$6,2)</f>
        <v>1603.83</v>
      </c>
      <c r="F161" s="110">
        <f>E161-H161</f>
        <v>1467.36</v>
      </c>
      <c r="G161" s="164">
        <f>VLOOKUP(D161,$K$11:$L$23,2,TRUE)</f>
        <v>0.04</v>
      </c>
      <c r="H161" s="110">
        <f>ROUND(I160*G161/12,2)</f>
        <v>136.47</v>
      </c>
      <c r="I161" s="110">
        <f>I160-F161</f>
        <v>39473.200000000092</v>
      </c>
    </row>
    <row r="162" spans="4:9">
      <c r="D162" s="70">
        <f>DATE(YEAR(D161),MONTH(D161)+1,DAY(D161))</f>
        <v>46609</v>
      </c>
      <c r="E162" s="110">
        <f>-ROUND($C$6,2)</f>
        <v>1603.83</v>
      </c>
      <c r="F162" s="110">
        <f>E162-H162</f>
        <v>1472.25</v>
      </c>
      <c r="G162" s="164">
        <f>VLOOKUP(D162,$K$11:$L$23,2,TRUE)</f>
        <v>0.04</v>
      </c>
      <c r="H162" s="110">
        <f>ROUND(I161*G162/12,2)</f>
        <v>131.58000000000001</v>
      </c>
      <c r="I162" s="110">
        <f>I161-F162</f>
        <v>38000.950000000092</v>
      </c>
    </row>
    <row r="163" spans="4:9">
      <c r="D163" s="70">
        <f>DATE(YEAR(D162),MONTH(D162)+1,DAY(D162))</f>
        <v>46640</v>
      </c>
      <c r="E163" s="110">
        <f>-ROUND($C$6,2)</f>
        <v>1603.83</v>
      </c>
      <c r="F163" s="110">
        <f>E163-H163</f>
        <v>1477.1599999999999</v>
      </c>
      <c r="G163" s="164">
        <f>VLOOKUP(D163,$K$11:$L$23,2,TRUE)</f>
        <v>0.04</v>
      </c>
      <c r="H163" s="110">
        <f>ROUND(I162*G163/12,2)</f>
        <v>126.67</v>
      </c>
      <c r="I163" s="110">
        <f>I162-F163</f>
        <v>36523.790000000095</v>
      </c>
    </row>
    <row r="164" spans="4:9">
      <c r="D164" s="70">
        <f>DATE(YEAR(D163),MONTH(D163)+1,DAY(D163))</f>
        <v>46670</v>
      </c>
      <c r="E164" s="110">
        <f>-ROUND($C$6,2)</f>
        <v>1603.83</v>
      </c>
      <c r="F164" s="110">
        <f>E164-H164</f>
        <v>1482.08</v>
      </c>
      <c r="G164" s="164">
        <f>VLOOKUP(D164,$K$11:$L$23,2,TRUE)</f>
        <v>0.04</v>
      </c>
      <c r="H164" s="110">
        <f>ROUND(I163*G164/12,2)</f>
        <v>121.75</v>
      </c>
      <c r="I164" s="110">
        <f>I163-F164</f>
        <v>35041.710000000094</v>
      </c>
    </row>
    <row r="165" spans="4:9">
      <c r="D165" s="70">
        <f>DATE(YEAR(D164),MONTH(D164)+1,DAY(D164))</f>
        <v>46701</v>
      </c>
      <c r="E165" s="110">
        <f>-ROUND($C$6,2)</f>
        <v>1603.83</v>
      </c>
      <c r="F165" s="110">
        <f>E165-H165</f>
        <v>1487.02</v>
      </c>
      <c r="G165" s="164">
        <f>VLOOKUP(D165,$K$11:$L$23,2,TRUE)</f>
        <v>0.04</v>
      </c>
      <c r="H165" s="110">
        <f>ROUND(I164*G165/12,2)</f>
        <v>116.81</v>
      </c>
      <c r="I165" s="110">
        <f>I164-F165</f>
        <v>33554.690000000097</v>
      </c>
    </row>
    <row r="166" spans="4:9">
      <c r="D166" s="70">
        <f>DATE(YEAR(D165),MONTH(D165)+1,DAY(D165))</f>
        <v>46731</v>
      </c>
      <c r="E166" s="110">
        <f>-ROUND($C$6,2)</f>
        <v>1603.83</v>
      </c>
      <c r="F166" s="110">
        <f>E166-H166</f>
        <v>1491.98</v>
      </c>
      <c r="G166" s="164">
        <f>VLOOKUP(D166,$K$11:$L$23,2,TRUE)</f>
        <v>0.04</v>
      </c>
      <c r="H166" s="110">
        <f>ROUND(I165*G166/12,2)</f>
        <v>111.85</v>
      </c>
      <c r="I166" s="110">
        <f>I165-F166</f>
        <v>32062.710000000097</v>
      </c>
    </row>
    <row r="167" spans="4:9">
      <c r="D167" s="70">
        <f>DATE(YEAR(D166),MONTH(D166)+1,DAY(D166))</f>
        <v>46762</v>
      </c>
      <c r="E167" s="110">
        <f>-ROUND($C$6,2)</f>
        <v>1603.83</v>
      </c>
      <c r="F167" s="110">
        <f>E167-H167</f>
        <v>1496.9499999999998</v>
      </c>
      <c r="G167" s="164">
        <f>VLOOKUP(D167,$K$11:$L$23,2,TRUE)</f>
        <v>0.04</v>
      </c>
      <c r="H167" s="110">
        <f>ROUND(I166*G167/12,2)</f>
        <v>106.88</v>
      </c>
      <c r="I167" s="110">
        <f>I166-F167</f>
        <v>30565.760000000097</v>
      </c>
    </row>
    <row r="168" spans="4:9">
      <c r="D168" s="70">
        <f>DATE(YEAR(D167),MONTH(D167)+1,DAY(D167))</f>
        <v>46793</v>
      </c>
      <c r="E168" s="110">
        <f>-ROUND($C$6,2)</f>
        <v>1603.83</v>
      </c>
      <c r="F168" s="110">
        <f>E168-H168</f>
        <v>1501.9399999999998</v>
      </c>
      <c r="G168" s="164">
        <f>VLOOKUP(D168,$K$11:$L$23,2,TRUE)</f>
        <v>0.04</v>
      </c>
      <c r="H168" s="110">
        <f>ROUND(I167*G168/12,2)</f>
        <v>101.89</v>
      </c>
      <c r="I168" s="110">
        <f>I167-F168</f>
        <v>29063.820000000098</v>
      </c>
    </row>
    <row r="169" spans="4:9">
      <c r="D169" s="70">
        <f>DATE(YEAR(D168),MONTH(D168)+1,DAY(D168))</f>
        <v>46822</v>
      </c>
      <c r="E169" s="110">
        <f>-ROUND($C$6,2)</f>
        <v>1603.83</v>
      </c>
      <c r="F169" s="110">
        <f>E169-H169</f>
        <v>1506.9499999999998</v>
      </c>
      <c r="G169" s="164">
        <f>VLOOKUP(D169,$K$11:$L$23,2,TRUE)</f>
        <v>0.04</v>
      </c>
      <c r="H169" s="110">
        <f>ROUND(I168*G169/12,2)</f>
        <v>96.88</v>
      </c>
      <c r="I169" s="110">
        <f>I168-F169</f>
        <v>27556.870000000097</v>
      </c>
    </row>
    <row r="170" spans="4:9">
      <c r="D170" s="70">
        <f>DATE(YEAR(D169),MONTH(D169)+1,DAY(D169))</f>
        <v>46853</v>
      </c>
      <c r="E170" s="110">
        <f>-ROUND($C$6,2)</f>
        <v>1603.83</v>
      </c>
      <c r="F170" s="110">
        <f>E170-H170</f>
        <v>1511.97</v>
      </c>
      <c r="G170" s="164">
        <f>VLOOKUP(D170,$K$11:$L$23,2,TRUE)</f>
        <v>0.04</v>
      </c>
      <c r="H170" s="110">
        <f>ROUND(I169*G170/12,2)</f>
        <v>91.86</v>
      </c>
      <c r="I170" s="110">
        <f>I169-F170</f>
        <v>26044.900000000096</v>
      </c>
    </row>
    <row r="171" spans="4:9">
      <c r="D171" s="70">
        <f>DATE(YEAR(D170),MONTH(D170)+1,DAY(D170))</f>
        <v>46883</v>
      </c>
      <c r="E171" s="110">
        <f>-ROUND($C$6,2)</f>
        <v>1603.83</v>
      </c>
      <c r="F171" s="110">
        <f>E171-H171</f>
        <v>1517.01</v>
      </c>
      <c r="G171" s="164">
        <f>VLOOKUP(D171,$K$11:$L$23,2,TRUE)</f>
        <v>0.04</v>
      </c>
      <c r="H171" s="110">
        <f>ROUND(I170*G171/12,2)</f>
        <v>86.82</v>
      </c>
      <c r="I171" s="110">
        <f>I170-F171</f>
        <v>24527.890000000098</v>
      </c>
    </row>
    <row r="172" spans="4:9">
      <c r="D172" s="70">
        <f>DATE(YEAR(D171),MONTH(D171)+1,DAY(D171))</f>
        <v>46914</v>
      </c>
      <c r="E172" s="110">
        <f>-ROUND($C$6,2)</f>
        <v>1603.83</v>
      </c>
      <c r="F172" s="110">
        <f>E172-H172</f>
        <v>1522.07</v>
      </c>
      <c r="G172" s="164">
        <f>VLOOKUP(D172,$K$11:$L$23,2,TRUE)</f>
        <v>0.04</v>
      </c>
      <c r="H172" s="110">
        <f>ROUND(I171*G172/12,2)</f>
        <v>81.760000000000005</v>
      </c>
      <c r="I172" s="110">
        <f>I171-F172</f>
        <v>23005.820000000098</v>
      </c>
    </row>
    <row r="173" spans="4:9">
      <c r="D173" s="70">
        <f>DATE(YEAR(D172),MONTH(D172)+1,DAY(D172))</f>
        <v>46944</v>
      </c>
      <c r="E173" s="110">
        <f>-ROUND($C$6,2)</f>
        <v>1603.83</v>
      </c>
      <c r="F173" s="110">
        <f>E173-H173</f>
        <v>1527.1399999999999</v>
      </c>
      <c r="G173" s="164">
        <f>VLOOKUP(D173,$K$11:$L$23,2,TRUE)</f>
        <v>0.04</v>
      </c>
      <c r="H173" s="110">
        <f>ROUND(I172*G173/12,2)</f>
        <v>76.69</v>
      </c>
      <c r="I173" s="110">
        <f>I172-F173</f>
        <v>21478.680000000099</v>
      </c>
    </row>
    <row r="174" spans="4:9">
      <c r="D174" s="70">
        <f>DATE(YEAR(D173),MONTH(D173)+1,DAY(D173))</f>
        <v>46975</v>
      </c>
      <c r="E174" s="110">
        <f>-ROUND($C$6,2)</f>
        <v>1603.83</v>
      </c>
      <c r="F174" s="110">
        <f>E174-H174</f>
        <v>1532.23</v>
      </c>
      <c r="G174" s="164">
        <f>VLOOKUP(D174,$K$11:$L$23,2,TRUE)</f>
        <v>0.04</v>
      </c>
      <c r="H174" s="110">
        <f>ROUND(I173*G174/12,2)</f>
        <v>71.599999999999994</v>
      </c>
      <c r="I174" s="110">
        <f>I173-F174</f>
        <v>19946.450000000099</v>
      </c>
    </row>
    <row r="175" spans="4:9">
      <c r="D175" s="70">
        <f>DATE(YEAR(D174),MONTH(D174)+1,DAY(D174))</f>
        <v>47006</v>
      </c>
      <c r="E175" s="110">
        <f>-ROUND($C$6,2)</f>
        <v>1603.83</v>
      </c>
      <c r="F175" s="110">
        <f>E175-H175</f>
        <v>1537.34</v>
      </c>
      <c r="G175" s="164">
        <f>VLOOKUP(D175,$K$11:$L$23,2,TRUE)</f>
        <v>0.04</v>
      </c>
      <c r="H175" s="110">
        <f>ROUND(I174*G175/12,2)</f>
        <v>66.489999999999995</v>
      </c>
      <c r="I175" s="110">
        <f>I174-F175</f>
        <v>18409.110000000099</v>
      </c>
    </row>
    <row r="176" spans="4:9">
      <c r="D176" s="70">
        <f>DATE(YEAR(D175),MONTH(D175)+1,DAY(D175))</f>
        <v>47036</v>
      </c>
      <c r="E176" s="110">
        <f>-ROUND($C$6,2)</f>
        <v>1603.83</v>
      </c>
      <c r="F176" s="110">
        <f>E176-H176</f>
        <v>1542.47</v>
      </c>
      <c r="G176" s="164">
        <f>VLOOKUP(D176,$K$11:$L$23,2,TRUE)</f>
        <v>0.04</v>
      </c>
      <c r="H176" s="110">
        <f>ROUND(I175*G176/12,2)</f>
        <v>61.36</v>
      </c>
      <c r="I176" s="110">
        <f>I175-F176</f>
        <v>16866.640000000098</v>
      </c>
    </row>
    <row r="177" spans="4:9">
      <c r="D177" s="70">
        <f>DATE(YEAR(D176),MONTH(D176)+1,DAY(D176))</f>
        <v>47067</v>
      </c>
      <c r="E177" s="110">
        <f>-ROUND($C$6,2)</f>
        <v>1603.83</v>
      </c>
      <c r="F177" s="110">
        <f>E177-H177</f>
        <v>1547.61</v>
      </c>
      <c r="G177" s="164">
        <f>VLOOKUP(D177,$K$11:$L$23,2,TRUE)</f>
        <v>0.04</v>
      </c>
      <c r="H177" s="110">
        <f>ROUND(I176*G177/12,2)</f>
        <v>56.22</v>
      </c>
      <c r="I177" s="110">
        <f>I176-F177</f>
        <v>15319.030000000097</v>
      </c>
    </row>
    <row r="178" spans="4:9">
      <c r="D178" s="70">
        <f>DATE(YEAR(D177),MONTH(D177)+1,DAY(D177))</f>
        <v>47097</v>
      </c>
      <c r="E178" s="110">
        <f>-ROUND($C$6,2)</f>
        <v>1603.83</v>
      </c>
      <c r="F178" s="110">
        <f>E178-H178</f>
        <v>1552.77</v>
      </c>
      <c r="G178" s="164">
        <f>VLOOKUP(D178,$K$11:$L$23,2,TRUE)</f>
        <v>0.04</v>
      </c>
      <c r="H178" s="110">
        <f>ROUND(I177*G178/12,2)</f>
        <v>51.06</v>
      </c>
      <c r="I178" s="110">
        <f>I177-F178</f>
        <v>13766.260000000097</v>
      </c>
    </row>
    <row r="179" spans="4:9">
      <c r="D179" s="70">
        <f>DATE(YEAR(D178),MONTH(D178)+1,DAY(D178))</f>
        <v>47128</v>
      </c>
      <c r="E179" s="110">
        <f>-ROUND($C$6,2)</f>
        <v>1603.83</v>
      </c>
      <c r="F179" s="110">
        <f>E179-H179</f>
        <v>1557.9399999999998</v>
      </c>
      <c r="G179" s="164">
        <f>VLOOKUP(D179,$K$11:$L$23,2,TRUE)</f>
        <v>0.04</v>
      </c>
      <c r="H179" s="110">
        <f>ROUND(I178*G179/12,2)</f>
        <v>45.89</v>
      </c>
      <c r="I179" s="110">
        <f>I178-F179</f>
        <v>12208.320000000096</v>
      </c>
    </row>
    <row r="180" spans="4:9">
      <c r="D180" s="70">
        <f>DATE(YEAR(D179),MONTH(D179)+1,DAY(D179))</f>
        <v>47159</v>
      </c>
      <c r="E180" s="110">
        <f>-ROUND($C$6,2)</f>
        <v>1603.83</v>
      </c>
      <c r="F180" s="110">
        <f>E180-H180</f>
        <v>1563.1399999999999</v>
      </c>
      <c r="G180" s="164">
        <f>VLOOKUP(D180,$K$11:$L$23,2,TRUE)</f>
        <v>0.04</v>
      </c>
      <c r="H180" s="110">
        <f>ROUND(I179*G180/12,2)</f>
        <v>40.69</v>
      </c>
      <c r="I180" s="110">
        <f>I179-F180</f>
        <v>10645.180000000097</v>
      </c>
    </row>
    <row r="181" spans="4:9">
      <c r="D181" s="70">
        <f>DATE(YEAR(D180),MONTH(D180)+1,DAY(D180))</f>
        <v>47187</v>
      </c>
      <c r="E181" s="110">
        <f>-ROUND($C$6,2)</f>
        <v>1603.83</v>
      </c>
      <c r="F181" s="110">
        <f>E181-H181</f>
        <v>1568.35</v>
      </c>
      <c r="G181" s="164">
        <f>VLOOKUP(D181,$K$11:$L$23,2,TRUE)</f>
        <v>0.04</v>
      </c>
      <c r="H181" s="110">
        <f>ROUND(I180*G181/12,2)</f>
        <v>35.479999999999997</v>
      </c>
      <c r="I181" s="110">
        <f>I180-F181</f>
        <v>9076.8300000000963</v>
      </c>
    </row>
    <row r="182" spans="4:9">
      <c r="D182" s="70">
        <f>DATE(YEAR(D181),MONTH(D181)+1,DAY(D181))</f>
        <v>47218</v>
      </c>
      <c r="E182" s="110">
        <f>-ROUND($C$6,2)</f>
        <v>1603.83</v>
      </c>
      <c r="F182" s="110">
        <f>E182-H182</f>
        <v>1573.57</v>
      </c>
      <c r="G182" s="164">
        <f>VLOOKUP(D182,$K$11:$L$23,2,TRUE)</f>
        <v>0.04</v>
      </c>
      <c r="H182" s="110">
        <f>ROUND(I181*G182/12,2)</f>
        <v>30.26</v>
      </c>
      <c r="I182" s="110">
        <f>I181-F182</f>
        <v>7503.2600000000966</v>
      </c>
    </row>
    <row r="183" spans="4:9">
      <c r="D183" s="70">
        <f>DATE(YEAR(D182),MONTH(D182)+1,DAY(D182))</f>
        <v>47248</v>
      </c>
      <c r="E183" s="110">
        <f>-ROUND($C$6,2)</f>
        <v>1603.83</v>
      </c>
      <c r="F183" s="110">
        <f>E183-H183</f>
        <v>1578.82</v>
      </c>
      <c r="G183" s="164">
        <f>VLOOKUP(D183,$K$11:$L$23,2,TRUE)</f>
        <v>0.04</v>
      </c>
      <c r="H183" s="110">
        <f>ROUND(I182*G183/12,2)</f>
        <v>25.01</v>
      </c>
      <c r="I183" s="110">
        <f>I182-F183</f>
        <v>5924.4400000000969</v>
      </c>
    </row>
    <row r="184" spans="4:9">
      <c r="D184" s="70">
        <f>DATE(YEAR(D183),MONTH(D183)+1,DAY(D183))</f>
        <v>47279</v>
      </c>
      <c r="E184" s="110">
        <f>-ROUND($C$6,2)</f>
        <v>1603.83</v>
      </c>
      <c r="F184" s="110">
        <f>E184-H184</f>
        <v>1584.08</v>
      </c>
      <c r="G184" s="164">
        <f>VLOOKUP(D184,$K$11:$L$23,2,TRUE)</f>
        <v>0.04</v>
      </c>
      <c r="H184" s="110">
        <f>ROUND(I183*G184/12,2)</f>
        <v>19.75</v>
      </c>
      <c r="I184" s="110">
        <f>I183-F184</f>
        <v>4340.360000000097</v>
      </c>
    </row>
    <row r="185" spans="4:9">
      <c r="D185" s="70">
        <f>DATE(YEAR(D184),MONTH(D184)+1,DAY(D184))</f>
        <v>47309</v>
      </c>
      <c r="E185" s="110">
        <f>-ROUND($C$6,2)</f>
        <v>1603.83</v>
      </c>
      <c r="F185" s="110">
        <f>E185-H185</f>
        <v>1589.36</v>
      </c>
      <c r="G185" s="164">
        <f>VLOOKUP(D185,$K$11:$L$23,2,TRUE)</f>
        <v>0.04</v>
      </c>
      <c r="H185" s="110">
        <f>ROUND(I184*G185/12,2)</f>
        <v>14.47</v>
      </c>
      <c r="I185" s="110">
        <f>I184-F185</f>
        <v>2751.0000000000973</v>
      </c>
    </row>
    <row r="186" spans="4:9">
      <c r="D186" s="70">
        <f>DATE(YEAR(D185),MONTH(D185)+1,DAY(D185))</f>
        <v>47340</v>
      </c>
      <c r="E186" s="110">
        <f>-ROUND($C$6,2)</f>
        <v>1603.83</v>
      </c>
      <c r="F186" s="110">
        <f>E186-H186</f>
        <v>1594.6599999999999</v>
      </c>
      <c r="G186" s="164">
        <f>VLOOKUP(D186,$K$11:$L$23,2,TRUE)</f>
        <v>0.04</v>
      </c>
      <c r="H186" s="110">
        <f>ROUND(I185*G186/12,2)</f>
        <v>9.17</v>
      </c>
      <c r="I186" s="110">
        <f>I185-F186</f>
        <v>1156.3400000000975</v>
      </c>
    </row>
    <row r="187" spans="4:9">
      <c r="D187" s="70">
        <f>DATE(YEAR(D186),MONTH(D186)+1,DAY(D186))</f>
        <v>47371</v>
      </c>
      <c r="E187" s="110">
        <f>-ROUND($C$6,2)</f>
        <v>1603.83</v>
      </c>
      <c r="F187" s="110">
        <f>E187-H187</f>
        <v>1599.98</v>
      </c>
      <c r="G187" s="164">
        <f>VLOOKUP(D187,$K$11:$L$23,2,TRUE)</f>
        <v>0.04</v>
      </c>
      <c r="H187" s="110">
        <f>ROUND(I186*G187/12,2)</f>
        <v>3.85</v>
      </c>
      <c r="I187" s="110">
        <f>I186-F187</f>
        <v>-443.63999999990256</v>
      </c>
    </row>
    <row r="188" spans="4:9">
      <c r="D188" s="70">
        <f>DATE(YEAR(D187),MONTH(D187)+1,DAY(D187))</f>
        <v>47401</v>
      </c>
      <c r="E188" s="110">
        <f>-ROUND($C$6,2)</f>
        <v>1603.83</v>
      </c>
      <c r="F188" s="110">
        <f>E188-H188</f>
        <v>1605.31</v>
      </c>
      <c r="G188" s="164">
        <f>VLOOKUP(D188,$K$11:$L$23,2,TRUE)</f>
        <v>0.04</v>
      </c>
      <c r="H188" s="110">
        <f>ROUND(I187*G188/12,2)</f>
        <v>-1.48</v>
      </c>
      <c r="I188" s="110">
        <f>I187-F188</f>
        <v>-2048.9499999999025</v>
      </c>
    </row>
    <row r="189" spans="4:9">
      <c r="D189" s="70">
        <f>DATE(YEAR(D188),MONTH(D188)+1,DAY(D188))</f>
        <v>47432</v>
      </c>
      <c r="E189" s="110">
        <f>-ROUND($C$6,2)</f>
        <v>1603.83</v>
      </c>
      <c r="F189" s="110">
        <f>E189-H189</f>
        <v>1610.6599999999999</v>
      </c>
      <c r="G189" s="164">
        <f>VLOOKUP(D189,$K$11:$L$23,2,TRUE)</f>
        <v>0.04</v>
      </c>
      <c r="H189" s="110">
        <f>ROUND(I188*G189/12,2)</f>
        <v>-6.83</v>
      </c>
      <c r="I189" s="110">
        <f>I188-F189</f>
        <v>-3659.6099999999024</v>
      </c>
    </row>
    <row r="190" spans="4:9">
      <c r="D190" s="70">
        <f>DATE(YEAR(D189),MONTH(D189)+1,DAY(D189))</f>
        <v>47462</v>
      </c>
      <c r="E190" s="110">
        <f>-ROUND($C$6,2)</f>
        <v>1603.83</v>
      </c>
      <c r="F190" s="110">
        <f>E190-H190</f>
        <v>1616.03</v>
      </c>
      <c r="G190" s="164">
        <f>VLOOKUP(D190,$K$11:$L$23,2,TRUE)</f>
        <v>0.04</v>
      </c>
      <c r="H190" s="110">
        <f>ROUND(I189*G190/12,2)</f>
        <v>-12.2</v>
      </c>
      <c r="I190" s="110">
        <f>I189-F190</f>
        <v>-5275.6399999999021</v>
      </c>
    </row>
    <row r="191" spans="4:9">
      <c r="D191" s="70">
        <f>DATE(YEAR(D190),MONTH(D190)+1,DAY(D190))</f>
        <v>47493</v>
      </c>
      <c r="E191" s="110">
        <f>-ROUND($C$6,2)</f>
        <v>1603.83</v>
      </c>
      <c r="F191" s="110">
        <f>E191-H191</f>
        <v>1621.4199999999998</v>
      </c>
      <c r="G191" s="164">
        <f>VLOOKUP(D191,$K$11:$L$23,2,TRUE)</f>
        <v>0.04</v>
      </c>
      <c r="H191" s="110">
        <f>ROUND(I190*G191/12,2)</f>
        <v>-17.59</v>
      </c>
      <c r="I191" s="110">
        <f>I190-F191</f>
        <v>-6897.0599999999022</v>
      </c>
    </row>
    <row r="192" spans="4:9">
      <c r="D192" s="70">
        <f>DATE(YEAR(D191),MONTH(D191)+1,DAY(D191))</f>
        <v>47524</v>
      </c>
      <c r="E192" s="110">
        <f>-ROUND($C$6,2)</f>
        <v>1603.83</v>
      </c>
      <c r="F192" s="110">
        <f>E192-H192</f>
        <v>1626.82</v>
      </c>
      <c r="G192" s="164">
        <f>VLOOKUP(D192,$K$11:$L$23,2,TRUE)</f>
        <v>0.04</v>
      </c>
      <c r="H192" s="110">
        <f>ROUND(I191*G192/12,2)</f>
        <v>-22.99</v>
      </c>
      <c r="I192" s="110">
        <f>I191-F192</f>
        <v>-8523.8799999999028</v>
      </c>
    </row>
    <row r="193" spans="4:9">
      <c r="D193" s="70">
        <f>DATE(YEAR(D192),MONTH(D192)+1,DAY(D192))</f>
        <v>47552</v>
      </c>
      <c r="E193" s="110">
        <f>-ROUND($C$6,2)</f>
        <v>1603.83</v>
      </c>
      <c r="F193" s="110">
        <f>E193-H193</f>
        <v>1632.24</v>
      </c>
      <c r="G193" s="164">
        <f>VLOOKUP(D193,$K$11:$L$23,2,TRUE)</f>
        <v>0.04</v>
      </c>
      <c r="H193" s="110">
        <f>ROUND(I192*G193/12,2)</f>
        <v>-28.41</v>
      </c>
      <c r="I193" s="110">
        <f>I192-F193</f>
        <v>-10156.119999999903</v>
      </c>
    </row>
    <row r="194" spans="4:9">
      <c r="D194" s="70">
        <f>DATE(YEAR(D193),MONTH(D193)+1,DAY(D193))</f>
        <v>47583</v>
      </c>
      <c r="E194" s="110">
        <f>-ROUND($C$6,2)</f>
        <v>1603.83</v>
      </c>
      <c r="F194" s="110">
        <f>E194-H194</f>
        <v>1637.6799999999998</v>
      </c>
      <c r="G194" s="164">
        <f>VLOOKUP(D194,$K$11:$L$23,2,TRUE)</f>
        <v>0.04</v>
      </c>
      <c r="H194" s="110">
        <f>ROUND(I193*G194/12,2)</f>
        <v>-33.85</v>
      </c>
      <c r="I194" s="110">
        <f>I193-F194</f>
        <v>-11793.799999999903</v>
      </c>
    </row>
    <row r="195" spans="4:9">
      <c r="D195" s="70">
        <f>DATE(YEAR(D194),MONTH(D194)+1,DAY(D194))</f>
        <v>47613</v>
      </c>
      <c r="E195" s="110">
        <f>-ROUND($C$6,2)</f>
        <v>1603.83</v>
      </c>
      <c r="F195" s="110">
        <f>E195-H195</f>
        <v>1643.1399999999999</v>
      </c>
      <c r="G195" s="164">
        <f>VLOOKUP(D195,$K$11:$L$23,2,TRUE)</f>
        <v>0.04</v>
      </c>
      <c r="H195" s="110">
        <f>ROUND(I194*G195/12,2)</f>
        <v>-39.31</v>
      </c>
      <c r="I195" s="110">
        <f>I194-F195</f>
        <v>-13436.939999999902</v>
      </c>
    </row>
    <row r="196" spans="4:9">
      <c r="D196" s="70">
        <f>DATE(YEAR(D195),MONTH(D195)+1,DAY(D195))</f>
        <v>47644</v>
      </c>
      <c r="E196" s="110">
        <f>-ROUND($C$6,2)</f>
        <v>1603.83</v>
      </c>
      <c r="F196" s="110">
        <f>E196-H196</f>
        <v>1648.62</v>
      </c>
      <c r="G196" s="164">
        <f>VLOOKUP(D196,$K$11:$L$23,2,TRUE)</f>
        <v>0.04</v>
      </c>
      <c r="H196" s="110">
        <f>ROUND(I195*G196/12,2)</f>
        <v>-44.79</v>
      </c>
      <c r="I196" s="110">
        <f>I195-F196</f>
        <v>-15085.559999999903</v>
      </c>
    </row>
    <row r="197" spans="4:9">
      <c r="D197" s="70">
        <f>DATE(YEAR(D196),MONTH(D196)+1,DAY(D196))</f>
        <v>47674</v>
      </c>
      <c r="E197" s="110">
        <f>-ROUND($C$6,2)</f>
        <v>1603.83</v>
      </c>
      <c r="F197" s="110">
        <f>E197-H197</f>
        <v>1654.12</v>
      </c>
      <c r="G197" s="164">
        <f>VLOOKUP(D197,$K$11:$L$23,2,TRUE)</f>
        <v>0.04</v>
      </c>
      <c r="H197" s="110">
        <f>ROUND(I196*G197/12,2)</f>
        <v>-50.29</v>
      </c>
      <c r="I197" s="110">
        <f>I196-F197</f>
        <v>-16739.679999999902</v>
      </c>
    </row>
    <row r="198" spans="4:9">
      <c r="D198" s="70">
        <f>DATE(YEAR(D197),MONTH(D197)+1,DAY(D197))</f>
        <v>47705</v>
      </c>
      <c r="E198" s="110">
        <f>-ROUND($C$6,2)</f>
        <v>1603.83</v>
      </c>
      <c r="F198" s="110">
        <f>E198-H198</f>
        <v>1659.6299999999999</v>
      </c>
      <c r="G198" s="164">
        <f>VLOOKUP(D198,$K$11:$L$23,2,TRUE)</f>
        <v>0.04</v>
      </c>
      <c r="H198" s="110">
        <f>ROUND(I197*G198/12,2)</f>
        <v>-55.8</v>
      </c>
      <c r="I198" s="110">
        <f>I197-F198</f>
        <v>-18399.309999999903</v>
      </c>
    </row>
    <row r="199" spans="4:9">
      <c r="D199" s="70">
        <f>DATE(YEAR(D198),MONTH(D198)+1,DAY(D198))</f>
        <v>47736</v>
      </c>
      <c r="E199" s="110">
        <f>-ROUND($C$6,2)</f>
        <v>1603.83</v>
      </c>
      <c r="F199" s="110">
        <f>E199-H199</f>
        <v>1665.1599999999999</v>
      </c>
      <c r="G199" s="164">
        <f>VLOOKUP(D199,$K$11:$L$23,2,TRUE)</f>
        <v>0.04</v>
      </c>
      <c r="H199" s="110">
        <f>ROUND(I198*G199/12,2)</f>
        <v>-61.33</v>
      </c>
      <c r="I199" s="110">
        <f>I198-F199</f>
        <v>-20064.469999999903</v>
      </c>
    </row>
    <row r="200" spans="4:9">
      <c r="D200" s="70">
        <f>DATE(YEAR(D199),MONTH(D199)+1,DAY(D199))</f>
        <v>47766</v>
      </c>
      <c r="E200" s="110">
        <f>-ROUND($C$6,2)</f>
        <v>1603.83</v>
      </c>
      <c r="F200" s="110">
        <f>E200-H200</f>
        <v>1670.71</v>
      </c>
      <c r="G200" s="164">
        <f>VLOOKUP(D200,$K$11:$L$23,2,TRUE)</f>
        <v>0.04</v>
      </c>
      <c r="H200" s="110">
        <f>ROUND(I199*G200/12,2)</f>
        <v>-66.88</v>
      </c>
      <c r="I200" s="110">
        <f>I199-F200</f>
        <v>-21735.179999999902</v>
      </c>
    </row>
    <row r="201" spans="4:9">
      <c r="D201" s="70">
        <f>DATE(YEAR(D200),MONTH(D200)+1,DAY(D200))</f>
        <v>47797</v>
      </c>
      <c r="E201" s="110">
        <f>-ROUND($C$6,2)</f>
        <v>1603.83</v>
      </c>
      <c r="F201" s="110">
        <f>E201-H201</f>
        <v>1676.28</v>
      </c>
      <c r="G201" s="164">
        <f>VLOOKUP(D201,$K$11:$L$23,2,TRUE)</f>
        <v>0.04</v>
      </c>
      <c r="H201" s="110">
        <f>ROUND(I200*G201/12,2)</f>
        <v>-72.45</v>
      </c>
      <c r="I201" s="110">
        <f>I200-F201</f>
        <v>-23411.459999999901</v>
      </c>
    </row>
    <row r="202" spans="4:9">
      <c r="D202" s="70">
        <f>DATE(YEAR(D201),MONTH(D201)+1,DAY(D201))</f>
        <v>47827</v>
      </c>
      <c r="E202" s="110">
        <f>-ROUND($C$6,2)</f>
        <v>1603.83</v>
      </c>
      <c r="F202" s="110">
        <f>E202-H202</f>
        <v>1681.87</v>
      </c>
      <c r="G202" s="164">
        <f>VLOOKUP(D202,$K$11:$L$23,2,TRUE)</f>
        <v>0.04</v>
      </c>
      <c r="H202" s="110">
        <f>ROUND(I201*G202/12,2)</f>
        <v>-78.040000000000006</v>
      </c>
      <c r="I202" s="110">
        <f>I201-F202</f>
        <v>-25093.3299999999</v>
      </c>
    </row>
    <row r="203" spans="4:9">
      <c r="D203" s="70">
        <f>DATE(YEAR(D202),MONTH(D202)+1,DAY(D202))</f>
        <v>47858</v>
      </c>
      <c r="E203" s="110">
        <f>-ROUND($C$6,2)</f>
        <v>1603.83</v>
      </c>
      <c r="F203" s="110">
        <f>E203-H203</f>
        <v>1687.47</v>
      </c>
      <c r="G203" s="164">
        <f>VLOOKUP(D203,$K$11:$L$23,2,TRUE)</f>
        <v>0.04</v>
      </c>
      <c r="H203" s="110">
        <f>ROUND(I202*G203/12,2)</f>
        <v>-83.64</v>
      </c>
      <c r="I203" s="110">
        <f>I202-F203</f>
        <v>-26780.799999999901</v>
      </c>
    </row>
    <row r="204" spans="4:9">
      <c r="D204" s="70">
        <f>DATE(YEAR(D203),MONTH(D203)+1,DAY(D203))</f>
        <v>47889</v>
      </c>
      <c r="E204" s="110">
        <f>-ROUND($C$6,2)</f>
        <v>1603.83</v>
      </c>
      <c r="F204" s="110">
        <f>E204-H204</f>
        <v>1693.1</v>
      </c>
      <c r="G204" s="164">
        <f>VLOOKUP(D204,$K$11:$L$23,2,TRUE)</f>
        <v>0.04</v>
      </c>
      <c r="H204" s="110">
        <f>ROUND(I203*G204/12,2)</f>
        <v>-89.27</v>
      </c>
      <c r="I204" s="110">
        <f>I203-F204</f>
        <v>-28473.8999999999</v>
      </c>
    </row>
    <row r="205" spans="4:9">
      <c r="D205" s="70">
        <f>DATE(YEAR(D204),MONTH(D204)+1,DAY(D204))</f>
        <v>47917</v>
      </c>
      <c r="E205" s="110">
        <f>-ROUND($C$6,2)</f>
        <v>1603.83</v>
      </c>
      <c r="F205" s="110">
        <f>E205-H205</f>
        <v>1698.74</v>
      </c>
      <c r="G205" s="164">
        <f>VLOOKUP(D205,$K$11:$L$23,2,TRUE)</f>
        <v>0.04</v>
      </c>
      <c r="H205" s="110">
        <f>ROUND(I204*G205/12,2)</f>
        <v>-94.91</v>
      </c>
      <c r="I205" s="110">
        <f>I204-F205</f>
        <v>-30172.639999999901</v>
      </c>
    </row>
    <row r="206" spans="4:9">
      <c r="D206" s="70">
        <f>DATE(YEAR(D205),MONTH(D205)+1,DAY(D205))</f>
        <v>47948</v>
      </c>
      <c r="E206" s="110">
        <f>-ROUND($C$6,2)</f>
        <v>1603.83</v>
      </c>
      <c r="F206" s="110">
        <f>E206-H206</f>
        <v>1704.4099999999999</v>
      </c>
      <c r="G206" s="164">
        <f>VLOOKUP(D206,$K$11:$L$23,2,TRUE)</f>
        <v>0.04</v>
      </c>
      <c r="H206" s="110">
        <f>ROUND(I205*G206/12,2)</f>
        <v>-100.58</v>
      </c>
      <c r="I206" s="110">
        <f>I205-F206</f>
        <v>-31877.049999999901</v>
      </c>
    </row>
    <row r="207" spans="4:9">
      <c r="D207" s="70">
        <f>DATE(YEAR(D206),MONTH(D206)+1,DAY(D206))</f>
        <v>47978</v>
      </c>
      <c r="E207" s="110">
        <f>-ROUND($C$6,2)</f>
        <v>1603.83</v>
      </c>
      <c r="F207" s="110">
        <f>E207-H207</f>
        <v>1710.09</v>
      </c>
      <c r="G207" s="164">
        <f>VLOOKUP(D207,$K$11:$L$23,2,TRUE)</f>
        <v>0.04</v>
      </c>
      <c r="H207" s="110">
        <f>ROUND(I206*G207/12,2)</f>
        <v>-106.26</v>
      </c>
      <c r="I207" s="110">
        <f>I206-F207</f>
        <v>-33587.139999999898</v>
      </c>
    </row>
    <row r="208" spans="4:9">
      <c r="D208" s="70">
        <f>DATE(YEAR(D207),MONTH(D207)+1,DAY(D207))</f>
        <v>48009</v>
      </c>
      <c r="E208" s="110">
        <f>-ROUND($C$6,2)</f>
        <v>1603.83</v>
      </c>
      <c r="F208" s="110">
        <f>E208-H208</f>
        <v>1715.79</v>
      </c>
      <c r="G208" s="164">
        <f>VLOOKUP(D208,$K$11:$L$23,2,TRUE)</f>
        <v>0.04</v>
      </c>
      <c r="H208" s="110">
        <f>ROUND(I207*G208/12,2)</f>
        <v>-111.96</v>
      </c>
      <c r="I208" s="110">
        <f>I207-F208</f>
        <v>-35302.929999999898</v>
      </c>
    </row>
    <row r="209" spans="4:9">
      <c r="D209" s="70">
        <f>DATE(YEAR(D208),MONTH(D208)+1,DAY(D208))</f>
        <v>48039</v>
      </c>
      <c r="E209" s="110">
        <f>-ROUND($C$6,2)</f>
        <v>1603.83</v>
      </c>
      <c r="F209" s="110">
        <f>E209-H209</f>
        <v>1721.51</v>
      </c>
      <c r="G209" s="164">
        <f>VLOOKUP(D209,$K$11:$L$23,2,TRUE)</f>
        <v>0.04</v>
      </c>
      <c r="H209" s="110">
        <f>ROUND(I208*G209/12,2)</f>
        <v>-117.68</v>
      </c>
      <c r="I209" s="110">
        <f>I208-F209</f>
        <v>-37024.4399999999</v>
      </c>
    </row>
    <row r="210" spans="4:9">
      <c r="D210" s="70">
        <f>DATE(YEAR(D209),MONTH(D209)+1,DAY(D209))</f>
        <v>48070</v>
      </c>
      <c r="E210" s="110">
        <f>-ROUND($C$6,2)</f>
        <v>1603.83</v>
      </c>
      <c r="F210" s="110">
        <f>E210-H210</f>
        <v>1727.24</v>
      </c>
      <c r="G210" s="164">
        <f>VLOOKUP(D210,$K$11:$L$23,2,TRUE)</f>
        <v>0.04</v>
      </c>
      <c r="H210" s="110">
        <f>ROUND(I209*G210/12,2)</f>
        <v>-123.41</v>
      </c>
      <c r="I210" s="110">
        <f>I209-F210</f>
        <v>-38751.679999999898</v>
      </c>
    </row>
    <row r="211" spans="4:9">
      <c r="D211" s="70">
        <f>DATE(YEAR(D210),MONTH(D210)+1,DAY(D210))</f>
        <v>48101</v>
      </c>
      <c r="E211" s="110">
        <f>-ROUND($C$6,2)</f>
        <v>1603.83</v>
      </c>
      <c r="F211" s="110">
        <f>E211-H211</f>
        <v>1733</v>
      </c>
      <c r="G211" s="164">
        <f>VLOOKUP(D211,$K$11:$L$23,2,TRUE)</f>
        <v>0.04</v>
      </c>
      <c r="H211" s="110">
        <f>ROUND(I210*G211/12,2)</f>
        <v>-129.16999999999999</v>
      </c>
      <c r="I211" s="110">
        <f>I210-F211</f>
        <v>-40484.679999999898</v>
      </c>
    </row>
    <row r="212" spans="4:9">
      <c r="D212" s="70">
        <f>DATE(YEAR(D211),MONTH(D211)+1,DAY(D211))</f>
        <v>48131</v>
      </c>
      <c r="E212" s="110">
        <f>-ROUND($C$6,2)</f>
        <v>1603.83</v>
      </c>
      <c r="F212" s="110">
        <f>E212-H212</f>
        <v>1738.78</v>
      </c>
      <c r="G212" s="164">
        <f>VLOOKUP(D212,$K$11:$L$23,2,TRUE)</f>
        <v>0.04</v>
      </c>
      <c r="H212" s="110">
        <f>ROUND(I211*G212/12,2)</f>
        <v>-134.94999999999999</v>
      </c>
      <c r="I212" s="110">
        <f>I211-F212</f>
        <v>-42223.459999999897</v>
      </c>
    </row>
    <row r="213" spans="4:9">
      <c r="D213" s="70">
        <f>DATE(YEAR(D212),MONTH(D212)+1,DAY(D212))</f>
        <v>48162</v>
      </c>
      <c r="E213" s="110">
        <f>-ROUND($C$6,2)</f>
        <v>1603.83</v>
      </c>
      <c r="F213" s="110">
        <f>E213-H213</f>
        <v>1744.57</v>
      </c>
      <c r="G213" s="164">
        <f>VLOOKUP(D213,$K$11:$L$23,2,TRUE)</f>
        <v>0.04</v>
      </c>
      <c r="H213" s="110">
        <f>ROUND(I212*G213/12,2)</f>
        <v>-140.74</v>
      </c>
      <c r="I213" s="110">
        <f>I212-F213</f>
        <v>-43968.029999999897</v>
      </c>
    </row>
    <row r="214" spans="4:9">
      <c r="D214" s="70">
        <f>DATE(YEAR(D213),MONTH(D213)+1,DAY(D213))</f>
        <v>48192</v>
      </c>
      <c r="E214" s="110">
        <f>-ROUND($C$6,2)</f>
        <v>1603.83</v>
      </c>
      <c r="F214" s="110">
        <f>E214-H214</f>
        <v>1750.3899999999999</v>
      </c>
      <c r="G214" s="164">
        <f>VLOOKUP(D214,$K$11:$L$23,2,TRUE)</f>
        <v>0.04</v>
      </c>
      <c r="H214" s="110">
        <f>ROUND(I213*G214/12,2)</f>
        <v>-146.56</v>
      </c>
      <c r="I214" s="110">
        <f>I213-F214</f>
        <v>-45718.419999999896</v>
      </c>
    </row>
    <row r="215" spans="4:9">
      <c r="D215" s="70">
        <f>DATE(YEAR(D214),MONTH(D214)+1,DAY(D214))</f>
        <v>48223</v>
      </c>
      <c r="E215" s="110">
        <f>-ROUND($C$6,2)</f>
        <v>1603.83</v>
      </c>
      <c r="F215" s="110">
        <f>E215-H215</f>
        <v>1756.2199999999998</v>
      </c>
      <c r="G215" s="164">
        <f>VLOOKUP(D215,$K$11:$L$23,2,TRUE)</f>
        <v>0.04</v>
      </c>
      <c r="H215" s="110">
        <f>ROUND(I214*G215/12,2)</f>
        <v>-152.38999999999999</v>
      </c>
      <c r="I215" s="110">
        <f>I214-F215</f>
        <v>-47474.639999999898</v>
      </c>
    </row>
    <row r="216" spans="4:9">
      <c r="D216" s="70">
        <f>DATE(YEAR(D215),MONTH(D215)+1,DAY(D215))</f>
        <v>48254</v>
      </c>
      <c r="E216" s="110">
        <f>-ROUND($C$6,2)</f>
        <v>1603.83</v>
      </c>
      <c r="F216" s="110">
        <f>E216-H216</f>
        <v>1762.08</v>
      </c>
      <c r="G216" s="164">
        <f>VLOOKUP(D216,$K$11:$L$23,2,TRUE)</f>
        <v>0.04</v>
      </c>
      <c r="H216" s="110">
        <f>ROUND(I215*G216/12,2)</f>
        <v>-158.25</v>
      </c>
      <c r="I216" s="110">
        <f>I215-F216</f>
        <v>-49236.719999999899</v>
      </c>
    </row>
    <row r="217" spans="4:9">
      <c r="D217" s="70">
        <f>DATE(YEAR(D216),MONTH(D216)+1,DAY(D216))</f>
        <v>48283</v>
      </c>
      <c r="E217" s="110">
        <f>-ROUND($C$6,2)</f>
        <v>1603.83</v>
      </c>
      <c r="F217" s="110">
        <f>E217-H217</f>
        <v>1767.9499999999998</v>
      </c>
      <c r="G217" s="164">
        <f>VLOOKUP(D217,$K$11:$L$23,2,TRUE)</f>
        <v>0.04</v>
      </c>
      <c r="H217" s="110">
        <f>ROUND(I216*G217/12,2)</f>
        <v>-164.12</v>
      </c>
      <c r="I217" s="110">
        <f>I216-F217</f>
        <v>-51004.669999999896</v>
      </c>
    </row>
    <row r="218" spans="4:9">
      <c r="D218" s="70">
        <f>DATE(YEAR(D217),MONTH(D217)+1,DAY(D217))</f>
        <v>48314</v>
      </c>
      <c r="E218" s="110">
        <f>-ROUND($C$6,2)</f>
        <v>1603.83</v>
      </c>
      <c r="F218" s="110">
        <f>E218-H218</f>
        <v>1773.85</v>
      </c>
      <c r="G218" s="164">
        <f>VLOOKUP(D218,$K$11:$L$23,2,TRUE)</f>
        <v>0.04</v>
      </c>
      <c r="H218" s="110">
        <f>ROUND(I217*G218/12,2)</f>
        <v>-170.02</v>
      </c>
      <c r="I218" s="110">
        <f>I217-F218</f>
        <v>-52778.519999999895</v>
      </c>
    </row>
    <row r="219" spans="4:9">
      <c r="D219" s="70">
        <f>DATE(YEAR(D218),MONTH(D218)+1,DAY(D218))</f>
        <v>48344</v>
      </c>
      <c r="E219" s="110">
        <f>-ROUND($C$6,2)</f>
        <v>1603.83</v>
      </c>
      <c r="F219" s="110">
        <f>E219-H219</f>
        <v>1779.76</v>
      </c>
      <c r="G219" s="164">
        <f>VLOOKUP(D219,$K$11:$L$23,2,TRUE)</f>
        <v>0.04</v>
      </c>
      <c r="H219" s="110">
        <f>ROUND(I218*G219/12,2)</f>
        <v>-175.93</v>
      </c>
      <c r="I219" s="110">
        <f>I218-F219</f>
        <v>-54558.279999999897</v>
      </c>
    </row>
    <row r="220" spans="4:9">
      <c r="D220" s="70">
        <f>DATE(YEAR(D219),MONTH(D219)+1,DAY(D219))</f>
        <v>48375</v>
      </c>
      <c r="E220" s="110">
        <f>-ROUND($C$6,2)</f>
        <v>1603.83</v>
      </c>
      <c r="F220" s="110">
        <f>E220-H220</f>
        <v>1785.69</v>
      </c>
      <c r="G220" s="164">
        <f>VLOOKUP(D220,$K$11:$L$23,2,TRUE)</f>
        <v>0.04</v>
      </c>
      <c r="H220" s="110">
        <f>ROUND(I219*G220/12,2)</f>
        <v>-181.86</v>
      </c>
      <c r="I220" s="110">
        <f>I219-F220</f>
        <v>-56343.969999999899</v>
      </c>
    </row>
    <row r="221" spans="4:9">
      <c r="D221" s="70">
        <f>DATE(YEAR(D220),MONTH(D220)+1,DAY(D220))</f>
        <v>48405</v>
      </c>
      <c r="E221" s="110">
        <f>-ROUND($C$6,2)</f>
        <v>1603.83</v>
      </c>
      <c r="F221" s="110">
        <f>E221-H221</f>
        <v>1791.6399999999999</v>
      </c>
      <c r="G221" s="164">
        <f>VLOOKUP(D221,$K$11:$L$23,2,TRUE)</f>
        <v>0.04</v>
      </c>
      <c r="H221" s="110">
        <f>ROUND(I220*G221/12,2)</f>
        <v>-187.81</v>
      </c>
      <c r="I221" s="110">
        <f>I220-F221</f>
        <v>-58135.609999999899</v>
      </c>
    </row>
    <row r="222" spans="4:9">
      <c r="D222" s="70">
        <f>DATE(YEAR(D221),MONTH(D221)+1,DAY(D221))</f>
        <v>48436</v>
      </c>
      <c r="E222" s="110">
        <f>-ROUND($C$6,2)</f>
        <v>1603.83</v>
      </c>
      <c r="F222" s="110">
        <f>E222-H222</f>
        <v>1797.62</v>
      </c>
      <c r="G222" s="164">
        <f>VLOOKUP(D222,$K$11:$L$23,2,TRUE)</f>
        <v>0.04</v>
      </c>
      <c r="H222" s="110">
        <f>ROUND(I221*G222/12,2)</f>
        <v>-193.79</v>
      </c>
      <c r="I222" s="110">
        <f>I221-F222</f>
        <v>-59933.229999999901</v>
      </c>
    </row>
    <row r="223" spans="4:9">
      <c r="D223" s="70">
        <f>DATE(YEAR(D222),MONTH(D222)+1,DAY(D222))</f>
        <v>48467</v>
      </c>
      <c r="E223" s="110">
        <f>-ROUND($C$6,2)</f>
        <v>1603.83</v>
      </c>
      <c r="F223" s="110">
        <f>E223-H223</f>
        <v>1803.61</v>
      </c>
      <c r="G223" s="164">
        <f>VLOOKUP(D223,$K$11:$L$23,2,TRUE)</f>
        <v>0.04</v>
      </c>
      <c r="H223" s="110">
        <f>ROUND(I222*G223/12,2)</f>
        <v>-199.78</v>
      </c>
      <c r="I223" s="110">
        <f>I222-F223</f>
        <v>-61736.839999999902</v>
      </c>
    </row>
    <row r="224" spans="4:9">
      <c r="D224" s="70">
        <f>DATE(YEAR(D223),MONTH(D223)+1,DAY(D223))</f>
        <v>48497</v>
      </c>
      <c r="E224" s="110">
        <f>-ROUND($C$6,2)</f>
        <v>1603.83</v>
      </c>
      <c r="F224" s="110">
        <f>E224-H224</f>
        <v>1809.62</v>
      </c>
      <c r="G224" s="164">
        <f>VLOOKUP(D224,$K$11:$L$23,2,TRUE)</f>
        <v>0.04</v>
      </c>
      <c r="H224" s="110">
        <f>ROUND(I223*G224/12,2)</f>
        <v>-205.79</v>
      </c>
      <c r="I224" s="110">
        <f>I223-F224</f>
        <v>-63546.459999999905</v>
      </c>
    </row>
    <row r="225" spans="4:9">
      <c r="D225" s="70">
        <f>DATE(YEAR(D224),MONTH(D224)+1,DAY(D224))</f>
        <v>48528</v>
      </c>
      <c r="E225" s="110">
        <f>-ROUND($C$6,2)</f>
        <v>1603.83</v>
      </c>
      <c r="F225" s="110">
        <f>E225-H225</f>
        <v>1815.6499999999999</v>
      </c>
      <c r="G225" s="164">
        <f>VLOOKUP(D225,$K$11:$L$23,2,TRUE)</f>
        <v>0.04</v>
      </c>
      <c r="H225" s="110">
        <f>ROUND(I224*G225/12,2)</f>
        <v>-211.82</v>
      </c>
      <c r="I225" s="110">
        <f>I224-F225</f>
        <v>-65362.109999999906</v>
      </c>
    </row>
    <row r="226" spans="4:9">
      <c r="D226" s="70">
        <f>DATE(YEAR(D225),MONTH(D225)+1,DAY(D225))</f>
        <v>48558</v>
      </c>
      <c r="E226" s="110">
        <f>-ROUND($C$6,2)</f>
        <v>1603.83</v>
      </c>
      <c r="F226" s="110">
        <f>E226-H226</f>
        <v>1821.6999999999998</v>
      </c>
      <c r="G226" s="164">
        <f>VLOOKUP(D226,$K$11:$L$23,2,TRUE)</f>
        <v>0.04</v>
      </c>
      <c r="H226" s="110">
        <f>ROUND(I225*G226/12,2)</f>
        <v>-217.87</v>
      </c>
      <c r="I226" s="110">
        <f>I225-F226</f>
        <v>-67183.80999999991</v>
      </c>
    </row>
    <row r="227" spans="4:9">
      <c r="D227" s="70">
        <f>DATE(YEAR(D226),MONTH(D226)+1,DAY(D226))</f>
        <v>48589</v>
      </c>
      <c r="E227" s="110">
        <f>-ROUND($C$6,2)</f>
        <v>1603.83</v>
      </c>
      <c r="F227" s="110">
        <f>E227-H227</f>
        <v>1827.78</v>
      </c>
      <c r="G227" s="164">
        <f>VLOOKUP(D227,$K$11:$L$23,2,TRUE)</f>
        <v>0.04</v>
      </c>
      <c r="H227" s="110">
        <f>ROUND(I226*G227/12,2)</f>
        <v>-223.95</v>
      </c>
      <c r="I227" s="110">
        <f>I226-F227</f>
        <v>-69011.589999999909</v>
      </c>
    </row>
    <row r="228" spans="4:9">
      <c r="D228" s="70">
        <f>DATE(YEAR(D227),MONTH(D227)+1,DAY(D227))</f>
        <v>48620</v>
      </c>
      <c r="E228" s="110">
        <f>-ROUND($C$6,2)</f>
        <v>1603.83</v>
      </c>
      <c r="F228" s="110">
        <f>E228-H228</f>
        <v>1833.87</v>
      </c>
      <c r="G228" s="164">
        <f>VLOOKUP(D228,$K$11:$L$23,2,TRUE)</f>
        <v>0.04</v>
      </c>
      <c r="H228" s="110">
        <f>ROUND(I227*G228/12,2)</f>
        <v>-230.04</v>
      </c>
      <c r="I228" s="110">
        <f>I227-F228</f>
        <v>-70845.459999999905</v>
      </c>
    </row>
    <row r="229" spans="4:9">
      <c r="D229" s="70">
        <f>DATE(YEAR(D228),MONTH(D228)+1,DAY(D228))</f>
        <v>48648</v>
      </c>
      <c r="E229" s="110">
        <f>-ROUND($C$6,2)</f>
        <v>1603.83</v>
      </c>
      <c r="F229" s="110">
        <f>E229-H229</f>
        <v>1839.98</v>
      </c>
      <c r="G229" s="164">
        <f>VLOOKUP(D229,$K$11:$L$23,2,TRUE)</f>
        <v>0.04</v>
      </c>
      <c r="H229" s="110">
        <f>ROUND(I228*G229/12,2)</f>
        <v>-236.15</v>
      </c>
      <c r="I229" s="110">
        <f>I228-F229</f>
        <v>-72685.4399999999</v>
      </c>
    </row>
    <row r="230" spans="4:9">
      <c r="D230" s="70">
        <f>DATE(YEAR(D229),MONTH(D229)+1,DAY(D229))</f>
        <v>48679</v>
      </c>
      <c r="E230" s="110">
        <f>-ROUND($C$6,2)</f>
        <v>1603.83</v>
      </c>
      <c r="F230" s="110">
        <f>E230-H230</f>
        <v>1846.11</v>
      </c>
      <c r="G230" s="164">
        <f>VLOOKUP(D230,$K$11:$L$23,2,TRUE)</f>
        <v>0.04</v>
      </c>
      <c r="H230" s="110">
        <f>ROUND(I229*G230/12,2)</f>
        <v>-242.28</v>
      </c>
      <c r="I230" s="110">
        <f>I229-F230</f>
        <v>-74531.549999999901</v>
      </c>
    </row>
    <row r="231" spans="4:9">
      <c r="D231" s="70">
        <f>DATE(YEAR(D230),MONTH(D230)+1,DAY(D230))</f>
        <v>48709</v>
      </c>
      <c r="E231" s="110">
        <f>-ROUND($C$6,2)</f>
        <v>1603.83</v>
      </c>
      <c r="F231" s="110">
        <f>E231-H231</f>
        <v>1852.27</v>
      </c>
      <c r="G231" s="164">
        <f>VLOOKUP(D231,$K$11:$L$23,2,TRUE)</f>
        <v>0.04</v>
      </c>
      <c r="H231" s="110">
        <f>ROUND(I230*G231/12,2)</f>
        <v>-248.44</v>
      </c>
      <c r="I231" s="110">
        <f>I230-F231</f>
        <v>-76383.819999999905</v>
      </c>
    </row>
    <row r="232" spans="4:9">
      <c r="D232" s="70">
        <f>DATE(YEAR(D231),MONTH(D231)+1,DAY(D231))</f>
        <v>48740</v>
      </c>
      <c r="E232" s="110">
        <f>-ROUND($C$6,2)</f>
        <v>1603.83</v>
      </c>
      <c r="F232" s="110">
        <f>E232-H232</f>
        <v>1858.44</v>
      </c>
      <c r="G232" s="164">
        <f>VLOOKUP(D232,$K$11:$L$23,2,TRUE)</f>
        <v>0.04</v>
      </c>
      <c r="H232" s="110">
        <f>ROUND(I231*G232/12,2)</f>
        <v>-254.61</v>
      </c>
      <c r="I232" s="110">
        <f>I231-F232</f>
        <v>-78242.259999999907</v>
      </c>
    </row>
    <row r="233" spans="4:9">
      <c r="D233" s="70">
        <f>DATE(YEAR(D232),MONTH(D232)+1,DAY(D232))</f>
        <v>48770</v>
      </c>
      <c r="E233" s="110">
        <f>-ROUND($C$6,2)</f>
        <v>1603.83</v>
      </c>
      <c r="F233" s="110">
        <f>E233-H233</f>
        <v>1864.6399999999999</v>
      </c>
      <c r="G233" s="164">
        <f>VLOOKUP(D233,$K$11:$L$23,2,TRUE)</f>
        <v>0.04</v>
      </c>
      <c r="H233" s="110">
        <f>ROUND(I232*G233/12,2)</f>
        <v>-260.81</v>
      </c>
      <c r="I233" s="110">
        <f>I232-F233</f>
        <v>-80106.899999999907</v>
      </c>
    </row>
    <row r="234" spans="4:9">
      <c r="D234" s="70">
        <f>DATE(YEAR(D233),MONTH(D233)+1,DAY(D233))</f>
        <v>48801</v>
      </c>
      <c r="E234" s="110">
        <f>-ROUND($C$6,2)</f>
        <v>1603.83</v>
      </c>
      <c r="F234" s="110">
        <f>E234-H234</f>
        <v>1870.85</v>
      </c>
      <c r="G234" s="164">
        <f>VLOOKUP(D234,$K$11:$L$23,2,TRUE)</f>
        <v>0.04</v>
      </c>
      <c r="H234" s="110">
        <f>ROUND(I233*G234/12,2)</f>
        <v>-267.02</v>
      </c>
      <c r="I234" s="110">
        <f>I233-F234</f>
        <v>-81977.749999999913</v>
      </c>
    </row>
    <row r="235" spans="4:9">
      <c r="D235" s="70">
        <f>DATE(YEAR(D234),MONTH(D234)+1,DAY(D234))</f>
        <v>48832</v>
      </c>
      <c r="E235" s="110">
        <f>-ROUND($C$6,2)</f>
        <v>1603.83</v>
      </c>
      <c r="F235" s="110">
        <f>E235-H235</f>
        <v>1877.09</v>
      </c>
      <c r="G235" s="164">
        <f>VLOOKUP(D235,$K$11:$L$23,2,TRUE)</f>
        <v>0.04</v>
      </c>
      <c r="H235" s="110">
        <f>ROUND(I234*G235/12,2)</f>
        <v>-273.26</v>
      </c>
      <c r="I235" s="110">
        <f>I234-F235</f>
        <v>-83854.839999999909</v>
      </c>
    </row>
    <row r="236" spans="4:9">
      <c r="D236" s="70">
        <f>DATE(YEAR(D235),MONTH(D235)+1,DAY(D235))</f>
        <v>48862</v>
      </c>
      <c r="E236" s="110">
        <f>-ROUND($C$6,2)</f>
        <v>1603.83</v>
      </c>
      <c r="F236" s="110">
        <f>E236-H236</f>
        <v>1883.35</v>
      </c>
      <c r="G236" s="164">
        <f>VLOOKUP(D236,$K$11:$L$23,2,TRUE)</f>
        <v>0.04</v>
      </c>
      <c r="H236" s="110">
        <f>ROUND(I235*G236/12,2)</f>
        <v>-279.52</v>
      </c>
      <c r="I236" s="110">
        <f>I235-F236</f>
        <v>-85738.189999999915</v>
      </c>
    </row>
    <row r="237" spans="4:9">
      <c r="D237" s="70">
        <f>DATE(YEAR(D236),MONTH(D236)+1,DAY(D236))</f>
        <v>48893</v>
      </c>
      <c r="E237" s="110">
        <f>-ROUND($C$6,2)</f>
        <v>1603.83</v>
      </c>
      <c r="F237" s="110">
        <f>E237-H237</f>
        <v>1889.62</v>
      </c>
      <c r="G237" s="164">
        <f>VLOOKUP(D237,$K$11:$L$23,2,TRUE)</f>
        <v>0.04</v>
      </c>
      <c r="H237" s="110">
        <f>ROUND(I236*G237/12,2)</f>
        <v>-285.79000000000002</v>
      </c>
      <c r="I237" s="110">
        <f>I236-F237</f>
        <v>-87627.80999999991</v>
      </c>
    </row>
    <row r="238" spans="4:9">
      <c r="D238" s="70">
        <f>DATE(YEAR(D237),MONTH(D237)+1,DAY(D237))</f>
        <v>48923</v>
      </c>
      <c r="E238" s="110">
        <f>-ROUND($C$6,2)</f>
        <v>1603.83</v>
      </c>
      <c r="F238" s="110">
        <f>E238-H238</f>
        <v>1895.9199999999998</v>
      </c>
      <c r="G238" s="164">
        <f>VLOOKUP(D238,$K$11:$L$23,2,TRUE)</f>
        <v>0.04</v>
      </c>
      <c r="H238" s="110">
        <f>ROUND(I237*G238/12,2)</f>
        <v>-292.08999999999997</v>
      </c>
      <c r="I238" s="110">
        <f>I237-F238</f>
        <v>-89523.729999999909</v>
      </c>
    </row>
    <row r="239" spans="4:9">
      <c r="D239" s="70">
        <f>DATE(YEAR(D238),MONTH(D238)+1,DAY(D238))</f>
        <v>48954</v>
      </c>
      <c r="E239" s="110">
        <f>-ROUND($C$6,2)</f>
        <v>1603.83</v>
      </c>
      <c r="F239" s="110">
        <f>E239-H239</f>
        <v>1902.24</v>
      </c>
      <c r="G239" s="164">
        <f>VLOOKUP(D239,$K$11:$L$23,2,TRUE)</f>
        <v>0.04</v>
      </c>
      <c r="H239" s="110">
        <f>ROUND(I238*G239/12,2)</f>
        <v>-298.41000000000003</v>
      </c>
      <c r="I239" s="110">
        <f>I238-F239</f>
        <v>-91425.969999999914</v>
      </c>
    </row>
    <row r="240" spans="4:9">
      <c r="D240" s="70">
        <f>DATE(YEAR(D239),MONTH(D239)+1,DAY(D239))</f>
        <v>48985</v>
      </c>
      <c r="E240" s="110">
        <f>-ROUND($C$6,2)</f>
        <v>1603.83</v>
      </c>
      <c r="F240" s="110">
        <f>E240-H240</f>
        <v>1908.58</v>
      </c>
      <c r="G240" s="164">
        <f>VLOOKUP(D240,$K$11:$L$23,2,TRUE)</f>
        <v>0.04</v>
      </c>
      <c r="H240" s="110">
        <f>ROUND(I239*G240/12,2)</f>
        <v>-304.75</v>
      </c>
      <c r="I240" s="110">
        <f>I239-F240</f>
        <v>-93334.549999999916</v>
      </c>
    </row>
    <row r="241" spans="4:9">
      <c r="D241" s="70">
        <f>DATE(YEAR(D240),MONTH(D240)+1,DAY(D240))</f>
        <v>49013</v>
      </c>
      <c r="E241" s="110">
        <f>-ROUND($C$6,2)</f>
        <v>1603.83</v>
      </c>
      <c r="F241" s="110">
        <f>E241-H241</f>
        <v>1914.9499999999998</v>
      </c>
      <c r="G241" s="164">
        <f>VLOOKUP(D241,$K$11:$L$23,2,TRUE)</f>
        <v>0.04</v>
      </c>
      <c r="H241" s="110">
        <f>ROUND(I240*G241/12,2)</f>
        <v>-311.12</v>
      </c>
      <c r="I241" s="110">
        <f>I240-F241</f>
        <v>-95249.499999999913</v>
      </c>
    </row>
    <row r="242" spans="4:9">
      <c r="D242" s="70">
        <f>DATE(YEAR(D241),MONTH(D241)+1,DAY(D241))</f>
        <v>49044</v>
      </c>
      <c r="E242" s="110">
        <f>-ROUND($C$6,2)</f>
        <v>1603.83</v>
      </c>
      <c r="F242" s="110">
        <f>E242-H242</f>
        <v>1921.33</v>
      </c>
      <c r="G242" s="164">
        <f>VLOOKUP(D242,$K$11:$L$23,2,TRUE)</f>
        <v>0.04</v>
      </c>
      <c r="H242" s="110">
        <f>ROUND(I241*G242/12,2)</f>
        <v>-317.5</v>
      </c>
      <c r="I242" s="110">
        <f>I241-F242</f>
        <v>-97170.829999999914</v>
      </c>
    </row>
    <row r="243" spans="4:9">
      <c r="D243" s="70">
        <f>DATE(YEAR(D242),MONTH(D242)+1,DAY(D242))</f>
        <v>49074</v>
      </c>
      <c r="E243" s="110">
        <f>-ROUND($C$6,2)</f>
        <v>1603.83</v>
      </c>
      <c r="F243" s="110">
        <f>E243-H243</f>
        <v>1927.73</v>
      </c>
      <c r="G243" s="164">
        <f>VLOOKUP(D243,$K$11:$L$23,2,TRUE)</f>
        <v>0.04</v>
      </c>
      <c r="H243" s="110">
        <f>ROUND(I242*G243/12,2)</f>
        <v>-323.89999999999998</v>
      </c>
      <c r="I243" s="110">
        <f>I242-F243</f>
        <v>-99098.55999999991</v>
      </c>
    </row>
    <row r="244" spans="4:9">
      <c r="D244" s="70">
        <f>DATE(YEAR(D243),MONTH(D243)+1,DAY(D243))</f>
        <v>49105</v>
      </c>
      <c r="E244" s="110">
        <f>-ROUND($C$6,2)</f>
        <v>1603.83</v>
      </c>
      <c r="F244" s="110">
        <f>E244-H244</f>
        <v>1934.1599999999999</v>
      </c>
      <c r="G244" s="164">
        <f>VLOOKUP(D244,$K$11:$L$23,2,TRUE)</f>
        <v>0.04</v>
      </c>
      <c r="H244" s="110">
        <f>ROUND(I243*G244/12,2)</f>
        <v>-330.33</v>
      </c>
      <c r="I244" s="110">
        <f>I243-F244</f>
        <v>-101032.71999999991</v>
      </c>
    </row>
    <row r="245" spans="4:9">
      <c r="D245" s="70">
        <f>DATE(YEAR(D244),MONTH(D244)+1,DAY(D244))</f>
        <v>49135</v>
      </c>
      <c r="E245" s="110">
        <f>-ROUND($C$6,2)</f>
        <v>1603.83</v>
      </c>
      <c r="F245" s="110">
        <f>E245-H245</f>
        <v>1940.61</v>
      </c>
      <c r="G245" s="164">
        <f>VLOOKUP(D245,$K$11:$L$23,2,TRUE)</f>
        <v>0.04</v>
      </c>
      <c r="H245" s="110">
        <f>ROUND(I244*G245/12,2)</f>
        <v>-336.78</v>
      </c>
      <c r="I245" s="110">
        <f>I244-F245</f>
        <v>-102973.32999999991</v>
      </c>
    </row>
    <row r="246" spans="4:9">
      <c r="D246" s="70">
        <f>DATE(YEAR(D245),MONTH(D245)+1,DAY(D245))</f>
        <v>49166</v>
      </c>
      <c r="E246" s="110">
        <f>-ROUND($C$6,2)</f>
        <v>1603.83</v>
      </c>
      <c r="F246" s="110">
        <f>E246-H246</f>
        <v>1947.07</v>
      </c>
      <c r="G246" s="164">
        <f>VLOOKUP(D246,$K$11:$L$23,2,TRUE)</f>
        <v>0.04</v>
      </c>
      <c r="H246" s="110">
        <f>ROUND(I245*G246/12,2)</f>
        <v>-343.24</v>
      </c>
      <c r="I246" s="110">
        <f>I245-F246</f>
        <v>-104920.39999999992</v>
      </c>
    </row>
    <row r="247" spans="4:9">
      <c r="D247" s="70">
        <f>DATE(YEAR(D246),MONTH(D246)+1,DAY(D246))</f>
        <v>49197</v>
      </c>
      <c r="E247" s="110">
        <f>-ROUND($C$6,2)</f>
        <v>1603.83</v>
      </c>
      <c r="F247" s="110">
        <f>E247-H247</f>
        <v>1953.56</v>
      </c>
      <c r="G247" s="164">
        <f>VLOOKUP(D247,$K$11:$L$23,2,TRUE)</f>
        <v>0.04</v>
      </c>
      <c r="H247" s="110">
        <f>ROUND(I246*G247/12,2)</f>
        <v>-349.73</v>
      </c>
      <c r="I247" s="110">
        <f>I246-F247</f>
        <v>-106873.95999999992</v>
      </c>
    </row>
    <row r="248" spans="4:9">
      <c r="D248" s="70">
        <f>DATE(YEAR(D247),MONTH(D247)+1,DAY(D247))</f>
        <v>49227</v>
      </c>
      <c r="E248" s="110">
        <f>-ROUND($C$6,2)</f>
        <v>1603.83</v>
      </c>
      <c r="F248" s="110">
        <f>E248-H248</f>
        <v>1960.08</v>
      </c>
      <c r="G248" s="164">
        <f>VLOOKUP(D248,$K$11:$L$23,2,TRUE)</f>
        <v>0.04</v>
      </c>
      <c r="H248" s="110">
        <f>ROUND(I247*G248/12,2)</f>
        <v>-356.25</v>
      </c>
      <c r="I248" s="110">
        <f>I247-F248</f>
        <v>-108834.03999999992</v>
      </c>
    </row>
    <row r="249" spans="4:9">
      <c r="D249" s="70">
        <f>DATE(YEAR(D248),MONTH(D248)+1,DAY(D248))</f>
        <v>49258</v>
      </c>
      <c r="E249" s="110">
        <f>-ROUND($C$6,2)</f>
        <v>1603.83</v>
      </c>
      <c r="F249" s="110">
        <f>E249-H249</f>
        <v>1966.61</v>
      </c>
      <c r="G249" s="164">
        <f>VLOOKUP(D249,$K$11:$L$23,2,TRUE)</f>
        <v>0.04</v>
      </c>
      <c r="H249" s="110">
        <f>ROUND(I248*G249/12,2)</f>
        <v>-362.78</v>
      </c>
      <c r="I249" s="110">
        <f>I248-F249</f>
        <v>-110800.64999999992</v>
      </c>
    </row>
    <row r="250" spans="4:9">
      <c r="D250" s="70">
        <f>DATE(YEAR(D249),MONTH(D249)+1,DAY(D249))</f>
        <v>49288</v>
      </c>
      <c r="E250" s="110">
        <f>-ROUND($C$6,2)</f>
        <v>1603.83</v>
      </c>
      <c r="F250" s="110">
        <f>E250-H250</f>
        <v>1973.1699999999998</v>
      </c>
      <c r="G250" s="164">
        <f>VLOOKUP(D250,$K$11:$L$23,2,TRUE)</f>
        <v>0.04</v>
      </c>
      <c r="H250" s="110">
        <f>ROUND(I249*G250/12,2)</f>
        <v>-369.34</v>
      </c>
      <c r="I250" s="110">
        <f>I249-F250</f>
        <v>-112773.81999999992</v>
      </c>
    </row>
    <row r="251" spans="4:9">
      <c r="D251" s="70">
        <f>DATE(YEAR(D250),MONTH(D250)+1,DAY(D250))</f>
        <v>49319</v>
      </c>
      <c r="E251" s="110">
        <f>-ROUND($C$6,2)</f>
        <v>1603.83</v>
      </c>
      <c r="F251" s="110">
        <f>E251-H251</f>
        <v>1979.74</v>
      </c>
      <c r="G251" s="164">
        <f>VLOOKUP(D251,$K$11:$L$23,2,TRUE)</f>
        <v>0.04</v>
      </c>
      <c r="H251" s="110">
        <f>ROUND(I250*G251/12,2)</f>
        <v>-375.91</v>
      </c>
      <c r="I251" s="110">
        <f>I250-F251</f>
        <v>-114753.55999999992</v>
      </c>
    </row>
    <row r="252" spans="4:9">
      <c r="D252" s="70">
        <f>DATE(YEAR(D251),MONTH(D251)+1,DAY(D251))</f>
        <v>49350</v>
      </c>
      <c r="E252" s="110">
        <f>-ROUND($C$6,2)</f>
        <v>1603.83</v>
      </c>
      <c r="F252" s="110">
        <f>E252-H252</f>
        <v>1986.34</v>
      </c>
      <c r="G252" s="164">
        <f>VLOOKUP(D252,$K$11:$L$23,2,TRUE)</f>
        <v>0.04</v>
      </c>
      <c r="H252" s="110">
        <f>ROUND(I251*G252/12,2)</f>
        <v>-382.51</v>
      </c>
      <c r="I252" s="110">
        <f>I251-F252</f>
        <v>-116739.89999999992</v>
      </c>
    </row>
    <row r="253" spans="4:9">
      <c r="D253" s="70">
        <f>DATE(YEAR(D252),MONTH(D252)+1,DAY(D252))</f>
        <v>49378</v>
      </c>
      <c r="E253" s="110">
        <f>-ROUND($C$6,2)</f>
        <v>1603.83</v>
      </c>
      <c r="F253" s="110">
        <f>E253-H253</f>
        <v>1992.96</v>
      </c>
      <c r="G253" s="164">
        <f>VLOOKUP(D253,$K$11:$L$23,2,TRUE)</f>
        <v>0.04</v>
      </c>
      <c r="H253" s="110">
        <f>ROUND(I252*G253/12,2)</f>
        <v>-389.13</v>
      </c>
      <c r="I253" s="110">
        <f>I252-F253</f>
        <v>-118732.85999999993</v>
      </c>
    </row>
    <row r="254" spans="4:9">
      <c r="D254" s="70">
        <f>DATE(YEAR(D253),MONTH(D253)+1,DAY(D253))</f>
        <v>49409</v>
      </c>
      <c r="E254" s="110">
        <f>-ROUND($C$6,2)</f>
        <v>1603.83</v>
      </c>
      <c r="F254" s="110">
        <f>E254-H254</f>
        <v>1999.61</v>
      </c>
      <c r="G254" s="164">
        <f>VLOOKUP(D254,$K$11:$L$23,2,TRUE)</f>
        <v>0.04</v>
      </c>
      <c r="H254" s="110">
        <f>ROUND(I253*G254/12,2)</f>
        <v>-395.78</v>
      </c>
      <c r="I254" s="110">
        <f>I253-F254</f>
        <v>-120732.46999999993</v>
      </c>
    </row>
    <row r="255" spans="4:9">
      <c r="D255" s="70">
        <f>DATE(YEAR(D254),MONTH(D254)+1,DAY(D254))</f>
        <v>49439</v>
      </c>
      <c r="E255" s="110">
        <f>-ROUND($C$6,2)</f>
        <v>1603.83</v>
      </c>
      <c r="F255" s="110">
        <f>E255-H255</f>
        <v>2006.27</v>
      </c>
      <c r="G255" s="164">
        <f>VLOOKUP(D255,$K$11:$L$23,2,TRUE)</f>
        <v>0.04</v>
      </c>
      <c r="H255" s="110">
        <f>ROUND(I254*G255/12,2)</f>
        <v>-402.44</v>
      </c>
      <c r="I255" s="110">
        <f>I254-F255</f>
        <v>-122738.73999999993</v>
      </c>
    </row>
    <row r="256" spans="4:9">
      <c r="D256" s="70">
        <f>DATE(YEAR(D255),MONTH(D255)+1,DAY(D255))</f>
        <v>49470</v>
      </c>
      <c r="E256" s="110">
        <f>-ROUND($C$6,2)</f>
        <v>1603.83</v>
      </c>
      <c r="F256" s="110">
        <f>E256-H256</f>
        <v>2012.96</v>
      </c>
      <c r="G256" s="164">
        <f>VLOOKUP(D256,$K$11:$L$23,2,TRUE)</f>
        <v>0.04</v>
      </c>
      <c r="H256" s="110">
        <f>ROUND(I255*G256/12,2)</f>
        <v>-409.13</v>
      </c>
      <c r="I256" s="110">
        <f>I255-F256</f>
        <v>-124751.69999999994</v>
      </c>
    </row>
    <row r="257" spans="4:9">
      <c r="D257" s="70">
        <f>DATE(YEAR(D256),MONTH(D256)+1,DAY(D256))</f>
        <v>49500</v>
      </c>
      <c r="E257" s="110">
        <f>-ROUND($C$6,2)</f>
        <v>1603.83</v>
      </c>
      <c r="F257" s="110">
        <f>E257-H257</f>
        <v>2019.6699999999998</v>
      </c>
      <c r="G257" s="164">
        <f>VLOOKUP(D257,$K$11:$L$23,2,TRUE)</f>
        <v>0.04</v>
      </c>
      <c r="H257" s="110">
        <f>ROUND(I256*G257/12,2)</f>
        <v>-415.84</v>
      </c>
      <c r="I257" s="110">
        <f>I256-F257</f>
        <v>-126771.36999999994</v>
      </c>
    </row>
    <row r="258" spans="4:9">
      <c r="D258" s="70">
        <f>DATE(YEAR(D257),MONTH(D257)+1,DAY(D257))</f>
        <v>49531</v>
      </c>
      <c r="E258" s="110">
        <f>-ROUND($C$6,2)</f>
        <v>1603.83</v>
      </c>
      <c r="F258" s="110">
        <f>E258-H258</f>
        <v>2026.3999999999999</v>
      </c>
      <c r="G258" s="164">
        <f>VLOOKUP(D258,$K$11:$L$23,2,TRUE)</f>
        <v>0.04</v>
      </c>
      <c r="H258" s="110">
        <f>ROUND(I257*G258/12,2)</f>
        <v>-422.57</v>
      </c>
      <c r="I258" s="110">
        <f>I257-F258</f>
        <v>-128797.76999999993</v>
      </c>
    </row>
    <row r="259" spans="4:9">
      <c r="D259" s="70">
        <f>DATE(YEAR(D258),MONTH(D258)+1,DAY(D258))</f>
        <v>49562</v>
      </c>
      <c r="E259" s="110">
        <f>-ROUND($C$6,2)</f>
        <v>1603.83</v>
      </c>
      <c r="F259" s="110">
        <f>E259-H259</f>
        <v>2033.1599999999999</v>
      </c>
      <c r="G259" s="164">
        <f>VLOOKUP(D259,$K$11:$L$23,2,TRUE)</f>
        <v>0.04</v>
      </c>
      <c r="H259" s="110">
        <f>ROUND(I258*G259/12,2)</f>
        <v>-429.33</v>
      </c>
      <c r="I259" s="110">
        <f>I258-F259</f>
        <v>-130830.92999999993</v>
      </c>
    </row>
    <row r="260" spans="4:9">
      <c r="D260" s="70">
        <f>DATE(YEAR(D259),MONTH(D259)+1,DAY(D259))</f>
        <v>49592</v>
      </c>
      <c r="E260" s="110">
        <f>-ROUND($C$6,2)</f>
        <v>1603.83</v>
      </c>
      <c r="F260" s="110">
        <f>E260-H260</f>
        <v>2039.9299999999998</v>
      </c>
      <c r="G260" s="164">
        <f>VLOOKUP(D260,$K$11:$L$23,2,TRUE)</f>
        <v>0.04</v>
      </c>
      <c r="H260" s="110">
        <f>ROUND(I259*G260/12,2)</f>
        <v>-436.1</v>
      </c>
      <c r="I260" s="110">
        <f>I259-F260</f>
        <v>-132870.85999999993</v>
      </c>
    </row>
    <row r="261" spans="4:9">
      <c r="D261" s="70">
        <f>DATE(YEAR(D260),MONTH(D260)+1,DAY(D260))</f>
        <v>49623</v>
      </c>
      <c r="E261" s="110">
        <f>-ROUND($C$6,2)</f>
        <v>1603.83</v>
      </c>
      <c r="F261" s="110">
        <f>E261-H261</f>
        <v>2046.73</v>
      </c>
      <c r="G261" s="164">
        <f>VLOOKUP(D261,$K$11:$L$23,2,TRUE)</f>
        <v>0.04</v>
      </c>
      <c r="H261" s="110">
        <f>ROUND(I260*G261/12,2)</f>
        <v>-442.9</v>
      </c>
      <c r="I261" s="110">
        <f>I260-F261</f>
        <v>-134917.58999999994</v>
      </c>
    </row>
    <row r="262" spans="4:9">
      <c r="D262" s="70">
        <f>DATE(YEAR(D261),MONTH(D261)+1,DAY(D261))</f>
        <v>49653</v>
      </c>
      <c r="E262" s="110">
        <f>-ROUND($C$6,2)</f>
        <v>1603.83</v>
      </c>
      <c r="F262" s="110">
        <f>E262-H262</f>
        <v>2053.56</v>
      </c>
      <c r="G262" s="164">
        <f>VLOOKUP(D262,$K$11:$L$23,2,TRUE)</f>
        <v>0.04</v>
      </c>
      <c r="H262" s="110">
        <f>ROUND(I261*G262/12,2)</f>
        <v>-449.73</v>
      </c>
      <c r="I262" s="110">
        <f>I261-F262</f>
        <v>-136971.14999999994</v>
      </c>
    </row>
    <row r="263" spans="4:9">
      <c r="D263" s="70">
        <f>DATE(YEAR(D262),MONTH(D262)+1,DAY(D262))</f>
        <v>49684</v>
      </c>
      <c r="E263" s="110">
        <f>-ROUND($C$6,2)</f>
        <v>1603.83</v>
      </c>
      <c r="F263" s="110">
        <f>E263-H263</f>
        <v>2060.4</v>
      </c>
      <c r="G263" s="164">
        <f>VLOOKUP(D263,$K$11:$L$23,2,TRUE)</f>
        <v>0.04</v>
      </c>
      <c r="H263" s="110">
        <f>ROUND(I262*G263/12,2)</f>
        <v>-456.57</v>
      </c>
      <c r="I263" s="110">
        <f>I262-F263</f>
        <v>-139031.54999999993</v>
      </c>
    </row>
    <row r="264" spans="4:9">
      <c r="D264" s="70">
        <f>DATE(YEAR(D263),MONTH(D263)+1,DAY(D263))</f>
        <v>49715</v>
      </c>
      <c r="E264" s="110">
        <f>-ROUND($C$6,2)</f>
        <v>1603.83</v>
      </c>
      <c r="F264" s="110">
        <f>E264-H264</f>
        <v>2067.27</v>
      </c>
      <c r="G264" s="164">
        <f>VLOOKUP(D264,$K$11:$L$23,2,TRUE)</f>
        <v>0.04</v>
      </c>
      <c r="H264" s="110">
        <f>ROUND(I263*G264/12,2)</f>
        <v>-463.44</v>
      </c>
      <c r="I264" s="110">
        <f>I263-F264</f>
        <v>-141098.81999999992</v>
      </c>
    </row>
    <row r="265" spans="4:9">
      <c r="D265" s="70">
        <f>DATE(YEAR(D264),MONTH(D264)+1,DAY(D264))</f>
        <v>49744</v>
      </c>
      <c r="E265" s="110">
        <f>-ROUND($C$6,2)</f>
        <v>1603.83</v>
      </c>
      <c r="F265" s="110">
        <f>E265-H265</f>
        <v>2074.16</v>
      </c>
      <c r="G265" s="164">
        <f>VLOOKUP(D265,$K$11:$L$23,2,TRUE)</f>
        <v>0.04</v>
      </c>
      <c r="H265" s="110">
        <f>ROUND(I264*G265/12,2)</f>
        <v>-470.33</v>
      </c>
      <c r="I265" s="110">
        <f>I264-F265</f>
        <v>-143172.97999999992</v>
      </c>
    </row>
    <row r="266" spans="4:9">
      <c r="D266" s="70">
        <f>DATE(YEAR(D265),MONTH(D265)+1,DAY(D265))</f>
        <v>49775</v>
      </c>
      <c r="E266" s="110">
        <f>-ROUND($C$6,2)</f>
        <v>1603.83</v>
      </c>
      <c r="F266" s="110">
        <f>E266-H266</f>
        <v>2081.0699999999997</v>
      </c>
      <c r="G266" s="164">
        <f>VLOOKUP(D266,$K$11:$L$23,2,TRUE)</f>
        <v>0.04</v>
      </c>
      <c r="H266" s="110">
        <f>ROUND(I265*G266/12,2)</f>
        <v>-477.24</v>
      </c>
      <c r="I266" s="110">
        <f>I265-F266</f>
        <v>-145254.04999999993</v>
      </c>
    </row>
    <row r="267" spans="4:9">
      <c r="D267" s="70">
        <f>DATE(YEAR(D266),MONTH(D266)+1,DAY(D266))</f>
        <v>49805</v>
      </c>
      <c r="E267" s="110">
        <f>-ROUND($C$6,2)</f>
        <v>1603.83</v>
      </c>
      <c r="F267" s="110">
        <f>E267-H267</f>
        <v>2088.0099999999998</v>
      </c>
      <c r="G267" s="164">
        <f>VLOOKUP(D267,$K$11:$L$23,2,TRUE)</f>
        <v>0.04</v>
      </c>
      <c r="H267" s="110">
        <f>ROUND(I266*G267/12,2)</f>
        <v>-484.18</v>
      </c>
      <c r="I267" s="110">
        <f>I266-F267</f>
        <v>-147342.05999999994</v>
      </c>
    </row>
    <row r="268" spans="4:9">
      <c r="D268" s="70">
        <f>DATE(YEAR(D267),MONTH(D267)+1,DAY(D267))</f>
        <v>49836</v>
      </c>
      <c r="E268" s="110">
        <f>-ROUND($C$6,2)</f>
        <v>1603.83</v>
      </c>
      <c r="F268" s="110">
        <f>E268-H268</f>
        <v>2094.9699999999998</v>
      </c>
      <c r="G268" s="164">
        <f>VLOOKUP(D268,$K$11:$L$23,2,TRUE)</f>
        <v>0.04</v>
      </c>
      <c r="H268" s="110">
        <f>ROUND(I267*G268/12,2)</f>
        <v>-491.14</v>
      </c>
      <c r="I268" s="110">
        <f>I267-F268</f>
        <v>-149437.02999999994</v>
      </c>
    </row>
    <row r="269" spans="4:9">
      <c r="D269" s="70">
        <f>DATE(YEAR(D268),MONTH(D268)+1,DAY(D268))</f>
        <v>49866</v>
      </c>
      <c r="E269" s="110">
        <f>-ROUND($C$6,2)</f>
        <v>1603.83</v>
      </c>
      <c r="F269" s="110">
        <f>E269-H269</f>
        <v>2101.9499999999998</v>
      </c>
      <c r="G269" s="164">
        <f>VLOOKUP(D269,$K$11:$L$23,2,TRUE)</f>
        <v>0.04</v>
      </c>
      <c r="H269" s="110">
        <f>ROUND(I268*G269/12,2)</f>
        <v>-498.12</v>
      </c>
      <c r="I269" s="110">
        <f>I268-F269</f>
        <v>-151538.97999999995</v>
      </c>
    </row>
    <row r="270" spans="4:9">
      <c r="D270" s="70">
        <f>DATE(YEAR(D269),MONTH(D269)+1,DAY(D269))</f>
        <v>49897</v>
      </c>
      <c r="E270" s="110">
        <f>-ROUND($C$6,2)</f>
        <v>1603.83</v>
      </c>
      <c r="F270" s="110">
        <f>E270-H270</f>
        <v>2108.96</v>
      </c>
      <c r="G270" s="164">
        <f>VLOOKUP(D270,$K$11:$L$23,2,TRUE)</f>
        <v>0.04</v>
      </c>
      <c r="H270" s="110">
        <f>ROUND(I269*G270/12,2)</f>
        <v>-505.13</v>
      </c>
      <c r="I270" s="110">
        <f>I269-F270</f>
        <v>-153647.93999999994</v>
      </c>
    </row>
    <row r="271" spans="4:9">
      <c r="D271" s="70">
        <f>DATE(YEAR(D270),MONTH(D270)+1,DAY(D270))</f>
        <v>49928</v>
      </c>
      <c r="E271" s="110">
        <f>-ROUND($C$6,2)</f>
        <v>1603.83</v>
      </c>
      <c r="F271" s="110">
        <f>E271-H271</f>
        <v>2115.9899999999998</v>
      </c>
      <c r="G271" s="164">
        <f>VLOOKUP(D271,$K$11:$L$23,2,TRUE)</f>
        <v>0.04</v>
      </c>
      <c r="H271" s="110">
        <f>ROUND(I270*G271/12,2)</f>
        <v>-512.16</v>
      </c>
      <c r="I271" s="110">
        <f>I270-F271</f>
        <v>-155763.92999999993</v>
      </c>
    </row>
    <row r="272" spans="4:9">
      <c r="D272" s="70">
        <f>DATE(YEAR(D271),MONTH(D271)+1,DAY(D271))</f>
        <v>49958</v>
      </c>
      <c r="E272" s="110">
        <f>-ROUND($C$6,2)</f>
        <v>1603.83</v>
      </c>
      <c r="F272" s="110">
        <f>E272-H272</f>
        <v>2123.04</v>
      </c>
      <c r="G272" s="164">
        <f>VLOOKUP(D272,$K$11:$L$23,2,TRUE)</f>
        <v>0.04</v>
      </c>
      <c r="H272" s="110">
        <f>ROUND(I271*G272/12,2)</f>
        <v>-519.21</v>
      </c>
      <c r="I272" s="110">
        <f>I271-F272</f>
        <v>-157886.96999999994</v>
      </c>
    </row>
    <row r="273" spans="4:9">
      <c r="D273" s="70">
        <f>DATE(YEAR(D272),MONTH(D272)+1,DAY(D272))</f>
        <v>49989</v>
      </c>
      <c r="E273" s="110">
        <f>-ROUND($C$6,2)</f>
        <v>1603.83</v>
      </c>
      <c r="F273" s="110">
        <f>E273-H273</f>
        <v>2130.12</v>
      </c>
      <c r="G273" s="164">
        <f>VLOOKUP(D273,$K$11:$L$23,2,TRUE)</f>
        <v>0.04</v>
      </c>
      <c r="H273" s="110">
        <f>ROUND(I272*G273/12,2)</f>
        <v>-526.29</v>
      </c>
      <c r="I273" s="110">
        <f>I272-F273</f>
        <v>-160017.08999999994</v>
      </c>
    </row>
    <row r="274" spans="4:9">
      <c r="D274" s="70">
        <f>DATE(YEAR(D273),MONTH(D273)+1,DAY(D273))</f>
        <v>50019</v>
      </c>
      <c r="E274" s="110">
        <f>-ROUND($C$6,2)</f>
        <v>1603.83</v>
      </c>
      <c r="F274" s="110">
        <f>E274-H274</f>
        <v>2137.2199999999998</v>
      </c>
      <c r="G274" s="164">
        <f>VLOOKUP(D274,$K$11:$L$23,2,TRUE)</f>
        <v>0.04</v>
      </c>
      <c r="H274" s="110">
        <f>ROUND(I273*G274/12,2)</f>
        <v>-533.39</v>
      </c>
      <c r="I274" s="110">
        <f>I273-F274</f>
        <v>-162154.30999999994</v>
      </c>
    </row>
    <row r="275" spans="4:9">
      <c r="D275" s="70">
        <f>DATE(YEAR(D274),MONTH(D274)+1,DAY(D274))</f>
        <v>50050</v>
      </c>
      <c r="E275" s="110">
        <f>-ROUND($C$6,2)</f>
        <v>1603.83</v>
      </c>
      <c r="F275" s="110">
        <f>E275-H275</f>
        <v>2144.34</v>
      </c>
      <c r="G275" s="164">
        <f>VLOOKUP(D275,$K$11:$L$23,2,TRUE)</f>
        <v>0.04</v>
      </c>
      <c r="H275" s="110">
        <f>ROUND(I274*G275/12,2)</f>
        <v>-540.51</v>
      </c>
      <c r="I275" s="110">
        <f>I274-F275</f>
        <v>-164298.64999999994</v>
      </c>
    </row>
    <row r="276" spans="4:9">
      <c r="D276" s="70">
        <f>DATE(YEAR(D275),MONTH(D275)+1,DAY(D275))</f>
        <v>50081</v>
      </c>
      <c r="E276" s="110">
        <f>-ROUND($C$6,2)</f>
        <v>1603.83</v>
      </c>
      <c r="F276" s="110">
        <f>E276-H276</f>
        <v>2151.4899999999998</v>
      </c>
      <c r="G276" s="164">
        <f>VLOOKUP(D276,$K$11:$L$23,2,TRUE)</f>
        <v>0.04</v>
      </c>
      <c r="H276" s="110">
        <f>ROUND(I275*G276/12,2)</f>
        <v>-547.66</v>
      </c>
      <c r="I276" s="110">
        <f>I275-F276</f>
        <v>-166450.13999999993</v>
      </c>
    </row>
    <row r="277" spans="4:9">
      <c r="D277" s="70">
        <f>DATE(YEAR(D276),MONTH(D276)+1,DAY(D276))</f>
        <v>50109</v>
      </c>
      <c r="E277" s="110">
        <f>-ROUND($C$6,2)</f>
        <v>1603.83</v>
      </c>
      <c r="F277" s="110">
        <f>E277-H277</f>
        <v>2158.66</v>
      </c>
      <c r="G277" s="164">
        <f>VLOOKUP(D277,$K$11:$L$23,2,TRUE)</f>
        <v>0.04</v>
      </c>
      <c r="H277" s="110">
        <f>ROUND(I276*G277/12,2)</f>
        <v>-554.83000000000004</v>
      </c>
      <c r="I277" s="110">
        <f>I276-F277</f>
        <v>-168608.79999999993</v>
      </c>
    </row>
    <row r="278" spans="4:9">
      <c r="D278" s="70">
        <f>DATE(YEAR(D277),MONTH(D277)+1,DAY(D277))</f>
        <v>50140</v>
      </c>
      <c r="E278" s="110">
        <f>-ROUND($C$6,2)</f>
        <v>1603.83</v>
      </c>
      <c r="F278" s="110">
        <f>E278-H278</f>
        <v>2165.8599999999997</v>
      </c>
      <c r="G278" s="164">
        <f>VLOOKUP(D278,$K$11:$L$23,2,TRUE)</f>
        <v>0.04</v>
      </c>
      <c r="H278" s="110">
        <f>ROUND(I277*G278/12,2)</f>
        <v>-562.03</v>
      </c>
      <c r="I278" s="110">
        <f>I277-F278</f>
        <v>-170774.65999999992</v>
      </c>
    </row>
    <row r="279" spans="4:9">
      <c r="D279" s="70">
        <f>DATE(YEAR(D278),MONTH(D278)+1,DAY(D278))</f>
        <v>50170</v>
      </c>
      <c r="E279" s="110">
        <f>-ROUND($C$6,2)</f>
        <v>1603.83</v>
      </c>
      <c r="F279" s="110">
        <f>E279-H279</f>
        <v>2173.08</v>
      </c>
      <c r="G279" s="164">
        <f>VLOOKUP(D279,$K$11:$L$23,2,TRUE)</f>
        <v>0.04</v>
      </c>
      <c r="H279" s="110">
        <f>ROUND(I278*G279/12,2)</f>
        <v>-569.25</v>
      </c>
      <c r="I279" s="110">
        <f>I278-F279</f>
        <v>-172947.7399999999</v>
      </c>
    </row>
    <row r="280" spans="4:9">
      <c r="D280" s="70">
        <f>DATE(YEAR(D279),MONTH(D279)+1,DAY(D279))</f>
        <v>50201</v>
      </c>
      <c r="E280" s="110">
        <f>-ROUND($C$6,2)</f>
        <v>1603.83</v>
      </c>
      <c r="F280" s="110">
        <f>E280-H280</f>
        <v>2180.3199999999997</v>
      </c>
      <c r="G280" s="164">
        <f>VLOOKUP(D280,$K$11:$L$23,2,TRUE)</f>
        <v>0.04</v>
      </c>
      <c r="H280" s="110">
        <f>ROUND(I279*G280/12,2)</f>
        <v>-576.49</v>
      </c>
      <c r="I280" s="110">
        <f>I279-F280</f>
        <v>-175128.05999999991</v>
      </c>
    </row>
    <row r="281" spans="4:9">
      <c r="D281" s="70">
        <f>DATE(YEAR(D280),MONTH(D280)+1,DAY(D280))</f>
        <v>50231</v>
      </c>
      <c r="E281" s="110">
        <f>-ROUND($C$6,2)</f>
        <v>1603.83</v>
      </c>
      <c r="F281" s="110">
        <f>E281-H281</f>
        <v>2187.59</v>
      </c>
      <c r="G281" s="164">
        <f>VLOOKUP(D281,$K$11:$L$23,2,TRUE)</f>
        <v>0.04</v>
      </c>
      <c r="H281" s="110">
        <f>ROUND(I280*G281/12,2)</f>
        <v>-583.76</v>
      </c>
      <c r="I281" s="110">
        <f>I280-F281</f>
        <v>-177315.64999999991</v>
      </c>
    </row>
    <row r="282" spans="4:9">
      <c r="D282" s="70">
        <f>DATE(YEAR(D281),MONTH(D281)+1,DAY(D281))</f>
        <v>50262</v>
      </c>
      <c r="E282" s="110">
        <f>-ROUND($C$6,2)</f>
        <v>1603.83</v>
      </c>
      <c r="F282" s="110">
        <f>E282-H282</f>
        <v>2194.88</v>
      </c>
      <c r="G282" s="164">
        <f>VLOOKUP(D282,$K$11:$L$23,2,TRUE)</f>
        <v>0.04</v>
      </c>
      <c r="H282" s="110">
        <f>ROUND(I281*G282/12,2)</f>
        <v>-591.04999999999995</v>
      </c>
      <c r="I282" s="110">
        <f>I281-F282</f>
        <v>-179510.52999999991</v>
      </c>
    </row>
    <row r="283" spans="4:9">
      <c r="D283" s="70">
        <f>DATE(YEAR(D282),MONTH(D282)+1,DAY(D282))</f>
        <v>50293</v>
      </c>
      <c r="E283" s="110">
        <f>-ROUND($C$6,2)</f>
        <v>1603.83</v>
      </c>
      <c r="F283" s="110">
        <f>E283-H283</f>
        <v>2202.1999999999998</v>
      </c>
      <c r="G283" s="164">
        <f>VLOOKUP(D283,$K$11:$L$23,2,TRUE)</f>
        <v>0.04</v>
      </c>
      <c r="H283" s="110">
        <f>ROUND(I282*G283/12,2)</f>
        <v>-598.37</v>
      </c>
      <c r="I283" s="110">
        <f>I282-F283</f>
        <v>-181712.72999999992</v>
      </c>
    </row>
    <row r="284" spans="4:9">
      <c r="D284" s="70">
        <f>DATE(YEAR(D283),MONTH(D283)+1,DAY(D283))</f>
        <v>50323</v>
      </c>
      <c r="E284" s="110">
        <f>-ROUND($C$6,2)</f>
        <v>1603.83</v>
      </c>
      <c r="F284" s="110">
        <f>E284-H284</f>
        <v>2209.54</v>
      </c>
      <c r="G284" s="164">
        <f>VLOOKUP(D284,$K$11:$L$23,2,TRUE)</f>
        <v>0.04</v>
      </c>
      <c r="H284" s="110">
        <f>ROUND(I283*G284/12,2)</f>
        <v>-605.71</v>
      </c>
      <c r="I284" s="110">
        <f>I283-F284</f>
        <v>-183922.26999999993</v>
      </c>
    </row>
    <row r="285" spans="4:9">
      <c r="D285" s="70">
        <f>DATE(YEAR(D284),MONTH(D284)+1,DAY(D284))</f>
        <v>50354</v>
      </c>
      <c r="E285" s="110">
        <f>-ROUND($C$6,2)</f>
        <v>1603.83</v>
      </c>
      <c r="F285" s="110">
        <f>E285-H285</f>
        <v>2216.9</v>
      </c>
      <c r="G285" s="164">
        <f>VLOOKUP(D285,$K$11:$L$23,2,TRUE)</f>
        <v>0.04</v>
      </c>
      <c r="H285" s="110">
        <f>ROUND(I284*G285/12,2)</f>
        <v>-613.07000000000005</v>
      </c>
      <c r="I285" s="110">
        <f>I284-F285</f>
        <v>-186139.16999999993</v>
      </c>
    </row>
    <row r="286" spans="4:9">
      <c r="D286" s="70">
        <f>DATE(YEAR(D285),MONTH(D285)+1,DAY(D285))</f>
        <v>50384</v>
      </c>
      <c r="E286" s="110">
        <f>-ROUND($C$6,2)</f>
        <v>1603.83</v>
      </c>
      <c r="F286" s="110">
        <f>E286-H286</f>
        <v>2224.29</v>
      </c>
      <c r="G286" s="164">
        <f>VLOOKUP(D286,$K$11:$L$23,2,TRUE)</f>
        <v>0.04</v>
      </c>
      <c r="H286" s="110">
        <f>ROUND(I285*G286/12,2)</f>
        <v>-620.46</v>
      </c>
      <c r="I286" s="110">
        <f>I285-F286</f>
        <v>-188363.45999999993</v>
      </c>
    </row>
    <row r="287" spans="4:9">
      <c r="D287" s="70">
        <f>DATE(YEAR(D286),MONTH(D286)+1,DAY(D286))</f>
        <v>50415</v>
      </c>
      <c r="E287" s="110">
        <f>-ROUND($C$6,2)</f>
        <v>1603.83</v>
      </c>
      <c r="F287" s="110">
        <f>E287-H287</f>
        <v>2231.71</v>
      </c>
      <c r="G287" s="164">
        <f>VLOOKUP(D287,$K$11:$L$23,2,TRUE)</f>
        <v>0.04</v>
      </c>
      <c r="H287" s="110">
        <f>ROUND(I286*G287/12,2)</f>
        <v>-627.88</v>
      </c>
      <c r="I287" s="110">
        <f>I286-F287</f>
        <v>-190595.16999999993</v>
      </c>
    </row>
    <row r="288" spans="4:9">
      <c r="D288" s="70">
        <f>DATE(YEAR(D287),MONTH(D287)+1,DAY(D287))</f>
        <v>50446</v>
      </c>
      <c r="E288" s="110">
        <f>-ROUND($C$6,2)</f>
        <v>1603.83</v>
      </c>
      <c r="F288" s="110">
        <f>E288-H288</f>
        <v>2239.15</v>
      </c>
      <c r="G288" s="164">
        <f>VLOOKUP(D288,$K$11:$L$23,2,TRUE)</f>
        <v>0.04</v>
      </c>
      <c r="H288" s="110">
        <f>ROUND(I287*G288/12,2)</f>
        <v>-635.32000000000005</v>
      </c>
      <c r="I288" s="110">
        <f>I287-F288</f>
        <v>-192834.31999999992</v>
      </c>
    </row>
    <row r="289" spans="4:9">
      <c r="D289" s="70">
        <f>DATE(YEAR(D288),MONTH(D288)+1,DAY(D288))</f>
        <v>50474</v>
      </c>
      <c r="E289" s="110">
        <f>-ROUND($C$6,2)</f>
        <v>1603.83</v>
      </c>
      <c r="F289" s="110">
        <f>E289-H289</f>
        <v>2246.6099999999997</v>
      </c>
      <c r="G289" s="164">
        <f>VLOOKUP(D289,$K$11:$L$23,2,TRUE)</f>
        <v>0.04</v>
      </c>
      <c r="H289" s="110">
        <f>ROUND(I288*G289/12,2)</f>
        <v>-642.78</v>
      </c>
      <c r="I289" s="110">
        <f>I288-F289</f>
        <v>-195080.92999999991</v>
      </c>
    </row>
    <row r="290" spans="4:9">
      <c r="D290" s="70">
        <f>DATE(YEAR(D289),MONTH(D289)+1,DAY(D289))</f>
        <v>50505</v>
      </c>
      <c r="E290" s="110">
        <f>-ROUND($C$6,2)</f>
        <v>1603.83</v>
      </c>
      <c r="F290" s="110">
        <f>E290-H290</f>
        <v>2254.1</v>
      </c>
      <c r="G290" s="164">
        <f>VLOOKUP(D290,$K$11:$L$23,2,TRUE)</f>
        <v>0.04</v>
      </c>
      <c r="H290" s="110">
        <f>ROUND(I289*G290/12,2)</f>
        <v>-650.27</v>
      </c>
      <c r="I290" s="110">
        <f>I289-F290</f>
        <v>-197335.02999999991</v>
      </c>
    </row>
    <row r="291" spans="4:9">
      <c r="D291" s="70">
        <f>DATE(YEAR(D290),MONTH(D290)+1,DAY(D290))</f>
        <v>50535</v>
      </c>
      <c r="E291" s="110">
        <f>-ROUND($C$6,2)</f>
        <v>1603.83</v>
      </c>
      <c r="F291" s="110">
        <f>E291-H291</f>
        <v>2261.6099999999997</v>
      </c>
      <c r="G291" s="164">
        <f>VLOOKUP(D291,$K$11:$L$23,2,TRUE)</f>
        <v>0.04</v>
      </c>
      <c r="H291" s="110">
        <f>ROUND(I290*G291/12,2)</f>
        <v>-657.78</v>
      </c>
      <c r="I291" s="110">
        <f>I290-F291</f>
        <v>-199596.6399999999</v>
      </c>
    </row>
    <row r="292" spans="4:9">
      <c r="D292" s="70">
        <f>DATE(YEAR(D291),MONTH(D291)+1,DAY(D291))</f>
        <v>50566</v>
      </c>
      <c r="E292" s="110">
        <f>-ROUND($C$6,2)</f>
        <v>1603.83</v>
      </c>
      <c r="F292" s="110">
        <f>E292-H292</f>
        <v>2269.15</v>
      </c>
      <c r="G292" s="164">
        <f>VLOOKUP(D292,$K$11:$L$23,2,TRUE)</f>
        <v>0.04</v>
      </c>
      <c r="H292" s="110">
        <f>ROUND(I291*G292/12,2)</f>
        <v>-665.32</v>
      </c>
      <c r="I292" s="110">
        <f>I291-F292</f>
        <v>-201865.78999999989</v>
      </c>
    </row>
    <row r="293" spans="4:9">
      <c r="D293" s="70">
        <f>DATE(YEAR(D292),MONTH(D292)+1,DAY(D292))</f>
        <v>50596</v>
      </c>
      <c r="E293" s="110">
        <f>-ROUND($C$6,2)</f>
        <v>1603.83</v>
      </c>
      <c r="F293" s="110">
        <f>E293-H293</f>
        <v>2276.7199999999998</v>
      </c>
      <c r="G293" s="164">
        <f>VLOOKUP(D293,$K$11:$L$23,2,TRUE)</f>
        <v>0.04</v>
      </c>
      <c r="H293" s="110">
        <f>ROUND(I292*G293/12,2)</f>
        <v>-672.89</v>
      </c>
      <c r="I293" s="110">
        <f>I292-F293</f>
        <v>-204142.50999999989</v>
      </c>
    </row>
    <row r="294" spans="4:9">
      <c r="D294" s="70">
        <f>DATE(YEAR(D293),MONTH(D293)+1,DAY(D293))</f>
        <v>50627</v>
      </c>
      <c r="E294" s="110">
        <f>-ROUND($C$6,2)</f>
        <v>1603.83</v>
      </c>
      <c r="F294" s="110">
        <f>E294-H294</f>
        <v>2284.31</v>
      </c>
      <c r="G294" s="164">
        <f>VLOOKUP(D294,$K$11:$L$23,2,TRUE)</f>
        <v>0.04</v>
      </c>
      <c r="H294" s="110">
        <f>ROUND(I293*G294/12,2)</f>
        <v>-680.48</v>
      </c>
      <c r="I294" s="110">
        <f>I293-F294</f>
        <v>-206426.81999999989</v>
      </c>
    </row>
    <row r="295" spans="4:9">
      <c r="D295" s="70">
        <f>DATE(YEAR(D294),MONTH(D294)+1,DAY(D294))</f>
        <v>50658</v>
      </c>
      <c r="E295" s="110">
        <f>-ROUND($C$6,2)</f>
        <v>1603.83</v>
      </c>
      <c r="F295" s="110">
        <f>E295-H295</f>
        <v>2291.92</v>
      </c>
      <c r="G295" s="164">
        <f>VLOOKUP(D295,$K$11:$L$23,2,TRUE)</f>
        <v>0.04</v>
      </c>
      <c r="H295" s="110">
        <f>ROUND(I294*G295/12,2)</f>
        <v>-688.09</v>
      </c>
      <c r="I295" s="110">
        <f>I294-F295</f>
        <v>-208718.7399999999</v>
      </c>
    </row>
    <row r="296" spans="4:9">
      <c r="D296" s="70">
        <f>DATE(YEAR(D295),MONTH(D295)+1,DAY(D295))</f>
        <v>50688</v>
      </c>
      <c r="E296" s="110">
        <f>-ROUND($C$6,2)</f>
        <v>1603.83</v>
      </c>
      <c r="F296" s="110">
        <f>E296-H296</f>
        <v>2299.56</v>
      </c>
      <c r="G296" s="164">
        <f>VLOOKUP(D296,$K$11:$L$23,2,TRUE)</f>
        <v>0.04</v>
      </c>
      <c r="H296" s="110">
        <f>ROUND(I295*G296/12,2)</f>
        <v>-695.73</v>
      </c>
      <c r="I296" s="110">
        <f>I295-F296</f>
        <v>-211018.2999999999</v>
      </c>
    </row>
    <row r="297" spans="4:9">
      <c r="D297" s="70">
        <f>DATE(YEAR(D296),MONTH(D296)+1,DAY(D296))</f>
        <v>50719</v>
      </c>
      <c r="E297" s="110">
        <f>-ROUND($C$6,2)</f>
        <v>1603.83</v>
      </c>
      <c r="F297" s="110">
        <f>E297-H297</f>
        <v>2307.2199999999998</v>
      </c>
      <c r="G297" s="164">
        <f>VLOOKUP(D297,$K$11:$L$23,2,TRUE)</f>
        <v>0.04</v>
      </c>
      <c r="H297" s="110">
        <f>ROUND(I296*G297/12,2)</f>
        <v>-703.39</v>
      </c>
      <c r="I297" s="110">
        <f>I296-F297</f>
        <v>-213325.5199999999</v>
      </c>
    </row>
    <row r="298" spans="4:9">
      <c r="D298" s="70">
        <f>DATE(YEAR(D297),MONTH(D297)+1,DAY(D297))</f>
        <v>50749</v>
      </c>
      <c r="E298" s="110">
        <f>-ROUND($C$6,2)</f>
        <v>1603.83</v>
      </c>
      <c r="F298" s="110">
        <f>E298-H298</f>
        <v>2314.92</v>
      </c>
      <c r="G298" s="164">
        <f>VLOOKUP(D298,$K$11:$L$23,2,TRUE)</f>
        <v>0.04</v>
      </c>
      <c r="H298" s="110">
        <f>ROUND(I297*G298/12,2)</f>
        <v>-711.09</v>
      </c>
      <c r="I298" s="110">
        <f>I297-F298</f>
        <v>-215640.43999999992</v>
      </c>
    </row>
    <row r="299" spans="4:9">
      <c r="D299" s="70">
        <f>DATE(YEAR(D298),MONTH(D298)+1,DAY(D298))</f>
        <v>50780</v>
      </c>
      <c r="E299" s="110">
        <f>-ROUND($C$6,2)</f>
        <v>1603.83</v>
      </c>
      <c r="F299" s="110">
        <f>E299-H299</f>
        <v>2322.63</v>
      </c>
      <c r="G299" s="164">
        <f>VLOOKUP(D299,$K$11:$L$23,2,TRUE)</f>
        <v>0.04</v>
      </c>
      <c r="H299" s="110">
        <f>ROUND(I298*G299/12,2)</f>
        <v>-718.8</v>
      </c>
      <c r="I299" s="110">
        <f>I298-F299</f>
        <v>-217963.06999999992</v>
      </c>
    </row>
    <row r="300" spans="4:9">
      <c r="D300" s="70">
        <f>DATE(YEAR(D299),MONTH(D299)+1,DAY(D299))</f>
        <v>50811</v>
      </c>
      <c r="E300" s="110">
        <f>-ROUND($C$6,2)</f>
        <v>1603.83</v>
      </c>
      <c r="F300" s="110">
        <f>E300-H300</f>
        <v>2330.37</v>
      </c>
      <c r="G300" s="164">
        <f>VLOOKUP(D300,$K$11:$L$23,2,TRUE)</f>
        <v>0.04</v>
      </c>
      <c r="H300" s="110">
        <f>ROUND(I299*G300/12,2)</f>
        <v>-726.54</v>
      </c>
      <c r="I300" s="110">
        <f>I299-F300</f>
        <v>-220293.43999999992</v>
      </c>
    </row>
    <row r="301" spans="4:9">
      <c r="D301" s="70">
        <f>DATE(YEAR(D300),MONTH(D300)+1,DAY(D300))</f>
        <v>50839</v>
      </c>
      <c r="E301" s="110">
        <f>-ROUND($C$6,2)</f>
        <v>1603.83</v>
      </c>
      <c r="F301" s="110">
        <f>E301-H301</f>
        <v>2338.14</v>
      </c>
      <c r="G301" s="164">
        <f>VLOOKUP(D301,$K$11:$L$23,2,TRUE)</f>
        <v>0.04</v>
      </c>
      <c r="H301" s="110">
        <f>ROUND(I300*G301/12,2)</f>
        <v>-734.31</v>
      </c>
      <c r="I301" s="110">
        <f>I300-F301</f>
        <v>-222631.57999999993</v>
      </c>
    </row>
    <row r="302" spans="4:9">
      <c r="D302" s="70">
        <f>DATE(YEAR(D301),MONTH(D301)+1,DAY(D301))</f>
        <v>50870</v>
      </c>
      <c r="E302" s="110">
        <f>-ROUND($C$6,2)</f>
        <v>1603.83</v>
      </c>
      <c r="F302" s="110">
        <f>E302-H302</f>
        <v>2345.94</v>
      </c>
      <c r="G302" s="164">
        <f>VLOOKUP(D302,$K$11:$L$23,2,TRUE)</f>
        <v>0.04</v>
      </c>
      <c r="H302" s="110">
        <f>ROUND(I301*G302/12,2)</f>
        <v>-742.11</v>
      </c>
      <c r="I302" s="110">
        <f>I301-F302</f>
        <v>-224977.51999999993</v>
      </c>
    </row>
    <row r="303" spans="4:9">
      <c r="D303" s="70">
        <f>DATE(YEAR(D302),MONTH(D302)+1,DAY(D302))</f>
        <v>50900</v>
      </c>
      <c r="E303" s="110">
        <f>-ROUND($C$6,2)</f>
        <v>1603.83</v>
      </c>
      <c r="F303" s="110">
        <f>E303-H303</f>
        <v>2353.7599999999998</v>
      </c>
      <c r="G303" s="164">
        <f>VLOOKUP(D303,$K$11:$L$23,2,TRUE)</f>
        <v>0.04</v>
      </c>
      <c r="H303" s="110">
        <f>ROUND(I302*G303/12,2)</f>
        <v>-749.93</v>
      </c>
      <c r="I303" s="110">
        <f>I302-F303</f>
        <v>-227331.27999999994</v>
      </c>
    </row>
    <row r="304" spans="4:9">
      <c r="D304" s="70">
        <f>DATE(YEAR(D303),MONTH(D303)+1,DAY(D303))</f>
        <v>50931</v>
      </c>
      <c r="E304" s="110">
        <f>-ROUND($C$6,2)</f>
        <v>1603.83</v>
      </c>
      <c r="F304" s="110">
        <f>E304-H304</f>
        <v>2361.6</v>
      </c>
      <c r="G304" s="164">
        <f>VLOOKUP(D304,$K$11:$L$23,2,TRUE)</f>
        <v>0.04</v>
      </c>
      <c r="H304" s="110">
        <f>ROUND(I303*G304/12,2)</f>
        <v>-757.77</v>
      </c>
      <c r="I304" s="110">
        <f>I303-F304</f>
        <v>-229692.87999999995</v>
      </c>
    </row>
    <row r="305" spans="4:9">
      <c r="D305" s="70">
        <f>DATE(YEAR(D304),MONTH(D304)+1,DAY(D304))</f>
        <v>50961</v>
      </c>
      <c r="E305" s="110">
        <f>-ROUND($C$6,2)</f>
        <v>1603.83</v>
      </c>
      <c r="F305" s="110">
        <f>E305-H305</f>
        <v>2369.4699999999998</v>
      </c>
      <c r="G305" s="164">
        <f>VLOOKUP(D305,$K$11:$L$23,2,TRUE)</f>
        <v>0.04</v>
      </c>
      <c r="H305" s="110">
        <f>ROUND(I304*G305/12,2)</f>
        <v>-765.64</v>
      </c>
      <c r="I305" s="110">
        <f>I304-F305</f>
        <v>-232062.34999999995</v>
      </c>
    </row>
    <row r="306" spans="4:9">
      <c r="D306" s="70">
        <f>DATE(YEAR(D305),MONTH(D305)+1,DAY(D305))</f>
        <v>50992</v>
      </c>
      <c r="E306" s="110">
        <f>-ROUND($C$6,2)</f>
        <v>1603.83</v>
      </c>
      <c r="F306" s="110">
        <f>E306-H306</f>
        <v>2377.37</v>
      </c>
      <c r="G306" s="164">
        <f>VLOOKUP(D306,$K$11:$L$23,2,TRUE)</f>
        <v>0.04</v>
      </c>
      <c r="H306" s="110">
        <f>ROUND(I305*G306/12,2)</f>
        <v>-773.54</v>
      </c>
      <c r="I306" s="110">
        <f>I305-F306</f>
        <v>-234439.71999999994</v>
      </c>
    </row>
    <row r="307" spans="4:9">
      <c r="D307" s="70">
        <f>DATE(YEAR(D306),MONTH(D306)+1,DAY(D306))</f>
        <v>51023</v>
      </c>
      <c r="E307" s="110">
        <f>-ROUND($C$6,2)</f>
        <v>1603.83</v>
      </c>
      <c r="F307" s="110">
        <f>E307-H307</f>
        <v>2385.3000000000002</v>
      </c>
      <c r="G307" s="164">
        <f>VLOOKUP(D307,$K$11:$L$23,2,TRUE)</f>
        <v>0.04</v>
      </c>
      <c r="H307" s="110">
        <f>ROUND(I306*G307/12,2)</f>
        <v>-781.47</v>
      </c>
      <c r="I307" s="110">
        <f>I306-F307</f>
        <v>-236825.01999999993</v>
      </c>
    </row>
    <row r="308" spans="4:9">
      <c r="D308" s="70">
        <f>DATE(YEAR(D307),MONTH(D307)+1,DAY(D307))</f>
        <v>51053</v>
      </c>
      <c r="E308" s="110">
        <f>-ROUND($C$6,2)</f>
        <v>1603.83</v>
      </c>
      <c r="F308" s="110">
        <f>E308-H308</f>
        <v>2393.25</v>
      </c>
      <c r="G308" s="164">
        <f>VLOOKUP(D308,$K$11:$L$23,2,TRUE)</f>
        <v>0.04</v>
      </c>
      <c r="H308" s="110">
        <f>ROUND(I307*G308/12,2)</f>
        <v>-789.42</v>
      </c>
      <c r="I308" s="110">
        <f>I307-F308</f>
        <v>-239218.26999999993</v>
      </c>
    </row>
    <row r="309" spans="4:9">
      <c r="D309" s="70">
        <f>DATE(YEAR(D308),MONTH(D308)+1,DAY(D308))</f>
        <v>51084</v>
      </c>
      <c r="E309" s="110">
        <f>-ROUND($C$6,2)</f>
        <v>1603.83</v>
      </c>
      <c r="F309" s="110">
        <f>E309-H309</f>
        <v>2401.2199999999998</v>
      </c>
      <c r="G309" s="164">
        <f>VLOOKUP(D309,$K$11:$L$23,2,TRUE)</f>
        <v>0.04</v>
      </c>
      <c r="H309" s="110">
        <f>ROUND(I308*G309/12,2)</f>
        <v>-797.39</v>
      </c>
      <c r="I309" s="110">
        <f>I308-F309</f>
        <v>-241619.48999999993</v>
      </c>
    </row>
    <row r="310" spans="4:9">
      <c r="D310" s="70">
        <f>DATE(YEAR(D309),MONTH(D309)+1,DAY(D309))</f>
        <v>51114</v>
      </c>
      <c r="E310" s="110">
        <f>-ROUND($C$6,2)</f>
        <v>1603.83</v>
      </c>
      <c r="F310" s="110">
        <f>E310-H310</f>
        <v>2409.23</v>
      </c>
      <c r="G310" s="164">
        <f>VLOOKUP(D310,$K$11:$L$23,2,TRUE)</f>
        <v>0.04</v>
      </c>
      <c r="H310" s="110">
        <f>ROUND(I309*G310/12,2)</f>
        <v>-805.4</v>
      </c>
      <c r="I310" s="110">
        <f>I309-F310</f>
        <v>-244028.71999999994</v>
      </c>
    </row>
    <row r="311" spans="4:9">
      <c r="D311" s="70">
        <f>DATE(YEAR(D310),MONTH(D310)+1,DAY(D310))</f>
        <v>51145</v>
      </c>
      <c r="E311" s="110">
        <f>-ROUND($C$6,2)</f>
        <v>1603.83</v>
      </c>
      <c r="F311" s="110">
        <f>E311-H311</f>
        <v>2417.2599999999998</v>
      </c>
      <c r="G311" s="164">
        <f>VLOOKUP(D311,$K$11:$L$23,2,TRUE)</f>
        <v>0.04</v>
      </c>
      <c r="H311" s="110">
        <f>ROUND(I310*G311/12,2)</f>
        <v>-813.43</v>
      </c>
      <c r="I311" s="110">
        <f>I310-F311</f>
        <v>-246445.97999999995</v>
      </c>
    </row>
    <row r="312" spans="4:9">
      <c r="D312" s="70">
        <f>DATE(YEAR(D311),MONTH(D311)+1,DAY(D311))</f>
        <v>51176</v>
      </c>
      <c r="E312" s="110">
        <f>-ROUND($C$6,2)</f>
        <v>1603.83</v>
      </c>
      <c r="F312" s="110">
        <f>E312-H312</f>
        <v>2425.3199999999997</v>
      </c>
      <c r="G312" s="164">
        <f>VLOOKUP(D312,$K$11:$L$23,2,TRUE)</f>
        <v>0.04</v>
      </c>
      <c r="H312" s="110">
        <f>ROUND(I311*G312/12,2)</f>
        <v>-821.49</v>
      </c>
      <c r="I312" s="110">
        <f>I311-F312</f>
        <v>-248871.29999999996</v>
      </c>
    </row>
    <row r="313" spans="4:9">
      <c r="D313" s="70">
        <f>DATE(YEAR(D312),MONTH(D312)+1,DAY(D312))</f>
        <v>51205</v>
      </c>
      <c r="E313" s="110">
        <f>-ROUND($C$6,2)</f>
        <v>1603.83</v>
      </c>
      <c r="F313" s="110">
        <f>E313-H313</f>
        <v>2433.4</v>
      </c>
      <c r="G313" s="164">
        <f>VLOOKUP(D313,$K$11:$L$23,2,TRUE)</f>
        <v>0.04</v>
      </c>
      <c r="H313" s="110">
        <f>ROUND(I312*G313/12,2)</f>
        <v>-829.57</v>
      </c>
      <c r="I313" s="110">
        <f>I312-F313</f>
        <v>-251304.69999999995</v>
      </c>
    </row>
    <row r="314" spans="4:9">
      <c r="D314" s="70">
        <f>DATE(YEAR(D313),MONTH(D313)+1,DAY(D313))</f>
        <v>51236</v>
      </c>
      <c r="E314" s="110">
        <f>-ROUND($C$6,2)</f>
        <v>1603.83</v>
      </c>
      <c r="F314" s="110">
        <f>E314-H314</f>
        <v>2441.5099999999998</v>
      </c>
      <c r="G314" s="164">
        <f>VLOOKUP(D314,$K$11:$L$23,2,TRUE)</f>
        <v>0.04</v>
      </c>
      <c r="H314" s="110">
        <f>ROUND(I313*G314/12,2)</f>
        <v>-837.68</v>
      </c>
      <c r="I314" s="110">
        <f>I313-F314</f>
        <v>-253746.20999999996</v>
      </c>
    </row>
    <row r="315" spans="4:9">
      <c r="D315" s="70">
        <f>DATE(YEAR(D314),MONTH(D314)+1,DAY(D314))</f>
        <v>51266</v>
      </c>
      <c r="E315" s="110">
        <f>-ROUND($C$6,2)</f>
        <v>1603.83</v>
      </c>
      <c r="F315" s="110">
        <f>E315-H315</f>
        <v>2449.65</v>
      </c>
      <c r="G315" s="164">
        <f>VLOOKUP(D315,$K$11:$L$23,2,TRUE)</f>
        <v>0.04</v>
      </c>
      <c r="H315" s="110">
        <f>ROUND(I314*G315/12,2)</f>
        <v>-845.82</v>
      </c>
      <c r="I315" s="110">
        <f>I314-F315</f>
        <v>-256195.85999999996</v>
      </c>
    </row>
    <row r="316" spans="4:9">
      <c r="D316" s="70">
        <f>DATE(YEAR(D315),MONTH(D315)+1,DAY(D315))</f>
        <v>51297</v>
      </c>
      <c r="E316" s="110">
        <f>-ROUND($C$6,2)</f>
        <v>1603.83</v>
      </c>
      <c r="F316" s="110">
        <f>E316-H316</f>
        <v>2457.8199999999997</v>
      </c>
      <c r="G316" s="164">
        <f>VLOOKUP(D316,$K$11:$L$23,2,TRUE)</f>
        <v>0.04</v>
      </c>
      <c r="H316" s="110">
        <f>ROUND(I315*G316/12,2)</f>
        <v>-853.99</v>
      </c>
      <c r="I316" s="110">
        <f>I315-F316</f>
        <v>-258653.67999999996</v>
      </c>
    </row>
    <row r="317" spans="4:9">
      <c r="D317" s="70">
        <f>DATE(YEAR(D316),MONTH(D316)+1,DAY(D316))</f>
        <v>51327</v>
      </c>
      <c r="E317" s="110">
        <f>-ROUND($C$6,2)</f>
        <v>1603.83</v>
      </c>
      <c r="F317" s="110">
        <f>E317-H317</f>
        <v>2466.0099999999998</v>
      </c>
      <c r="G317" s="164">
        <f>VLOOKUP(D317,$K$11:$L$23,2,TRUE)</f>
        <v>0.04</v>
      </c>
      <c r="H317" s="110">
        <f>ROUND(I316*G317/12,2)</f>
        <v>-862.18</v>
      </c>
      <c r="I317" s="110">
        <f>I316-F317</f>
        <v>-261119.68999999997</v>
      </c>
    </row>
    <row r="318" spans="4:9">
      <c r="D318" s="70">
        <f>DATE(YEAR(D317),MONTH(D317)+1,DAY(D317))</f>
        <v>51358</v>
      </c>
      <c r="E318" s="110">
        <f>-ROUND($C$6,2)</f>
        <v>1603.83</v>
      </c>
      <c r="F318" s="110">
        <f>E318-H318</f>
        <v>2474.23</v>
      </c>
      <c r="G318" s="164">
        <f>VLOOKUP(D318,$K$11:$L$23,2,TRUE)</f>
        <v>0.04</v>
      </c>
      <c r="H318" s="110">
        <f>ROUND(I317*G318/12,2)</f>
        <v>-870.4</v>
      </c>
      <c r="I318" s="110">
        <f>I317-F318</f>
        <v>-263593.92</v>
      </c>
    </row>
    <row r="319" spans="4:9">
      <c r="D319" s="70">
        <f>DATE(YEAR(D318),MONTH(D318)+1,DAY(D318))</f>
        <v>51389</v>
      </c>
      <c r="E319" s="110">
        <f>-ROUND($C$6,2)</f>
        <v>1603.83</v>
      </c>
      <c r="F319" s="110">
        <f>E319-H319</f>
        <v>2482.48</v>
      </c>
      <c r="G319" s="164">
        <f>VLOOKUP(D319,$K$11:$L$23,2,TRUE)</f>
        <v>0.04</v>
      </c>
      <c r="H319" s="110">
        <f>ROUND(I318*G319/12,2)</f>
        <v>-878.65</v>
      </c>
      <c r="I319" s="110">
        <f>I318-F319</f>
        <v>-266076.39999999997</v>
      </c>
    </row>
    <row r="320" spans="4:9">
      <c r="D320" s="70">
        <f>DATE(YEAR(D319),MONTH(D319)+1,DAY(D319))</f>
        <v>51419</v>
      </c>
      <c r="E320" s="110">
        <f>-ROUND($C$6,2)</f>
        <v>1603.83</v>
      </c>
      <c r="F320" s="110">
        <f>E320-H320</f>
        <v>2490.75</v>
      </c>
      <c r="G320" s="164">
        <f>VLOOKUP(D320,$K$11:$L$23,2,TRUE)</f>
        <v>0.04</v>
      </c>
      <c r="H320" s="110">
        <f>ROUND(I319*G320/12,2)</f>
        <v>-886.92</v>
      </c>
      <c r="I320" s="110">
        <f>I319-F320</f>
        <v>-268567.14999999997</v>
      </c>
    </row>
    <row r="321" spans="4:9">
      <c r="D321" s="70">
        <f>DATE(YEAR(D320),MONTH(D320)+1,DAY(D320))</f>
        <v>51450</v>
      </c>
      <c r="E321" s="110">
        <f>-ROUND($C$6,2)</f>
        <v>1603.83</v>
      </c>
      <c r="F321" s="110">
        <f>E321-H321</f>
        <v>2499.0500000000002</v>
      </c>
      <c r="G321" s="164">
        <f>VLOOKUP(D321,$K$11:$L$23,2,TRUE)</f>
        <v>0.04</v>
      </c>
      <c r="H321" s="110">
        <f>ROUND(I320*G321/12,2)</f>
        <v>-895.22</v>
      </c>
      <c r="I321" s="110">
        <f>I320-F321</f>
        <v>-271066.19999999995</v>
      </c>
    </row>
    <row r="322" spans="4:9">
      <c r="D322" s="70">
        <f>DATE(YEAR(D321),MONTH(D321)+1,DAY(D321))</f>
        <v>51480</v>
      </c>
      <c r="E322" s="110">
        <f>-ROUND($C$6,2)</f>
        <v>1603.83</v>
      </c>
      <c r="F322" s="110">
        <f>E322-H322</f>
        <v>2507.38</v>
      </c>
      <c r="G322" s="164">
        <f>VLOOKUP(D322,$K$11:$L$23,2,TRUE)</f>
        <v>0.04</v>
      </c>
      <c r="H322" s="110">
        <f>ROUND(I321*G322/12,2)</f>
        <v>-903.55</v>
      </c>
      <c r="I322" s="110">
        <f>I321-F322</f>
        <v>-273573.57999999996</v>
      </c>
    </row>
    <row r="323" spans="4:9">
      <c r="D323" s="70">
        <f>DATE(YEAR(D322),MONTH(D322)+1,DAY(D322))</f>
        <v>51511</v>
      </c>
      <c r="E323" s="110">
        <f>-ROUND($C$6,2)</f>
        <v>1603.83</v>
      </c>
      <c r="F323" s="110">
        <f>E323-H323</f>
        <v>2515.7399999999998</v>
      </c>
      <c r="G323" s="164">
        <f>VLOOKUP(D323,$K$11:$L$23,2,TRUE)</f>
        <v>0.04</v>
      </c>
      <c r="H323" s="110">
        <f>ROUND(I322*G323/12,2)</f>
        <v>-911.91</v>
      </c>
      <c r="I323" s="110">
        <f>I322-F323</f>
        <v>-276089.31999999995</v>
      </c>
    </row>
    <row r="324" spans="4:9">
      <c r="D324" s="70">
        <f>DATE(YEAR(D323),MONTH(D323)+1,DAY(D323))</f>
        <v>51542</v>
      </c>
      <c r="E324" s="110">
        <f>-ROUND($C$6,2)</f>
        <v>1603.83</v>
      </c>
      <c r="F324" s="110">
        <f>E324-H324</f>
        <v>2524.13</v>
      </c>
      <c r="G324" s="164">
        <f>VLOOKUP(D324,$K$11:$L$23,2,TRUE)</f>
        <v>0.04</v>
      </c>
      <c r="H324" s="110">
        <f>ROUND(I323*G324/12,2)</f>
        <v>-920.3</v>
      </c>
      <c r="I324" s="110">
        <f>I323-F324</f>
        <v>-278613.44999999995</v>
      </c>
    </row>
    <row r="325" spans="4:9">
      <c r="D325" s="70">
        <f>DATE(YEAR(D324),MONTH(D324)+1,DAY(D324))</f>
        <v>51570</v>
      </c>
      <c r="E325" s="110">
        <f>-ROUND($C$6,2)</f>
        <v>1603.83</v>
      </c>
      <c r="F325" s="110">
        <f>E325-H325</f>
        <v>2532.54</v>
      </c>
      <c r="G325" s="164">
        <f>VLOOKUP(D325,$K$11:$L$23,2,TRUE)</f>
        <v>0.04</v>
      </c>
      <c r="H325" s="110">
        <f>ROUND(I324*G325/12,2)</f>
        <v>-928.71</v>
      </c>
      <c r="I325" s="110">
        <f>I324-F325</f>
        <v>-281145.98999999993</v>
      </c>
    </row>
    <row r="326" spans="4:9">
      <c r="D326" s="70">
        <f>DATE(YEAR(D325),MONTH(D325)+1,DAY(D325))</f>
        <v>51601</v>
      </c>
      <c r="E326" s="110">
        <f>-ROUND($C$6,2)</f>
        <v>1603.83</v>
      </c>
      <c r="F326" s="110">
        <f>E326-H326</f>
        <v>2540.98</v>
      </c>
      <c r="G326" s="164">
        <f>VLOOKUP(D326,$K$11:$L$23,2,TRUE)</f>
        <v>0.04</v>
      </c>
      <c r="H326" s="110">
        <f>ROUND(I325*G326/12,2)</f>
        <v>-937.15</v>
      </c>
      <c r="I326" s="110">
        <f>I325-F326</f>
        <v>-283686.96999999991</v>
      </c>
    </row>
    <row r="327" spans="4:9">
      <c r="D327" s="70">
        <f>DATE(YEAR(D326),MONTH(D326)+1,DAY(D326))</f>
        <v>51631</v>
      </c>
      <c r="E327" s="110">
        <f>-ROUND($C$6,2)</f>
        <v>1603.83</v>
      </c>
      <c r="F327" s="110">
        <f>E327-H327</f>
        <v>2549.4499999999998</v>
      </c>
      <c r="G327" s="164">
        <f>VLOOKUP(D327,$K$11:$L$23,2,TRUE)</f>
        <v>0.04</v>
      </c>
      <c r="H327" s="110">
        <f>ROUND(I326*G327/12,2)</f>
        <v>-945.62</v>
      </c>
      <c r="I327" s="110">
        <f>I326-F327</f>
        <v>-286236.41999999993</v>
      </c>
    </row>
    <row r="328" spans="4:9">
      <c r="D328" s="70">
        <f>DATE(YEAR(D327),MONTH(D327)+1,DAY(D327))</f>
        <v>51662</v>
      </c>
      <c r="E328" s="110">
        <f>-ROUND($C$6,2)</f>
        <v>1603.83</v>
      </c>
      <c r="F328" s="110">
        <f>E328-H328</f>
        <v>2557.9499999999998</v>
      </c>
      <c r="G328" s="164">
        <f>VLOOKUP(D328,$K$11:$L$23,2,TRUE)</f>
        <v>0.04</v>
      </c>
      <c r="H328" s="110">
        <f>ROUND(I327*G328/12,2)</f>
        <v>-954.12</v>
      </c>
      <c r="I328" s="110">
        <f>I327-F328</f>
        <v>-288794.36999999994</v>
      </c>
    </row>
    <row r="329" spans="4:9">
      <c r="D329" s="70">
        <f>DATE(YEAR(D328),MONTH(D328)+1,DAY(D328))</f>
        <v>51692</v>
      </c>
      <c r="E329" s="110">
        <f>-ROUND($C$6,2)</f>
        <v>1603.83</v>
      </c>
      <c r="F329" s="110">
        <f>E329-H329</f>
        <v>2566.48</v>
      </c>
      <c r="G329" s="164">
        <f>VLOOKUP(D329,$K$11:$L$23,2,TRUE)</f>
        <v>0.04</v>
      </c>
      <c r="H329" s="110">
        <f>ROUND(I328*G329/12,2)</f>
        <v>-962.65</v>
      </c>
      <c r="I329" s="110">
        <f>I328-F329</f>
        <v>-291360.84999999992</v>
      </c>
    </row>
    <row r="330" spans="4:9">
      <c r="D330" s="70">
        <f>DATE(YEAR(D329),MONTH(D329)+1,DAY(D329))</f>
        <v>51723</v>
      </c>
      <c r="E330" s="110">
        <f>-ROUND($C$6,2)</f>
        <v>1603.83</v>
      </c>
      <c r="F330" s="110">
        <f>E330-H330</f>
        <v>2575.0299999999997</v>
      </c>
      <c r="G330" s="164">
        <f>VLOOKUP(D330,$K$11:$L$23,2,TRUE)</f>
        <v>0.04</v>
      </c>
      <c r="H330" s="110">
        <f>ROUND(I329*G330/12,2)</f>
        <v>-971.2</v>
      </c>
      <c r="I330" s="110">
        <f>I329-F330</f>
        <v>-293935.87999999995</v>
      </c>
    </row>
    <row r="331" spans="4:9">
      <c r="D331" s="70">
        <f>DATE(YEAR(D330),MONTH(D330)+1,DAY(D330))</f>
        <v>51754</v>
      </c>
      <c r="E331" s="110">
        <f>-ROUND($C$6,2)</f>
        <v>1603.83</v>
      </c>
      <c r="F331" s="110">
        <f>E331-H331</f>
        <v>2583.62</v>
      </c>
      <c r="G331" s="164">
        <f>VLOOKUP(D331,$K$11:$L$23,2,TRUE)</f>
        <v>0.04</v>
      </c>
      <c r="H331" s="110">
        <f>ROUND(I330*G331/12,2)</f>
        <v>-979.79</v>
      </c>
      <c r="I331" s="110">
        <f>I330-F331</f>
        <v>-296519.49999999994</v>
      </c>
    </row>
    <row r="332" spans="4:9">
      <c r="D332" s="70">
        <f>DATE(YEAR(D331),MONTH(D331)+1,DAY(D331))</f>
        <v>51784</v>
      </c>
      <c r="E332" s="110">
        <f>-ROUND($C$6,2)</f>
        <v>1603.83</v>
      </c>
      <c r="F332" s="110">
        <f>E332-H332</f>
        <v>2592.23</v>
      </c>
      <c r="G332" s="164">
        <f>VLOOKUP(D332,$K$11:$L$23,2,TRUE)</f>
        <v>0.04</v>
      </c>
      <c r="H332" s="110">
        <f>ROUND(I331*G332/12,2)</f>
        <v>-988.4</v>
      </c>
      <c r="I332" s="110">
        <f>I331-F332</f>
        <v>-299111.72999999992</v>
      </c>
    </row>
    <row r="333" spans="4:9">
      <c r="D333" s="70">
        <f>DATE(YEAR(D332),MONTH(D332)+1,DAY(D332))</f>
        <v>51815</v>
      </c>
      <c r="E333" s="110">
        <f>-ROUND($C$6,2)</f>
        <v>1603.83</v>
      </c>
      <c r="F333" s="110">
        <f>E333-H333</f>
        <v>2600.87</v>
      </c>
      <c r="G333" s="164">
        <f>VLOOKUP(D333,$K$11:$L$23,2,TRUE)</f>
        <v>0.04</v>
      </c>
      <c r="H333" s="110">
        <f>ROUND(I332*G333/12,2)</f>
        <v>-997.04</v>
      </c>
      <c r="I333" s="110">
        <f>I332-F333</f>
        <v>-301712.59999999992</v>
      </c>
    </row>
    <row r="334" spans="4:9">
      <c r="D334" s="70">
        <f>DATE(YEAR(D333),MONTH(D333)+1,DAY(D333))</f>
        <v>51845</v>
      </c>
      <c r="E334" s="110">
        <f>-ROUND($C$6,2)</f>
        <v>1603.83</v>
      </c>
      <c r="F334" s="110">
        <f>E334-H334</f>
        <v>2609.54</v>
      </c>
      <c r="G334" s="164">
        <f>VLOOKUP(D334,$K$11:$L$23,2,TRUE)</f>
        <v>0.04</v>
      </c>
      <c r="H334" s="110">
        <f>ROUND(I333*G334/12,2)</f>
        <v>-1005.71</v>
      </c>
      <c r="I334" s="110">
        <f>I333-F334</f>
        <v>-304322.1399999999</v>
      </c>
    </row>
    <row r="335" spans="4:9">
      <c r="D335" s="70">
        <f>DATE(YEAR(D334),MONTH(D334)+1,DAY(D334))</f>
        <v>51876</v>
      </c>
      <c r="E335" s="110">
        <f>-ROUND($C$6,2)</f>
        <v>1603.83</v>
      </c>
      <c r="F335" s="110">
        <f>E335-H335</f>
        <v>2618.2399999999998</v>
      </c>
      <c r="G335" s="164">
        <f>VLOOKUP(D335,$K$11:$L$23,2,TRUE)</f>
        <v>0.04</v>
      </c>
      <c r="H335" s="110">
        <f>ROUND(I334*G335/12,2)</f>
        <v>-1014.41</v>
      </c>
      <c r="I335" s="110">
        <f>I334-F335</f>
        <v>-306940.37999999989</v>
      </c>
    </row>
    <row r="336" spans="4:9">
      <c r="D336" s="70">
        <f>DATE(YEAR(D335),MONTH(D335)+1,DAY(D335))</f>
        <v>51907</v>
      </c>
      <c r="E336" s="110">
        <f>-ROUND($C$6,2)</f>
        <v>1603.83</v>
      </c>
      <c r="F336" s="110">
        <f>E336-H336</f>
        <v>2626.96</v>
      </c>
      <c r="G336" s="164">
        <f>VLOOKUP(D336,$K$11:$L$23,2,TRUE)</f>
        <v>0.04</v>
      </c>
      <c r="H336" s="110">
        <f>ROUND(I335*G336/12,2)</f>
        <v>-1023.13</v>
      </c>
      <c r="I336" s="110">
        <f>I335-F336</f>
        <v>-309567.33999999991</v>
      </c>
    </row>
    <row r="337" spans="4:9">
      <c r="D337" s="70">
        <f>DATE(YEAR(D336),MONTH(D336)+1,DAY(D336))</f>
        <v>51935</v>
      </c>
      <c r="E337" s="110">
        <f>-ROUND($C$6,2)</f>
        <v>1603.83</v>
      </c>
      <c r="F337" s="110">
        <f>E337-H337</f>
        <v>2635.7200000000003</v>
      </c>
      <c r="G337" s="164">
        <f>VLOOKUP(D337,$K$11:$L$23,2,TRUE)</f>
        <v>0.04</v>
      </c>
      <c r="H337" s="110">
        <f>ROUND(I336*G337/12,2)</f>
        <v>-1031.8900000000001</v>
      </c>
      <c r="I337" s="110">
        <f>I336-F337</f>
        <v>-312203.05999999988</v>
      </c>
    </row>
    <row r="338" spans="4:9">
      <c r="D338" s="70">
        <f>DATE(YEAR(D337),MONTH(D337)+1,DAY(D337))</f>
        <v>51966</v>
      </c>
      <c r="E338" s="110">
        <f>-ROUND($C$6,2)</f>
        <v>1603.83</v>
      </c>
      <c r="F338" s="110">
        <f>E338-H338</f>
        <v>2644.51</v>
      </c>
      <c r="G338" s="164">
        <f>VLOOKUP(D338,$K$11:$L$23,2,TRUE)</f>
        <v>0.04</v>
      </c>
      <c r="H338" s="110">
        <f>ROUND(I337*G338/12,2)</f>
        <v>-1040.68</v>
      </c>
      <c r="I338" s="110">
        <f>I337-F338</f>
        <v>-314847.56999999989</v>
      </c>
    </row>
    <row r="339" spans="4:9">
      <c r="D339" s="70">
        <f>DATE(YEAR(D338),MONTH(D338)+1,DAY(D338))</f>
        <v>51996</v>
      </c>
      <c r="E339" s="110">
        <f>-ROUND($C$6,2)</f>
        <v>1603.83</v>
      </c>
      <c r="F339" s="110">
        <f>E339-H339</f>
        <v>2653.3199999999997</v>
      </c>
      <c r="G339" s="164">
        <f>VLOOKUP(D339,$K$11:$L$23,2,TRUE)</f>
        <v>0.04</v>
      </c>
      <c r="H339" s="110">
        <f>ROUND(I338*G339/12,2)</f>
        <v>-1049.49</v>
      </c>
      <c r="I339" s="110">
        <f>I338-F339</f>
        <v>-317500.8899999999</v>
      </c>
    </row>
    <row r="340" spans="4:9">
      <c r="D340" s="70">
        <f>DATE(YEAR(D339),MONTH(D339)+1,DAY(D339))</f>
        <v>52027</v>
      </c>
      <c r="E340" s="110">
        <f>-ROUND($C$6,2)</f>
        <v>1603.83</v>
      </c>
      <c r="F340" s="110">
        <f>E340-H340</f>
        <v>2662.17</v>
      </c>
      <c r="G340" s="164">
        <f>VLOOKUP(D340,$K$11:$L$23,2,TRUE)</f>
        <v>0.04</v>
      </c>
      <c r="H340" s="110">
        <f>ROUND(I339*G340/12,2)</f>
        <v>-1058.3399999999999</v>
      </c>
      <c r="I340" s="110">
        <f>I339-F340</f>
        <v>-320163.05999999988</v>
      </c>
    </row>
    <row r="341" spans="4:9">
      <c r="D341" s="70">
        <f>DATE(YEAR(D340),MONTH(D340)+1,DAY(D340))</f>
        <v>52057</v>
      </c>
      <c r="E341" s="110">
        <f>-ROUND($C$6,2)</f>
        <v>1603.83</v>
      </c>
      <c r="F341" s="110">
        <f>E341-H341</f>
        <v>2671.04</v>
      </c>
      <c r="G341" s="164">
        <f>VLOOKUP(D341,$K$11:$L$23,2,TRUE)</f>
        <v>0.04</v>
      </c>
      <c r="H341" s="110">
        <f>ROUND(I340*G341/12,2)</f>
        <v>-1067.21</v>
      </c>
      <c r="I341" s="110">
        <f>I340-F341</f>
        <v>-322834.09999999986</v>
      </c>
    </row>
    <row r="342" spans="4:9">
      <c r="D342" s="70">
        <f>DATE(YEAR(D341),MONTH(D341)+1,DAY(D341))</f>
        <v>52088</v>
      </c>
      <c r="E342" s="110">
        <f>-ROUND($C$6,2)</f>
        <v>1603.83</v>
      </c>
      <c r="F342" s="110">
        <f>E342-H342</f>
        <v>2679.9399999999996</v>
      </c>
      <c r="G342" s="164">
        <f>VLOOKUP(D342,$K$11:$L$23,2,TRUE)</f>
        <v>0.04</v>
      </c>
      <c r="H342" s="110">
        <f>ROUND(I341*G342/12,2)</f>
        <v>-1076.1099999999999</v>
      </c>
      <c r="I342" s="110">
        <f>I341-F342</f>
        <v>-325514.03999999986</v>
      </c>
    </row>
    <row r="343" spans="4:9">
      <c r="D343" s="70">
        <f>DATE(YEAR(D342),MONTH(D342)+1,DAY(D342))</f>
        <v>52119</v>
      </c>
      <c r="E343" s="110">
        <f>-ROUND($C$6,2)</f>
        <v>1603.83</v>
      </c>
      <c r="F343" s="110">
        <f>E343-H343</f>
        <v>2688.88</v>
      </c>
      <c r="G343" s="164">
        <f>VLOOKUP(D343,$K$11:$L$23,2,TRUE)</f>
        <v>0.04</v>
      </c>
      <c r="H343" s="110">
        <f>ROUND(I342*G343/12,2)</f>
        <v>-1085.05</v>
      </c>
      <c r="I343" s="110">
        <f>I342-F343</f>
        <v>-328202.91999999987</v>
      </c>
    </row>
    <row r="344" spans="4:9">
      <c r="D344" s="70">
        <f>DATE(YEAR(D343),MONTH(D343)+1,DAY(D343))</f>
        <v>52149</v>
      </c>
      <c r="E344" s="110">
        <f>-ROUND($C$6,2)</f>
        <v>1603.83</v>
      </c>
      <c r="F344" s="110">
        <f>E344-H344</f>
        <v>2697.84</v>
      </c>
      <c r="G344" s="164">
        <f>VLOOKUP(D344,$K$11:$L$23,2,TRUE)</f>
        <v>0.04</v>
      </c>
      <c r="H344" s="110">
        <f>ROUND(I343*G344/12,2)</f>
        <v>-1094.01</v>
      </c>
      <c r="I344" s="110">
        <f>I343-F344</f>
        <v>-330900.75999999989</v>
      </c>
    </row>
    <row r="345" spans="4:9">
      <c r="D345" s="70">
        <f>DATE(YEAR(D344),MONTH(D344)+1,DAY(D344))</f>
        <v>52180</v>
      </c>
      <c r="E345" s="110">
        <f>-ROUND($C$6,2)</f>
        <v>1603.83</v>
      </c>
      <c r="F345" s="110">
        <f>E345-H345</f>
        <v>2706.83</v>
      </c>
      <c r="G345" s="164">
        <f>VLOOKUP(D345,$K$11:$L$23,2,TRUE)</f>
        <v>0.04</v>
      </c>
      <c r="H345" s="110">
        <f>ROUND(I344*G345/12,2)</f>
        <v>-1103</v>
      </c>
      <c r="I345" s="110">
        <f>I344-F345</f>
        <v>-333607.58999999991</v>
      </c>
    </row>
    <row r="346" spans="4:9">
      <c r="D346" s="70">
        <f>DATE(YEAR(D345),MONTH(D345)+1,DAY(D345))</f>
        <v>52210</v>
      </c>
      <c r="E346" s="110">
        <f>-ROUND($C$6,2)</f>
        <v>1603.83</v>
      </c>
      <c r="F346" s="110">
        <f>E346-H346</f>
        <v>2715.8599999999997</v>
      </c>
      <c r="G346" s="164">
        <f>VLOOKUP(D346,$K$11:$L$23,2,TRUE)</f>
        <v>0.04</v>
      </c>
      <c r="H346" s="110">
        <f>ROUND(I345*G346/12,2)</f>
        <v>-1112.03</v>
      </c>
      <c r="I346" s="110">
        <f>I345-F346</f>
        <v>-336323.4499999999</v>
      </c>
    </row>
    <row r="347" spans="4:9">
      <c r="D347" s="70">
        <f>DATE(YEAR(D346),MONTH(D346)+1,DAY(D346))</f>
        <v>52241</v>
      </c>
      <c r="E347" s="110">
        <f>-ROUND($C$6,2)</f>
        <v>1603.83</v>
      </c>
      <c r="F347" s="110">
        <f>E347-H347</f>
        <v>2724.91</v>
      </c>
      <c r="G347" s="164">
        <f>VLOOKUP(D347,$K$11:$L$23,2,TRUE)</f>
        <v>0.04</v>
      </c>
      <c r="H347" s="110">
        <f>ROUND(I346*G347/12,2)</f>
        <v>-1121.08</v>
      </c>
      <c r="I347" s="110">
        <f>I346-F347</f>
        <v>-339048.35999999987</v>
      </c>
    </row>
    <row r="348" spans="4:9">
      <c r="D348" s="70">
        <f>DATE(YEAR(D347),MONTH(D347)+1,DAY(D347))</f>
        <v>52272</v>
      </c>
      <c r="E348" s="110">
        <f>-ROUND($C$6,2)</f>
        <v>1603.83</v>
      </c>
      <c r="F348" s="110">
        <f>E348-H348</f>
        <v>2733.99</v>
      </c>
      <c r="G348" s="164">
        <f>VLOOKUP(D348,$K$11:$L$23,2,TRUE)</f>
        <v>0.04</v>
      </c>
      <c r="H348" s="110">
        <f>ROUND(I347*G348/12,2)</f>
        <v>-1130.1600000000001</v>
      </c>
      <c r="I348" s="110">
        <f>I347-F348</f>
        <v>-341782.34999999986</v>
      </c>
    </row>
    <row r="349" spans="4:9">
      <c r="D349" s="70">
        <f>DATE(YEAR(D348),MONTH(D348)+1,DAY(D348))</f>
        <v>52300</v>
      </c>
      <c r="E349" s="110">
        <f>-ROUND($C$6,2)</f>
        <v>1603.83</v>
      </c>
      <c r="F349" s="110">
        <f>E349-H349</f>
        <v>2743.1</v>
      </c>
      <c r="G349" s="164">
        <f>VLOOKUP(D349,$K$11:$L$23,2,TRUE)</f>
        <v>0.04</v>
      </c>
      <c r="H349" s="110">
        <f>ROUND(I348*G349/12,2)</f>
        <v>-1139.27</v>
      </c>
      <c r="I349" s="110">
        <f>I348-F349</f>
        <v>-344525.44999999984</v>
      </c>
    </row>
    <row r="350" spans="4:9">
      <c r="D350" s="70">
        <f>DATE(YEAR(D349),MONTH(D349)+1,DAY(D349))</f>
        <v>52331</v>
      </c>
      <c r="E350" s="110">
        <f>-ROUND($C$6,2)</f>
        <v>1603.83</v>
      </c>
      <c r="F350" s="110">
        <f>E350-H350</f>
        <v>2752.25</v>
      </c>
      <c r="G350" s="164">
        <f>VLOOKUP(D350,$K$11:$L$23,2,TRUE)</f>
        <v>0.04</v>
      </c>
      <c r="H350" s="110">
        <f>ROUND(I349*G350/12,2)</f>
        <v>-1148.42</v>
      </c>
      <c r="I350" s="110">
        <f>I349-F350</f>
        <v>-347277.69999999984</v>
      </c>
    </row>
    <row r="351" spans="4:9">
      <c r="D351" s="70">
        <f>DATE(YEAR(D350),MONTH(D350)+1,DAY(D350))</f>
        <v>52361</v>
      </c>
      <c r="E351" s="110">
        <f>-ROUND($C$6,2)</f>
        <v>1603.83</v>
      </c>
      <c r="F351" s="110">
        <f>E351-H351</f>
        <v>2761.42</v>
      </c>
      <c r="G351" s="164">
        <f>VLOOKUP(D351,$K$11:$L$23,2,TRUE)</f>
        <v>0.04</v>
      </c>
      <c r="H351" s="110">
        <f>ROUND(I350*G351/12,2)</f>
        <v>-1157.5899999999999</v>
      </c>
      <c r="I351" s="110">
        <f>I350-F351</f>
        <v>-350039.11999999982</v>
      </c>
    </row>
    <row r="352" spans="4:9">
      <c r="D352" s="70">
        <f>DATE(YEAR(D351),MONTH(D351)+1,DAY(D351))</f>
        <v>52392</v>
      </c>
      <c r="E352" s="110">
        <f>-ROUND($C$6,2)</f>
        <v>1603.83</v>
      </c>
      <c r="F352" s="110">
        <f>E352-H352</f>
        <v>2770.63</v>
      </c>
      <c r="G352" s="164">
        <f>VLOOKUP(D352,$K$11:$L$23,2,TRUE)</f>
        <v>0.04</v>
      </c>
      <c r="H352" s="110">
        <f>ROUND(I351*G352/12,2)</f>
        <v>-1166.8</v>
      </c>
      <c r="I352" s="110">
        <f>I351-F352</f>
        <v>-352809.74999999983</v>
      </c>
    </row>
    <row r="353" spans="4:9">
      <c r="D353" s="70">
        <f>DATE(YEAR(D352),MONTH(D352)+1,DAY(D352))</f>
        <v>52422</v>
      </c>
      <c r="E353" s="110">
        <f>-ROUND($C$6,2)</f>
        <v>1603.83</v>
      </c>
      <c r="F353" s="110">
        <f>E353-H353</f>
        <v>2779.8599999999997</v>
      </c>
      <c r="G353" s="164">
        <f>VLOOKUP(D353,$K$11:$L$23,2,TRUE)</f>
        <v>0.04</v>
      </c>
      <c r="H353" s="110">
        <f>ROUND(I352*G353/12,2)</f>
        <v>-1176.03</v>
      </c>
      <c r="I353" s="110">
        <f>I352-F353</f>
        <v>-355589.60999999981</v>
      </c>
    </row>
    <row r="354" spans="4:9">
      <c r="D354" s="70">
        <f>DATE(YEAR(D353),MONTH(D353)+1,DAY(D353))</f>
        <v>52453</v>
      </c>
      <c r="E354" s="110">
        <f>-ROUND($C$6,2)</f>
        <v>1603.83</v>
      </c>
      <c r="F354" s="110">
        <f>E354-H354</f>
        <v>2789.13</v>
      </c>
      <c r="G354" s="164">
        <f>VLOOKUP(D354,$K$11:$L$23,2,TRUE)</f>
        <v>0.04</v>
      </c>
      <c r="H354" s="110">
        <f>ROUND(I353*G354/12,2)</f>
        <v>-1185.3</v>
      </c>
      <c r="I354" s="110">
        <f>I353-F354</f>
        <v>-358378.73999999982</v>
      </c>
    </row>
    <row r="355" spans="4:9">
      <c r="D355" s="70">
        <f>DATE(YEAR(D354),MONTH(D354)+1,DAY(D354))</f>
        <v>52484</v>
      </c>
      <c r="E355" s="110">
        <f>-ROUND($C$6,2)</f>
        <v>1603.83</v>
      </c>
      <c r="F355" s="110">
        <f>E355-H355</f>
        <v>2798.43</v>
      </c>
      <c r="G355" s="164">
        <f>VLOOKUP(D355,$K$11:$L$23,2,TRUE)</f>
        <v>0.04</v>
      </c>
      <c r="H355" s="110">
        <f>ROUND(I354*G355/12,2)</f>
        <v>-1194.5999999999999</v>
      </c>
      <c r="I355" s="110">
        <f>I354-F355</f>
        <v>-361177.16999999981</v>
      </c>
    </row>
    <row r="356" spans="4:9">
      <c r="D356" s="70">
        <f>DATE(YEAR(D355),MONTH(D355)+1,DAY(D355))</f>
        <v>52514</v>
      </c>
      <c r="E356" s="110">
        <f>-ROUND($C$6,2)</f>
        <v>1603.83</v>
      </c>
      <c r="F356" s="110">
        <f>E356-H356</f>
        <v>2807.75</v>
      </c>
      <c r="G356" s="164">
        <f>VLOOKUP(D356,$K$11:$L$23,2,TRUE)</f>
        <v>0.04</v>
      </c>
      <c r="H356" s="110">
        <f>ROUND(I355*G356/12,2)</f>
        <v>-1203.92</v>
      </c>
      <c r="I356" s="110">
        <f>I355-F356</f>
        <v>-363984.91999999981</v>
      </c>
    </row>
    <row r="357" spans="4:9">
      <c r="D357" s="70">
        <f>DATE(YEAR(D356),MONTH(D356)+1,DAY(D356))</f>
        <v>52545</v>
      </c>
      <c r="E357" s="110">
        <f>-ROUND($C$6,2)</f>
        <v>1603.83</v>
      </c>
      <c r="F357" s="110">
        <f>E357-H357</f>
        <v>2817.1099999999997</v>
      </c>
      <c r="G357" s="164">
        <f>VLOOKUP(D357,$K$11:$L$23,2,TRUE)</f>
        <v>0.04</v>
      </c>
      <c r="H357" s="110">
        <f>ROUND(I356*G357/12,2)</f>
        <v>-1213.28</v>
      </c>
      <c r="I357" s="110">
        <f>I356-F357</f>
        <v>-366802.0299999998</v>
      </c>
    </row>
    <row r="358" spans="4:9">
      <c r="D358" s="70">
        <f>DATE(YEAR(D357),MONTH(D357)+1,DAY(D357))</f>
        <v>52575</v>
      </c>
      <c r="E358" s="110">
        <f>-ROUND($C$6,2)</f>
        <v>1603.83</v>
      </c>
      <c r="F358" s="110">
        <f>E358-H358</f>
        <v>2826.5</v>
      </c>
      <c r="G358" s="164">
        <f>VLOOKUP(D358,$K$11:$L$23,2,TRUE)</f>
        <v>0.04</v>
      </c>
      <c r="H358" s="110">
        <f>ROUND(I357*G358/12,2)</f>
        <v>-1222.67</v>
      </c>
      <c r="I358" s="110">
        <f>I357-F358</f>
        <v>-369628.5299999998</v>
      </c>
    </row>
    <row r="359" spans="4:9">
      <c r="D359" s="70">
        <f>DATE(YEAR(D358),MONTH(D358)+1,DAY(D358))</f>
        <v>52606</v>
      </c>
      <c r="E359" s="110">
        <f>-ROUND($C$6,2)</f>
        <v>1603.83</v>
      </c>
      <c r="F359" s="110">
        <f>E359-H359</f>
        <v>2835.93</v>
      </c>
      <c r="G359" s="164">
        <f>VLOOKUP(D359,$K$11:$L$23,2,TRUE)</f>
        <v>0.04</v>
      </c>
      <c r="H359" s="110">
        <f>ROUND(I358*G359/12,2)</f>
        <v>-1232.0999999999999</v>
      </c>
      <c r="I359" s="110">
        <f>I358-F359</f>
        <v>-372464.45999999979</v>
      </c>
    </row>
    <row r="360" spans="4:9">
      <c r="D360" s="70">
        <f>DATE(YEAR(D359),MONTH(D359)+1,DAY(D359))</f>
        <v>52637</v>
      </c>
      <c r="E360" s="110">
        <f>-ROUND($C$6,2)</f>
        <v>1603.83</v>
      </c>
      <c r="F360" s="110">
        <f>E360-H360</f>
        <v>2845.38</v>
      </c>
      <c r="G360" s="164">
        <f>VLOOKUP(D360,$K$11:$L$23,2,TRUE)</f>
        <v>0.04</v>
      </c>
      <c r="H360" s="110">
        <f>ROUND(I359*G360/12,2)</f>
        <v>-1241.55</v>
      </c>
      <c r="I360" s="110">
        <f>I359-F360</f>
        <v>-375309.83999999979</v>
      </c>
    </row>
    <row r="361" spans="4:9">
      <c r="D361" s="70">
        <f>DATE(YEAR(D360),MONTH(D360)+1,DAY(D360))</f>
        <v>52666</v>
      </c>
      <c r="E361" s="110">
        <f>-ROUND($C$6,2)</f>
        <v>1603.83</v>
      </c>
      <c r="F361" s="110">
        <f>E361-H361</f>
        <v>2854.8599999999997</v>
      </c>
      <c r="G361" s="164">
        <f>VLOOKUP(D361,$K$11:$L$23,2,TRUE)</f>
        <v>0.04</v>
      </c>
      <c r="H361" s="110">
        <f>ROUND(I360*G361/12,2)</f>
        <v>-1251.03</v>
      </c>
      <c r="I361" s="110">
        <f>I360-F361</f>
        <v>-378164.69999999978</v>
      </c>
    </row>
    <row r="362" spans="4:9">
      <c r="D362" s="70">
        <f>DATE(YEAR(D361),MONTH(D361)+1,DAY(D361))</f>
        <v>52697</v>
      </c>
      <c r="E362" s="110">
        <f>-ROUND($C$6,2)</f>
        <v>1603.83</v>
      </c>
      <c r="F362" s="110">
        <f>E362-H362</f>
        <v>2864.38</v>
      </c>
      <c r="G362" s="164">
        <f>VLOOKUP(D362,$K$11:$L$23,2,TRUE)</f>
        <v>0.04</v>
      </c>
      <c r="H362" s="110">
        <f>ROUND(I361*G362/12,2)</f>
        <v>-1260.55</v>
      </c>
      <c r="I362" s="110">
        <f>I361-F362</f>
        <v>-381029.07999999978</v>
      </c>
    </row>
    <row r="363" spans="4:9">
      <c r="D363" s="70">
        <f>DATE(YEAR(D362),MONTH(D362)+1,DAY(D362))</f>
        <v>52727</v>
      </c>
      <c r="E363" s="110">
        <f>-ROUND($C$6,2)</f>
        <v>1603.83</v>
      </c>
      <c r="F363" s="110">
        <f>E363-H363</f>
        <v>2873.93</v>
      </c>
      <c r="G363" s="164">
        <f>VLOOKUP(D363,$K$11:$L$23,2,TRUE)</f>
        <v>0.04</v>
      </c>
      <c r="H363" s="110">
        <f>ROUND(I362*G363/12,2)</f>
        <v>-1270.0999999999999</v>
      </c>
      <c r="I363" s="110">
        <f>I362-F363</f>
        <v>-383903.00999999978</v>
      </c>
    </row>
    <row r="364" spans="4:9">
      <c r="D364" s="70">
        <f>DATE(YEAR(D363),MONTH(D363)+1,DAY(D363))</f>
        <v>52758</v>
      </c>
      <c r="E364" s="110">
        <f>-ROUND($C$6,2)</f>
        <v>1603.83</v>
      </c>
      <c r="F364" s="110">
        <f>E364-H364</f>
        <v>2883.51</v>
      </c>
      <c r="G364" s="164">
        <f>VLOOKUP(D364,$K$11:$L$23,2,TRUE)</f>
        <v>0.04</v>
      </c>
      <c r="H364" s="110">
        <f>ROUND(I363*G364/12,2)</f>
        <v>-1279.68</v>
      </c>
      <c r="I364" s="110">
        <f>I363-F364</f>
        <v>-386786.51999999979</v>
      </c>
    </row>
    <row r="365" spans="4:9">
      <c r="D365" s="70">
        <f>DATE(YEAR(D364),MONTH(D364)+1,DAY(D364))</f>
        <v>52788</v>
      </c>
      <c r="E365" s="110">
        <f>-ROUND($C$6,2)</f>
        <v>1603.83</v>
      </c>
      <c r="F365" s="110">
        <f>E365-H365</f>
        <v>2893.12</v>
      </c>
      <c r="G365" s="164">
        <f>VLOOKUP(D365,$K$11:$L$23,2,TRUE)</f>
        <v>0.04</v>
      </c>
      <c r="H365" s="110">
        <f>ROUND(I364*G365/12,2)</f>
        <v>-1289.29</v>
      </c>
      <c r="I365" s="110">
        <f>I364-F365</f>
        <v>-389679.63999999978</v>
      </c>
    </row>
    <row r="366" spans="4:9">
      <c r="D366" s="70">
        <f>DATE(YEAR(D365),MONTH(D365)+1,DAY(D365))</f>
        <v>52819</v>
      </c>
      <c r="E366" s="110">
        <f>-ROUND($C$6,2)</f>
        <v>1603.83</v>
      </c>
      <c r="F366" s="110">
        <f>E366-H366</f>
        <v>2902.76</v>
      </c>
      <c r="G366" s="164">
        <f>VLOOKUP(D366,$K$11:$L$23,2,TRUE)</f>
        <v>0.04</v>
      </c>
      <c r="H366" s="110">
        <f>ROUND(I365*G366/12,2)</f>
        <v>-1298.93</v>
      </c>
      <c r="I366" s="110">
        <f>I365-F366</f>
        <v>-392582.39999999979</v>
      </c>
    </row>
    <row r="367" spans="4:9">
      <c r="D367" s="70">
        <f>DATE(YEAR(D366),MONTH(D366)+1,DAY(D366))</f>
        <v>52850</v>
      </c>
      <c r="E367" s="110">
        <f>-ROUND($C$6,2)</f>
        <v>1603.83</v>
      </c>
      <c r="F367" s="110">
        <f>E367-H367</f>
        <v>2912.4399999999996</v>
      </c>
      <c r="G367" s="164">
        <f>VLOOKUP(D367,$K$11:$L$23,2,TRUE)</f>
        <v>0.04</v>
      </c>
      <c r="H367" s="110">
        <f>ROUND(I366*G367/12,2)</f>
        <v>-1308.6099999999999</v>
      </c>
      <c r="I367" s="110">
        <f>I366-F367</f>
        <v>-395494.83999999979</v>
      </c>
    </row>
    <row r="368" spans="4:9">
      <c r="D368" s="70">
        <f>DATE(YEAR(D367),MONTH(D367)+1,DAY(D367))</f>
        <v>52880</v>
      </c>
      <c r="E368" s="110">
        <f>-ROUND($C$6,2)</f>
        <v>1603.83</v>
      </c>
      <c r="F368" s="110">
        <f>E368-H368</f>
        <v>2922.1499999999996</v>
      </c>
      <c r="G368" s="164">
        <f>VLOOKUP(D368,$K$11:$L$23,2,TRUE)</f>
        <v>0.04</v>
      </c>
      <c r="H368" s="110">
        <f>ROUND(I367*G368/12,2)</f>
        <v>-1318.32</v>
      </c>
      <c r="I368" s="110">
        <f>I367-F368</f>
        <v>-398416.98999999982</v>
      </c>
    </row>
    <row r="369" spans="4:9">
      <c r="D369" s="70">
        <f>DATE(YEAR(D368),MONTH(D368)+1,DAY(D368))</f>
        <v>52911</v>
      </c>
      <c r="E369" s="110">
        <f>-ROUND($C$6,2)</f>
        <v>1603.83</v>
      </c>
      <c r="F369" s="110">
        <f>E369-H369</f>
        <v>2931.89</v>
      </c>
      <c r="G369" s="164">
        <f>VLOOKUP(D369,$K$11:$L$23,2,TRUE)</f>
        <v>0.04</v>
      </c>
      <c r="H369" s="110">
        <f>ROUND(I368*G369/12,2)</f>
        <v>-1328.06</v>
      </c>
      <c r="I369" s="110">
        <f>I368-F369</f>
        <v>-401348.87999999983</v>
      </c>
    </row>
    <row r="370" spans="4:9">
      <c r="D370" s="70">
        <f>DATE(YEAR(D369),MONTH(D369)+1,DAY(D369))</f>
        <v>52941</v>
      </c>
      <c r="E370" s="110">
        <f>-ROUND($C$6,2)</f>
        <v>1603.83</v>
      </c>
      <c r="F370" s="110">
        <f>E370-H370</f>
        <v>2941.66</v>
      </c>
      <c r="G370" s="164">
        <f>VLOOKUP(D370,$K$11:$L$23,2,TRUE)</f>
        <v>0.04</v>
      </c>
      <c r="H370" s="110">
        <f>ROUND(I369*G370/12,2)</f>
        <v>-1337.83</v>
      </c>
      <c r="I370" s="110">
        <f>I369-F370</f>
        <v>-404290.5399999998</v>
      </c>
    </row>
  </sheetData>
  <conditionalFormatting sqref="D12:I370">
    <cfRule type="expression" dxfId="10" priority="1">
      <formula>$D12&gt;=DATE(YEAR($D$11),MONTH($D$11)+($C$4*12),DAY($D$11))</formula>
    </cfRule>
  </conditionalFormatting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N9"/>
  <sheetViews>
    <sheetView workbookViewId="0">
      <selection activeCell="C15" sqref="C15"/>
    </sheetView>
  </sheetViews>
  <sheetFormatPr defaultRowHeight="15"/>
  <cols>
    <col min="1" max="1" width="4.5703125" customWidth="1"/>
    <col min="2" max="2" width="9.42578125" bestFit="1" customWidth="1"/>
    <col min="3" max="3" width="8" bestFit="1" customWidth="1"/>
    <col min="4" max="4" width="13.5703125" bestFit="1" customWidth="1"/>
    <col min="5" max="5" width="10.5703125" bestFit="1" customWidth="1"/>
    <col min="6" max="14" width="10.7109375" bestFit="1" customWidth="1"/>
  </cols>
  <sheetData>
    <row r="2" spans="2:14">
      <c r="B2" s="97" t="s">
        <v>803</v>
      </c>
      <c r="C2" s="97" t="s">
        <v>802</v>
      </c>
      <c r="D2" s="97" t="s">
        <v>801</v>
      </c>
      <c r="E2" s="97" t="s">
        <v>800</v>
      </c>
      <c r="F2" s="171">
        <v>42369</v>
      </c>
      <c r="G2" s="171">
        <v>42735</v>
      </c>
      <c r="H2" s="171">
        <v>43100</v>
      </c>
      <c r="I2" s="171">
        <v>43465</v>
      </c>
      <c r="J2" s="171">
        <v>43830</v>
      </c>
      <c r="K2" s="171">
        <v>44196</v>
      </c>
      <c r="L2" s="171">
        <v>44561</v>
      </c>
      <c r="M2" s="171">
        <v>44926</v>
      </c>
      <c r="N2" s="171">
        <v>45291</v>
      </c>
    </row>
    <row r="3" spans="2:14">
      <c r="B3" s="12">
        <v>1</v>
      </c>
      <c r="C3" s="139">
        <v>10400</v>
      </c>
      <c r="D3" s="12">
        <v>2010</v>
      </c>
      <c r="E3" s="12">
        <v>5</v>
      </c>
      <c r="F3" s="110">
        <f>IF(OR(YEAR(F$2)&lt;$D3,YEAR(F$2)&gt;$D3+$E3),0,SLN($C3,0,$E3))*IF(OR(YEAR(F$2)=$D3+$E3,YEAR(F$2)=$D3),0.5,1)</f>
        <v>1040</v>
      </c>
      <c r="G3" s="110">
        <f>IF(OR(YEAR(G$2)&lt;$D3,YEAR(G$2)&gt;$D3+$E3),0,SLN($C3,0,$E3))*IF(OR(YEAR(G$2)=$D3+$E3,YEAR(G$2)=$D3),0.5,1)</f>
        <v>0</v>
      </c>
      <c r="H3" s="110">
        <f>IF(OR(YEAR(H$2)&lt;$D3,YEAR(H$2)&gt;$D3+$E3),0,SLN($C3,0,$E3))*IF(OR(YEAR(H$2)=$D3+$E3,YEAR(H$2)=$D3),0.5,1)</f>
        <v>0</v>
      </c>
      <c r="I3" s="110">
        <f>IF(OR(YEAR(I$2)&lt;$D3,YEAR(I$2)&gt;$D3+$E3),0,SLN($C3,0,$E3))*IF(OR(YEAR(I$2)=$D3+$E3,YEAR(I$2)=$D3),0.5,1)</f>
        <v>0</v>
      </c>
      <c r="J3" s="110">
        <f>IF(OR(YEAR(J$2)&lt;$D3,YEAR(J$2)&gt;$D3+$E3),0,SLN($C3,0,$E3))*IF(OR(YEAR(J$2)=$D3+$E3,YEAR(J$2)=$D3),0.5,1)</f>
        <v>0</v>
      </c>
      <c r="K3" s="110">
        <f>IF(OR(YEAR(K$2)&lt;$D3,YEAR(K$2)&gt;$D3+$E3),0,SLN($C3,0,$E3))*IF(OR(YEAR(K$2)=$D3+$E3,YEAR(K$2)=$D3),0.5,1)</f>
        <v>0</v>
      </c>
      <c r="L3" s="110">
        <f>IF(OR(YEAR(L$2)&lt;$D3,YEAR(L$2)&gt;$D3+$E3),0,SLN($C3,0,$E3))*IF(OR(YEAR(L$2)=$D3+$E3,YEAR(L$2)=$D3),0.5,1)</f>
        <v>0</v>
      </c>
      <c r="M3" s="110">
        <f>IF(OR(YEAR(M$2)&lt;$D3,YEAR(M$2)&gt;$D3+$E3),0,SLN($C3,0,$E3))*IF(OR(YEAR(M$2)=$D3+$E3,YEAR(M$2)=$D3),0.5,1)</f>
        <v>0</v>
      </c>
      <c r="N3" s="110">
        <f>IF(OR(YEAR(N$2)&lt;$D3,YEAR(N$2)&gt;$D3+$E3),0,SLN($C3,0,$E3))*IF(OR(YEAR(N$2)=$D3+$E3,YEAR(N$2)=$D3),0.5,1)</f>
        <v>0</v>
      </c>
    </row>
    <row r="4" spans="2:14">
      <c r="B4" s="12">
        <v>2</v>
      </c>
      <c r="C4" s="139">
        <v>14600</v>
      </c>
      <c r="D4" s="12">
        <v>2010</v>
      </c>
      <c r="E4" s="12">
        <v>7</v>
      </c>
      <c r="F4" s="110">
        <f>IF(OR(YEAR(F$2)&lt;$D4,YEAR(F$2)&gt;$D4+$E4),0,SLN($C4,0,$E4))*IF(OR(YEAR(F$2)=$D4+$E4,YEAR(F$2)=$D4),0.5,1)</f>
        <v>2085.7142857142858</v>
      </c>
      <c r="G4" s="110">
        <f>IF(OR(YEAR(G$2)&lt;$D4,YEAR(G$2)&gt;$D4+$E4),0,SLN($C4,0,$E4))*IF(OR(YEAR(G$2)=$D4+$E4,YEAR(G$2)=$D4),0.5,1)</f>
        <v>2085.7142857142858</v>
      </c>
      <c r="H4" s="110">
        <f>IF(OR(YEAR(H$2)&lt;$D4,YEAR(H$2)&gt;$D4+$E4),0,SLN($C4,0,$E4))*IF(OR(YEAR(H$2)=$D4+$E4,YEAR(H$2)=$D4),0.5,1)</f>
        <v>1042.8571428571429</v>
      </c>
      <c r="I4" s="110">
        <f>IF(OR(YEAR(I$2)&lt;$D4,YEAR(I$2)&gt;$D4+$E4),0,SLN($C4,0,$E4))*IF(OR(YEAR(I$2)=$D4+$E4,YEAR(I$2)=$D4),0.5,1)</f>
        <v>0</v>
      </c>
      <c r="J4" s="110">
        <f>IF(OR(YEAR(J$2)&lt;$D4,YEAR(J$2)&gt;$D4+$E4),0,SLN($C4,0,$E4))*IF(OR(YEAR(J$2)=$D4+$E4,YEAR(J$2)=$D4),0.5,1)</f>
        <v>0</v>
      </c>
      <c r="K4" s="110">
        <f>IF(OR(YEAR(K$2)&lt;$D4,YEAR(K$2)&gt;$D4+$E4),0,SLN($C4,0,$E4))*IF(OR(YEAR(K$2)=$D4+$E4,YEAR(K$2)=$D4),0.5,1)</f>
        <v>0</v>
      </c>
      <c r="L4" s="110">
        <f>IF(OR(YEAR(L$2)&lt;$D4,YEAR(L$2)&gt;$D4+$E4),0,SLN($C4,0,$E4))*IF(OR(YEAR(L$2)=$D4+$E4,YEAR(L$2)=$D4),0.5,1)</f>
        <v>0</v>
      </c>
      <c r="M4" s="110">
        <f>IF(OR(YEAR(M$2)&lt;$D4,YEAR(M$2)&gt;$D4+$E4),0,SLN($C4,0,$E4))*IF(OR(YEAR(M$2)=$D4+$E4,YEAR(M$2)=$D4),0.5,1)</f>
        <v>0</v>
      </c>
      <c r="N4" s="110">
        <f>IF(OR(YEAR(N$2)&lt;$D4,YEAR(N$2)&gt;$D4+$E4),0,SLN($C4,0,$E4))*IF(OR(YEAR(N$2)=$D4+$E4,YEAR(N$2)=$D4),0.5,1)</f>
        <v>0</v>
      </c>
    </row>
    <row r="5" spans="2:14">
      <c r="B5" s="12">
        <v>3</v>
      </c>
      <c r="C5" s="139">
        <v>39400</v>
      </c>
      <c r="D5" s="12">
        <v>2012</v>
      </c>
      <c r="E5" s="12">
        <v>7</v>
      </c>
      <c r="F5" s="110">
        <f>IF(OR(YEAR(F$2)&lt;$D5,YEAR(F$2)&gt;$D5+$E5),0,SLN($C5,0,$E5))*IF(OR(YEAR(F$2)=$D5+$E5,YEAR(F$2)=$D5),0.5,1)</f>
        <v>5628.5714285714284</v>
      </c>
      <c r="G5" s="110">
        <f>IF(OR(YEAR(G$2)&lt;$D5,YEAR(G$2)&gt;$D5+$E5),0,SLN($C5,0,$E5))*IF(OR(YEAR(G$2)=$D5+$E5,YEAR(G$2)=$D5),0.5,1)</f>
        <v>5628.5714285714284</v>
      </c>
      <c r="H5" s="110">
        <f>IF(OR(YEAR(H$2)&lt;$D5,YEAR(H$2)&gt;$D5+$E5),0,SLN($C5,0,$E5))*IF(OR(YEAR(H$2)=$D5+$E5,YEAR(H$2)=$D5),0.5,1)</f>
        <v>5628.5714285714284</v>
      </c>
      <c r="I5" s="110">
        <f>IF(OR(YEAR(I$2)&lt;$D5,YEAR(I$2)&gt;$D5+$E5),0,SLN($C5,0,$E5))*IF(OR(YEAR(I$2)=$D5+$E5,YEAR(I$2)=$D5),0.5,1)</f>
        <v>5628.5714285714284</v>
      </c>
      <c r="J5" s="110">
        <f>IF(OR(YEAR(J$2)&lt;$D5,YEAR(J$2)&gt;$D5+$E5),0,SLN($C5,0,$E5))*IF(OR(YEAR(J$2)=$D5+$E5,YEAR(J$2)=$D5),0.5,1)</f>
        <v>2814.2857142857142</v>
      </c>
      <c r="K5" s="110">
        <f>IF(OR(YEAR(K$2)&lt;$D5,YEAR(K$2)&gt;$D5+$E5),0,SLN($C5,0,$E5))*IF(OR(YEAR(K$2)=$D5+$E5,YEAR(K$2)=$D5),0.5,1)</f>
        <v>0</v>
      </c>
      <c r="L5" s="110">
        <f>IF(OR(YEAR(L$2)&lt;$D5,YEAR(L$2)&gt;$D5+$E5),0,SLN($C5,0,$E5))*IF(OR(YEAR(L$2)=$D5+$E5,YEAR(L$2)=$D5),0.5,1)</f>
        <v>0</v>
      </c>
      <c r="M5" s="110">
        <f>IF(OR(YEAR(M$2)&lt;$D5,YEAR(M$2)&gt;$D5+$E5),0,SLN($C5,0,$E5))*IF(OR(YEAR(M$2)=$D5+$E5,YEAR(M$2)=$D5),0.5,1)</f>
        <v>0</v>
      </c>
      <c r="N5" s="110">
        <f>IF(OR(YEAR(N$2)&lt;$D5,YEAR(N$2)&gt;$D5+$E5),0,SLN($C5,0,$E5))*IF(OR(YEAR(N$2)=$D5+$E5,YEAR(N$2)=$D5),0.5,1)</f>
        <v>0</v>
      </c>
    </row>
    <row r="6" spans="2:14">
      <c r="B6" s="12">
        <v>4</v>
      </c>
      <c r="C6" s="139">
        <v>4900</v>
      </c>
      <c r="D6" s="12">
        <v>2015</v>
      </c>
      <c r="E6" s="12">
        <v>5</v>
      </c>
      <c r="F6" s="110">
        <f>IF(OR(YEAR(F$2)&lt;$D6,YEAR(F$2)&gt;$D6+$E6),0,SLN($C6,0,$E6))*IF(OR(YEAR(F$2)=$D6+$E6,YEAR(F$2)=$D6),0.5,1)</f>
        <v>490</v>
      </c>
      <c r="G6" s="110">
        <f>IF(OR(YEAR(G$2)&lt;$D6,YEAR(G$2)&gt;$D6+$E6),0,SLN($C6,0,$E6))*IF(OR(YEAR(G$2)=$D6+$E6,YEAR(G$2)=$D6),0.5,1)</f>
        <v>980</v>
      </c>
      <c r="H6" s="110">
        <f>IF(OR(YEAR(H$2)&lt;$D6,YEAR(H$2)&gt;$D6+$E6),0,SLN($C6,0,$E6))*IF(OR(YEAR(H$2)=$D6+$E6,YEAR(H$2)=$D6),0.5,1)</f>
        <v>980</v>
      </c>
      <c r="I6" s="110">
        <f>IF(OR(YEAR(I$2)&lt;$D6,YEAR(I$2)&gt;$D6+$E6),0,SLN($C6,0,$E6))*IF(OR(YEAR(I$2)=$D6+$E6,YEAR(I$2)=$D6),0.5,1)</f>
        <v>980</v>
      </c>
      <c r="J6" s="110">
        <f>IF(OR(YEAR(J$2)&lt;$D6,YEAR(J$2)&gt;$D6+$E6),0,SLN($C6,0,$E6))*IF(OR(YEAR(J$2)=$D6+$E6,YEAR(J$2)=$D6),0.5,1)</f>
        <v>980</v>
      </c>
      <c r="K6" s="110">
        <f>IF(OR(YEAR(K$2)&lt;$D6,YEAR(K$2)&gt;$D6+$E6),0,SLN($C6,0,$E6))*IF(OR(YEAR(K$2)=$D6+$E6,YEAR(K$2)=$D6),0.5,1)</f>
        <v>490</v>
      </c>
      <c r="L6" s="110">
        <f>IF(OR(YEAR(L$2)&lt;$D6,YEAR(L$2)&gt;$D6+$E6),0,SLN($C6,0,$E6))*IF(OR(YEAR(L$2)=$D6+$E6,YEAR(L$2)=$D6),0.5,1)</f>
        <v>0</v>
      </c>
      <c r="M6" s="110">
        <f>IF(OR(YEAR(M$2)&lt;$D6,YEAR(M$2)&gt;$D6+$E6),0,SLN($C6,0,$E6))*IF(OR(YEAR(M$2)=$D6+$E6,YEAR(M$2)=$D6),0.5,1)</f>
        <v>0</v>
      </c>
      <c r="N6" s="110">
        <f>IF(OR(YEAR(N$2)&lt;$D6,YEAR(N$2)&gt;$D6+$E6),0,SLN($C6,0,$E6))*IF(OR(YEAR(N$2)=$D6+$E6,YEAR(N$2)=$D6),0.5,1)</f>
        <v>0</v>
      </c>
    </row>
    <row r="7" spans="2:14">
      <c r="B7" s="12">
        <v>5</v>
      </c>
      <c r="C7" s="139">
        <v>20200</v>
      </c>
      <c r="D7" s="12">
        <v>2017</v>
      </c>
      <c r="E7" s="12">
        <v>5</v>
      </c>
      <c r="F7" s="110">
        <f>IF(OR(YEAR(F$2)&lt;$D7,YEAR(F$2)&gt;$D7+$E7),0,SLN($C7,0,$E7))*IF(OR(YEAR(F$2)=$D7+$E7,YEAR(F$2)=$D7),0.5,1)</f>
        <v>0</v>
      </c>
      <c r="G7" s="110">
        <f>IF(OR(YEAR(G$2)&lt;$D7,YEAR(G$2)&gt;$D7+$E7),0,SLN($C7,0,$E7))*IF(OR(YEAR(G$2)=$D7+$E7,YEAR(G$2)=$D7),0.5,1)</f>
        <v>0</v>
      </c>
      <c r="H7" s="110">
        <f>IF(OR(YEAR(H$2)&lt;$D7,YEAR(H$2)&gt;$D7+$E7),0,SLN($C7,0,$E7))*IF(OR(YEAR(H$2)=$D7+$E7,YEAR(H$2)=$D7),0.5,1)</f>
        <v>2020</v>
      </c>
      <c r="I7" s="110">
        <f>IF(OR(YEAR(I$2)&lt;$D7,YEAR(I$2)&gt;$D7+$E7),0,SLN($C7,0,$E7))*IF(OR(YEAR(I$2)=$D7+$E7,YEAR(I$2)=$D7),0.5,1)</f>
        <v>4040</v>
      </c>
      <c r="J7" s="110">
        <f>IF(OR(YEAR(J$2)&lt;$D7,YEAR(J$2)&gt;$D7+$E7),0,SLN($C7,0,$E7))*IF(OR(YEAR(J$2)=$D7+$E7,YEAR(J$2)=$D7),0.5,1)</f>
        <v>4040</v>
      </c>
      <c r="K7" s="110">
        <f>IF(OR(YEAR(K$2)&lt;$D7,YEAR(K$2)&gt;$D7+$E7),0,SLN($C7,0,$E7))*IF(OR(YEAR(K$2)=$D7+$E7,YEAR(K$2)=$D7),0.5,1)</f>
        <v>4040</v>
      </c>
      <c r="L7" s="110">
        <f>IF(OR(YEAR(L$2)&lt;$D7,YEAR(L$2)&gt;$D7+$E7),0,SLN($C7,0,$E7))*IF(OR(YEAR(L$2)=$D7+$E7,YEAR(L$2)=$D7),0.5,1)</f>
        <v>4040</v>
      </c>
      <c r="M7" s="110">
        <f>IF(OR(YEAR(M$2)&lt;$D7,YEAR(M$2)&gt;$D7+$E7),0,SLN($C7,0,$E7))*IF(OR(YEAR(M$2)=$D7+$E7,YEAR(M$2)=$D7),0.5,1)</f>
        <v>2020</v>
      </c>
      <c r="N7" s="110">
        <f>IF(OR(YEAR(N$2)&lt;$D7,YEAR(N$2)&gt;$D7+$E7),0,SLN($C7,0,$E7))*IF(OR(YEAR(N$2)=$D7+$E7,YEAR(N$2)=$D7),0.5,1)</f>
        <v>0</v>
      </c>
    </row>
    <row r="8" spans="2:14" ht="15.75" thickBot="1">
      <c r="B8" s="12" t="s">
        <v>6</v>
      </c>
      <c r="F8" s="159">
        <f>SUM(F3:F7)</f>
        <v>9244.2857142857138</v>
      </c>
      <c r="G8" s="159">
        <f>SUM(G3:G7)</f>
        <v>8694.2857142857138</v>
      </c>
      <c r="H8" s="159">
        <f>SUM(H3:H7)</f>
        <v>9671.4285714285725</v>
      </c>
      <c r="I8" s="159">
        <f>SUM(I3:I7)</f>
        <v>10648.571428571428</v>
      </c>
      <c r="J8" s="159">
        <f>SUM(J3:J7)</f>
        <v>7834.2857142857138</v>
      </c>
      <c r="K8" s="159">
        <f>SUM(K3:K7)</f>
        <v>4530</v>
      </c>
      <c r="L8" s="159">
        <f>SUM(L3:L7)</f>
        <v>4040</v>
      </c>
      <c r="M8" s="159">
        <f>SUM(M3:M7)</f>
        <v>2020</v>
      </c>
      <c r="N8" s="159">
        <f>SUM(N3:N7)</f>
        <v>0</v>
      </c>
    </row>
    <row r="9" spans="2:14" ht="15.75" thickTop="1"/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N9"/>
  <sheetViews>
    <sheetView workbookViewId="0">
      <selection activeCell="C15" sqref="C15"/>
    </sheetView>
  </sheetViews>
  <sheetFormatPr defaultRowHeight="15"/>
  <cols>
    <col min="1" max="1" width="4.42578125" customWidth="1"/>
    <col min="2" max="2" width="9.42578125" bestFit="1" customWidth="1"/>
    <col min="3" max="3" width="8" bestFit="1" customWidth="1"/>
    <col min="4" max="4" width="13.5703125" bestFit="1" customWidth="1"/>
    <col min="5" max="5" width="10.5703125" bestFit="1" customWidth="1"/>
    <col min="6" max="14" width="10.7109375" bestFit="1" customWidth="1"/>
  </cols>
  <sheetData>
    <row r="2" spans="2:14">
      <c r="B2" s="97" t="s">
        <v>803</v>
      </c>
      <c r="C2" s="97" t="s">
        <v>802</v>
      </c>
      <c r="D2" s="97" t="s">
        <v>801</v>
      </c>
      <c r="E2" s="97" t="s">
        <v>800</v>
      </c>
      <c r="F2" s="171">
        <v>42369</v>
      </c>
      <c r="G2" s="171">
        <v>42735</v>
      </c>
      <c r="H2" s="171">
        <v>43100</v>
      </c>
      <c r="I2" s="171">
        <v>43465</v>
      </c>
      <c r="J2" s="171">
        <v>43830</v>
      </c>
      <c r="K2" s="171">
        <v>44196</v>
      </c>
      <c r="L2" s="171">
        <v>44561</v>
      </c>
      <c r="M2" s="171">
        <v>44926</v>
      </c>
      <c r="N2" s="171">
        <v>45291</v>
      </c>
    </row>
    <row r="3" spans="2:14">
      <c r="B3" s="12">
        <v>1</v>
      </c>
      <c r="C3" s="139">
        <v>10400</v>
      </c>
      <c r="D3" s="12">
        <v>2010</v>
      </c>
      <c r="E3" s="12">
        <v>5</v>
      </c>
      <c r="F3" s="110">
        <f>IF(OR(YEAR(F$2)&lt;$D3,YEAR(F$2)&gt;$D3+$E3),0,VDB($C3,0,$E3*2,IF(YEAR(F$2)=$D3,0,     IF(YEAR(F$2)=$D3+$E3,$E3*2-1,(YEAR(F$2)-$D3)*2-1)),     IF(YEAR(F$2)=$D3,1,IF(YEAR(F$2)=$D3+$E3,$E3*2,(YEAR(F$2)-$D3)*2+1))))</f>
        <v>681.57440000000008</v>
      </c>
      <c r="G3" s="110">
        <f>IF(OR(YEAR(G$2)&lt;$D3,YEAR(G$2)&gt;$D3+$E3),0,VDB($C3,0,$E3*2,IF(YEAR(G$2)=$D3,0,IF(YEAR(G$2)=$D3+$E3,$E3*2-1,(YEAR(G$2)-$D3)*2-1)),IF(YEAR(G$2)=$D3,1,IF(YEAR(G$2)=$D3+$E3,$E3*2,(YEAR(G$2)-$D3)*2+1))))</f>
        <v>0</v>
      </c>
      <c r="H3" s="110">
        <f>IF(OR(YEAR(H$2)&lt;$D3,YEAR(H$2)&gt;$D3+$E3),0,VDB($C3,0,$E3*2,IF(YEAR(H$2)=$D3,0,IF(YEAR(H$2)=$D3+$E3,$E3*2-1,(YEAR(H$2)-$D3)*2-1)),IF(YEAR(H$2)=$D3,1,IF(YEAR(H$2)=$D3+$E3,$E3*2,(YEAR(H$2)-$D3)*2+1))))</f>
        <v>0</v>
      </c>
      <c r="I3" s="110">
        <f>IF(OR(YEAR(I$2)&lt;$D3,YEAR(I$2)&gt;$D3+$E3),0,VDB($C3,0,$E3*2,IF(YEAR(I$2)=$D3,0,IF(YEAR(I$2)=$D3+$E3,$E3*2-1,(YEAR(I$2)-$D3)*2-1)),IF(YEAR(I$2)=$D3,1,IF(YEAR(I$2)=$D3+$E3,$E3*2,(YEAR(I$2)-$D3)*2+1))))</f>
        <v>0</v>
      </c>
      <c r="J3" s="110">
        <f>IF(OR(YEAR(J$2)&lt;$D3,YEAR(J$2)&gt;$D3+$E3),0,VDB($C3,0,$E3*2,IF(YEAR(J$2)=$D3,0,IF(YEAR(J$2)=$D3+$E3,$E3*2-1,(YEAR(J$2)-$D3)*2-1)),IF(YEAR(J$2)=$D3,1,IF(YEAR(J$2)=$D3+$E3,$E3*2,(YEAR(J$2)-$D3)*2+1))))</f>
        <v>0</v>
      </c>
      <c r="K3" s="110">
        <f>IF(OR(YEAR(K$2)&lt;$D3,YEAR(K$2)&gt;$D3+$E3),0,VDB($C3,0,$E3*2,IF(YEAR(K$2)=$D3,0,IF(YEAR(K$2)=$D3+$E3,$E3*2-1,(YEAR(K$2)-$D3)*2-1)),IF(YEAR(K$2)=$D3,1,IF(YEAR(K$2)=$D3+$E3,$E3*2,(YEAR(K$2)-$D3)*2+1))))</f>
        <v>0</v>
      </c>
      <c r="L3" s="110">
        <f>IF(OR(YEAR(L$2)&lt;$D3,YEAR(L$2)&gt;$D3+$E3),0,VDB($C3,0,$E3*2,IF(YEAR(L$2)=$D3,0,IF(YEAR(L$2)=$D3+$E3,$E3*2-1,(YEAR(L$2)-$D3)*2-1)),IF(YEAR(L$2)=$D3,1,IF(YEAR(L$2)=$D3+$E3,$E3*2,(YEAR(L$2)-$D3)*2+1))))</f>
        <v>0</v>
      </c>
      <c r="M3" s="110">
        <f>IF(OR(YEAR(M$2)&lt;$D3,YEAR(M$2)&gt;$D3+$E3),0,VDB($C3,0,$E3*2,IF(YEAR(M$2)=$D3,0,IF(YEAR(M$2)=$D3+$E3,$E3*2-1,(YEAR(M$2)-$D3)*2-1)),IF(YEAR(M$2)=$D3,1,IF(YEAR(M$2)=$D3+$E3,$E3*2,(YEAR(M$2)-$D3)*2+1))))</f>
        <v>0</v>
      </c>
      <c r="N3" s="110">
        <f>IF(OR(YEAR(N$2)&lt;$D3,YEAR(N$2)&gt;$D3+$E3),0,VDB($C3,0,$E3*2,IF(YEAR(N$2)=$D3,0,IF(YEAR(N$2)=$D3+$E3,$E3*2-1,(YEAR(N$2)-$D3)*2-1)),IF(YEAR(N$2)=$D3,1,IF(YEAR(N$2)=$D3+$E3,$E3*2,(YEAR(N$2)-$D3)*2+1))))</f>
        <v>0</v>
      </c>
    </row>
    <row r="4" spans="2:14">
      <c r="B4" s="12">
        <v>2</v>
      </c>
      <c r="C4" s="139">
        <v>14600</v>
      </c>
      <c r="D4" s="12">
        <v>2010</v>
      </c>
      <c r="E4" s="12">
        <v>7</v>
      </c>
      <c r="F4" s="110">
        <f>IF(OR(YEAR(F$2)&lt;$D4,YEAR(F$2)&gt;$D4+$E4),0,VDB($C4,0,$E4*2,IF(YEAR(F$2)=$D4,0,IF(YEAR(F$2)=$D4+$E4,$E4*2-1,(YEAR(F$2)-$D4)*2-1)),IF(YEAR(F$2)=$D4,1,IF(YEAR(F$2)=$D4+$E4,$E4*2,(YEAR(F$2)-$D4)*2+1))))</f>
        <v>1417.9381387145891</v>
      </c>
      <c r="G4" s="110">
        <f>IF(OR(YEAR(G$2)&lt;$D4,YEAR(G$2)&gt;$D4+$E4),0,VDB($C4,0,$E4*2,IF(YEAR(G$2)=$D4,0,IF(YEAR(G$2)=$D4+$E4,$E4*2-1,(YEAR(G$2)-$D4)*2-1)),IF(YEAR(G$2)=$D4,1,IF(YEAR(G$2)=$D4+$E4,$E4*2,(YEAR(G$2)-$D4)*2+1))))</f>
        <v>1417.9381387145891</v>
      </c>
      <c r="H4" s="110">
        <f>IF(OR(YEAR(H$2)&lt;$D4,YEAR(H$2)&gt;$D4+$E4),0,VDB($C4,0,$E4*2,IF(YEAR(H$2)=$D4,0,IF(YEAR(H$2)=$D4+$E4,$E4*2-1,(YEAR(H$2)-$D4)*2-1)),IF(YEAR(H$2)=$D4,1,IF(YEAR(H$2)=$D4+$E4,$E4*2,(YEAR(H$2)-$D4)*2+1))))</f>
        <v>708.96906935729453</v>
      </c>
      <c r="I4" s="110">
        <f>IF(OR(YEAR(I$2)&lt;$D4,YEAR(I$2)&gt;$D4+$E4),0,VDB($C4,0,$E4*2,IF(YEAR(I$2)=$D4,0,IF(YEAR(I$2)=$D4+$E4,$E4*2-1,(YEAR(I$2)-$D4)*2-1)),IF(YEAR(I$2)=$D4,1,IF(YEAR(I$2)=$D4+$E4,$E4*2,(YEAR(I$2)-$D4)*2+1))))</f>
        <v>0</v>
      </c>
      <c r="J4" s="110">
        <f>IF(OR(YEAR(J$2)&lt;$D4,YEAR(J$2)&gt;$D4+$E4),0,VDB($C4,0,$E4*2,IF(YEAR(J$2)=$D4,0,IF(YEAR(J$2)=$D4+$E4,$E4*2-1,(YEAR(J$2)-$D4)*2-1)),IF(YEAR(J$2)=$D4,1,IF(YEAR(J$2)=$D4+$E4,$E4*2,(YEAR(J$2)-$D4)*2+1))))</f>
        <v>0</v>
      </c>
      <c r="K4" s="110">
        <f>IF(OR(YEAR(K$2)&lt;$D4,YEAR(K$2)&gt;$D4+$E4),0,VDB($C4,0,$E4*2,IF(YEAR(K$2)=$D4,0,IF(YEAR(K$2)=$D4+$E4,$E4*2-1,(YEAR(K$2)-$D4)*2-1)),IF(YEAR(K$2)=$D4,1,IF(YEAR(K$2)=$D4+$E4,$E4*2,(YEAR(K$2)-$D4)*2+1))))</f>
        <v>0</v>
      </c>
      <c r="L4" s="110">
        <f>IF(OR(YEAR(L$2)&lt;$D4,YEAR(L$2)&gt;$D4+$E4),0,VDB($C4,0,$E4*2,IF(YEAR(L$2)=$D4,0,IF(YEAR(L$2)=$D4+$E4,$E4*2-1,(YEAR(L$2)-$D4)*2-1)),IF(YEAR(L$2)=$D4,1,IF(YEAR(L$2)=$D4+$E4,$E4*2,(YEAR(L$2)-$D4)*2+1))))</f>
        <v>0</v>
      </c>
      <c r="M4" s="110">
        <f>IF(OR(YEAR(M$2)&lt;$D4,YEAR(M$2)&gt;$D4+$E4),0,VDB($C4,0,$E4*2,IF(YEAR(M$2)=$D4,0,IF(YEAR(M$2)=$D4+$E4,$E4*2-1,(YEAR(M$2)-$D4)*2-1)),IF(YEAR(M$2)=$D4,1,IF(YEAR(M$2)=$D4+$E4,$E4*2,(YEAR(M$2)-$D4)*2+1))))</f>
        <v>0</v>
      </c>
      <c r="N4" s="110">
        <f>IF(OR(YEAR(N$2)&lt;$D4,YEAR(N$2)&gt;$D4+$E4),0,VDB($C4,0,$E4*2,IF(YEAR(N$2)=$D4,0,IF(YEAR(N$2)=$D4+$E4,$E4*2-1,(YEAR(N$2)-$D4)*2-1)),IF(YEAR(N$2)=$D4,1,IF(YEAR(N$2)=$D4+$E4,$E4*2,(YEAR(N$2)-$D4)*2+1))))</f>
        <v>0</v>
      </c>
    </row>
    <row r="5" spans="2:14">
      <c r="B5" s="12">
        <v>3</v>
      </c>
      <c r="C5" s="139">
        <v>39400</v>
      </c>
      <c r="D5" s="12">
        <v>2012</v>
      </c>
      <c r="E5" s="12">
        <v>7</v>
      </c>
      <c r="F5" s="110">
        <f>IF(OR(YEAR(F$2)&lt;$D5,YEAR(F$2)&gt;$D5+$E5),0,VDB($C5,0,$E5*2,IF(YEAR(F$2)=$D5,0,IF(YEAR(F$2)=$D5+$E5,$E5*2-1,(YEAR(F$2)-$D5)*2-1)),IF(YEAR(F$2)=$D5,1,IF(YEAR(F$2)=$D5+$E5,$E5*2,(YEAR(F$2)-$D5)*2+1))))</f>
        <v>4836.2589445845588</v>
      </c>
      <c r="G5" s="110">
        <f>IF(OR(YEAR(G$2)&lt;$D5,YEAR(G$2)&gt;$D5+$E5),0,VDB($C5,0,$E5*2,IF(YEAR(G$2)=$D5,0,IF(YEAR(G$2)=$D5+$E5,$E5*2-1,(YEAR(G$2)-$D5)*2-1)),IF(YEAR(G$2)=$D5,1,IF(YEAR(G$2)=$D5+$E5,$E5*2,(YEAR(G$2)-$D5)*2+1))))</f>
        <v>3826.4905935174529</v>
      </c>
      <c r="H5" s="110">
        <f>IF(OR(YEAR(H$2)&lt;$D5,YEAR(H$2)&gt;$D5+$E5),0,VDB($C5,0,$E5*2,IF(YEAR(H$2)=$D5,0,IF(YEAR(H$2)=$D5+$E5,$E5*2-1,(YEAR(H$2)-$D5)*2-1)),IF(YEAR(H$2)=$D5,1,IF(YEAR(H$2)=$D5+$E5,$E5*2,(YEAR(H$2)-$D5)*2+1))))</f>
        <v>3826.4905935174529</v>
      </c>
      <c r="I5" s="110">
        <f>IF(OR(YEAR(I$2)&lt;$D5,YEAR(I$2)&gt;$D5+$E5),0,VDB($C5,0,$E5*2,IF(YEAR(I$2)=$D5,0,IF(YEAR(I$2)=$D5+$E5,$E5*2-1,(YEAR(I$2)-$D5)*2-1)),IF(YEAR(I$2)=$D5,1,IF(YEAR(I$2)=$D5+$E5,$E5*2,(YEAR(I$2)-$D5)*2+1))))</f>
        <v>3826.4905935174529</v>
      </c>
      <c r="J5" s="110">
        <f>IF(OR(YEAR(J$2)&lt;$D5,YEAR(J$2)&gt;$D5+$E5),0,VDB($C5,0,$E5*2,IF(YEAR(J$2)=$D5,0,IF(YEAR(J$2)=$D5+$E5,$E5*2-1,(YEAR(J$2)-$D5)*2-1)),IF(YEAR(J$2)=$D5,1,IF(YEAR(J$2)=$D5+$E5,$E5*2,(YEAR(J$2)-$D5)*2+1))))</f>
        <v>1913.2452967587265</v>
      </c>
      <c r="K5" s="110">
        <f>IF(OR(YEAR(K$2)&lt;$D5,YEAR(K$2)&gt;$D5+$E5),0,VDB($C5,0,$E5*2,IF(YEAR(K$2)=$D5,0,IF(YEAR(K$2)=$D5+$E5,$E5*2-1,(YEAR(K$2)-$D5)*2-1)),IF(YEAR(K$2)=$D5,1,IF(YEAR(K$2)=$D5+$E5,$E5*2,(YEAR(K$2)-$D5)*2+1))))</f>
        <v>0</v>
      </c>
      <c r="L5" s="110">
        <f>IF(OR(YEAR(L$2)&lt;$D5,YEAR(L$2)&gt;$D5+$E5),0,VDB($C5,0,$E5*2,IF(YEAR(L$2)=$D5,0,IF(YEAR(L$2)=$D5+$E5,$E5*2-1,(YEAR(L$2)-$D5)*2-1)),IF(YEAR(L$2)=$D5,1,IF(YEAR(L$2)=$D5+$E5,$E5*2,(YEAR(L$2)-$D5)*2+1))))</f>
        <v>0</v>
      </c>
      <c r="M5" s="110">
        <f>IF(OR(YEAR(M$2)&lt;$D5,YEAR(M$2)&gt;$D5+$E5),0,VDB($C5,0,$E5*2,IF(YEAR(M$2)=$D5,0,IF(YEAR(M$2)=$D5+$E5,$E5*2-1,(YEAR(M$2)-$D5)*2-1)),IF(YEAR(M$2)=$D5,1,IF(YEAR(M$2)=$D5+$E5,$E5*2,(YEAR(M$2)-$D5)*2+1))))</f>
        <v>0</v>
      </c>
      <c r="N5" s="110">
        <f>IF(OR(YEAR(N$2)&lt;$D5,YEAR(N$2)&gt;$D5+$E5),0,VDB($C5,0,$E5*2,IF(YEAR(N$2)=$D5,0,IF(YEAR(N$2)=$D5+$E5,$E5*2-1,(YEAR(N$2)-$D5)*2-1)),IF(YEAR(N$2)=$D5,1,IF(YEAR(N$2)=$D5+$E5,$E5*2,(YEAR(N$2)-$D5)*2+1))))</f>
        <v>0</v>
      </c>
    </row>
    <row r="6" spans="2:14">
      <c r="B6" s="12">
        <v>4</v>
      </c>
      <c r="C6" s="139">
        <v>4900</v>
      </c>
      <c r="D6" s="12">
        <v>2015</v>
      </c>
      <c r="E6" s="12">
        <v>5</v>
      </c>
      <c r="F6" s="110">
        <f>IF(OR(YEAR(F$2)&lt;$D6,YEAR(F$2)&gt;$D6+$E6),0,VDB($C6,0,$E6*2,IF(YEAR(F$2)=$D6,0,IF(YEAR(F$2)=$D6+$E6,$E6*2-1,(YEAR(F$2)-$D6)*2-1)),IF(YEAR(F$2)=$D6,1,IF(YEAR(F$2)=$D6+$E6,$E6*2,(YEAR(F$2)-$D6)*2+1))))</f>
        <v>980</v>
      </c>
      <c r="G6" s="110">
        <f>IF(OR(YEAR(G$2)&lt;$D6,YEAR(G$2)&gt;$D6+$E6),0,VDB($C6,0,$E6*2,IF(YEAR(G$2)=$D6,0,IF(YEAR(G$2)=$D6+$E6,$E6*2-1,(YEAR(G$2)-$D6)*2-1)),IF(YEAR(G$2)=$D6,1,IF(YEAR(G$2)=$D6+$E6,$E6*2,(YEAR(G$2)-$D6)*2+1))))</f>
        <v>1411.2</v>
      </c>
      <c r="H6" s="110">
        <f>IF(OR(YEAR(H$2)&lt;$D6,YEAR(H$2)&gt;$D6+$E6),0,VDB($C6,0,$E6*2,IF(YEAR(H$2)=$D6,0,IF(YEAR(H$2)=$D6+$E6,$E6*2-1,(YEAR(H$2)-$D6)*2-1)),IF(YEAR(H$2)=$D6,1,IF(YEAR(H$2)=$D6+$E6,$E6*2,(YEAR(H$2)-$D6)*2+1))))</f>
        <v>903.16800000000012</v>
      </c>
      <c r="I6" s="110">
        <f>IF(OR(YEAR(I$2)&lt;$D6,YEAR(I$2)&gt;$D6+$E6),0,VDB($C6,0,$E6*2,IF(YEAR(I$2)=$D6,0,IF(YEAR(I$2)=$D6+$E6,$E6*2-1,(YEAR(I$2)-$D6)*2-1)),IF(YEAR(I$2)=$D6,1,IF(YEAR(I$2)=$D6+$E6,$E6*2,(YEAR(I$2)-$D6)*2+1))))</f>
        <v>642.25279999999998</v>
      </c>
      <c r="J6" s="110">
        <f>IF(OR(YEAR(J$2)&lt;$D6,YEAR(J$2)&gt;$D6+$E6),0,VDB($C6,0,$E6*2,IF(YEAR(J$2)=$D6,0,IF(YEAR(J$2)=$D6+$E6,$E6*2-1,(YEAR(J$2)-$D6)*2-1)),IF(YEAR(J$2)=$D6,1,IF(YEAR(J$2)=$D6+$E6,$E6*2,(YEAR(J$2)-$D6)*2+1))))</f>
        <v>642.25279999999998</v>
      </c>
      <c r="K6" s="110">
        <f>IF(OR(YEAR(K$2)&lt;$D6,YEAR(K$2)&gt;$D6+$E6),0,VDB($C6,0,$E6*2,IF(YEAR(K$2)=$D6,0,IF(YEAR(K$2)=$D6+$E6,$E6*2-1,(YEAR(K$2)-$D6)*2-1)),IF(YEAR(K$2)=$D6,1,IF(YEAR(K$2)=$D6+$E6,$E6*2,(YEAR(K$2)-$D6)*2+1))))</f>
        <v>321.12639999999999</v>
      </c>
      <c r="L6" s="110">
        <f>IF(OR(YEAR(L$2)&lt;$D6,YEAR(L$2)&gt;$D6+$E6),0,VDB($C6,0,$E6*2,IF(YEAR(L$2)=$D6,0,IF(YEAR(L$2)=$D6+$E6,$E6*2-1,(YEAR(L$2)-$D6)*2-1)),IF(YEAR(L$2)=$D6,1,IF(YEAR(L$2)=$D6+$E6,$E6*2,(YEAR(L$2)-$D6)*2+1))))</f>
        <v>0</v>
      </c>
      <c r="M6" s="110">
        <f>IF(OR(YEAR(M$2)&lt;$D6,YEAR(M$2)&gt;$D6+$E6),0,VDB($C6,0,$E6*2,IF(YEAR(M$2)=$D6,0,IF(YEAR(M$2)=$D6+$E6,$E6*2-1,(YEAR(M$2)-$D6)*2-1)),IF(YEAR(M$2)=$D6,1,IF(YEAR(M$2)=$D6+$E6,$E6*2,(YEAR(M$2)-$D6)*2+1))))</f>
        <v>0</v>
      </c>
      <c r="N6" s="110">
        <f>IF(OR(YEAR(N$2)&lt;$D6,YEAR(N$2)&gt;$D6+$E6),0,VDB($C6,0,$E6*2,IF(YEAR(N$2)=$D6,0,IF(YEAR(N$2)=$D6+$E6,$E6*2-1,(YEAR(N$2)-$D6)*2-1)),IF(YEAR(N$2)=$D6,1,IF(YEAR(N$2)=$D6+$E6,$E6*2,(YEAR(N$2)-$D6)*2+1))))</f>
        <v>0</v>
      </c>
    </row>
    <row r="7" spans="2:14">
      <c r="B7" s="12">
        <v>5</v>
      </c>
      <c r="C7" s="139">
        <v>20200</v>
      </c>
      <c r="D7" s="12">
        <v>2017</v>
      </c>
      <c r="E7" s="12">
        <v>5</v>
      </c>
      <c r="F7" s="110">
        <f>IF(OR(YEAR(F$2)&lt;$D7,YEAR(F$2)&gt;$D7+$E7),0,VDB($C7,0,$E7*2,IF(YEAR(F$2)=$D7,0,IF(YEAR(F$2)=$D7+$E7,$E7*2-1,(YEAR(F$2)-$D7)*2-1)),IF(YEAR(F$2)=$D7,1,IF(YEAR(F$2)=$D7+$E7,$E7*2,(YEAR(F$2)-$D7)*2+1))))</f>
        <v>0</v>
      </c>
      <c r="G7" s="110">
        <f>IF(OR(YEAR(G$2)&lt;$D7,YEAR(G$2)&gt;$D7+$E7),0,VDB($C7,0,$E7*2,IF(YEAR(G$2)=$D7,0,IF(YEAR(G$2)=$D7+$E7,$E7*2-1,(YEAR(G$2)-$D7)*2-1)),IF(YEAR(G$2)=$D7,1,IF(YEAR(G$2)=$D7+$E7,$E7*2,(YEAR(G$2)-$D7)*2+1))))</f>
        <v>0</v>
      </c>
      <c r="H7" s="110">
        <f>IF(OR(YEAR(H$2)&lt;$D7,YEAR(H$2)&gt;$D7+$E7),0,VDB($C7,0,$E7*2,IF(YEAR(H$2)=$D7,0,IF(YEAR(H$2)=$D7+$E7,$E7*2-1,(YEAR(H$2)-$D7)*2-1)),IF(YEAR(H$2)=$D7,1,IF(YEAR(H$2)=$D7+$E7,$E7*2,(YEAR(H$2)-$D7)*2+1))))</f>
        <v>4040</v>
      </c>
      <c r="I7" s="110">
        <f>IF(OR(YEAR(I$2)&lt;$D7,YEAR(I$2)&gt;$D7+$E7),0,VDB($C7,0,$E7*2,IF(YEAR(I$2)=$D7,0,IF(YEAR(I$2)=$D7+$E7,$E7*2-1,(YEAR(I$2)-$D7)*2-1)),IF(YEAR(I$2)=$D7,1,IF(YEAR(I$2)=$D7+$E7,$E7*2,(YEAR(I$2)-$D7)*2+1))))</f>
        <v>5817.6</v>
      </c>
      <c r="J7" s="110">
        <f>IF(OR(YEAR(J$2)&lt;$D7,YEAR(J$2)&gt;$D7+$E7),0,VDB($C7,0,$E7*2,IF(YEAR(J$2)=$D7,0,IF(YEAR(J$2)=$D7+$E7,$E7*2-1,(YEAR(J$2)-$D7)*2-1)),IF(YEAR(J$2)=$D7,1,IF(YEAR(J$2)=$D7+$E7,$E7*2,(YEAR(J$2)-$D7)*2+1))))</f>
        <v>3723.2640000000001</v>
      </c>
      <c r="K7" s="110">
        <f>IF(OR(YEAR(K$2)&lt;$D7,YEAR(K$2)&gt;$D7+$E7),0,VDB($C7,0,$E7*2,IF(YEAR(K$2)=$D7,0,IF(YEAR(K$2)=$D7+$E7,$E7*2-1,(YEAR(K$2)-$D7)*2-1)),IF(YEAR(K$2)=$D7,1,IF(YEAR(K$2)=$D7+$E7,$E7*2,(YEAR(K$2)-$D7)*2+1))))</f>
        <v>2647.6544000000004</v>
      </c>
      <c r="L7" s="110">
        <f>IF(OR(YEAR(L$2)&lt;$D7,YEAR(L$2)&gt;$D7+$E7),0,VDB($C7,0,$E7*2,IF(YEAR(L$2)=$D7,0,IF(YEAR(L$2)=$D7+$E7,$E7*2-1,(YEAR(L$2)-$D7)*2-1)),IF(YEAR(L$2)=$D7,1,IF(YEAR(L$2)=$D7+$E7,$E7*2,(YEAR(L$2)-$D7)*2+1))))</f>
        <v>2647.6544000000004</v>
      </c>
      <c r="M7" s="110">
        <f>IF(OR(YEAR(M$2)&lt;$D7,YEAR(M$2)&gt;$D7+$E7),0,VDB($C7,0,$E7*2,IF(YEAR(M$2)=$D7,0,IF(YEAR(M$2)=$D7+$E7,$E7*2-1,(YEAR(M$2)-$D7)*2-1)),IF(YEAR(M$2)=$D7,1,IF(YEAR(M$2)=$D7+$E7,$E7*2,(YEAR(M$2)-$D7)*2+1))))</f>
        <v>1323.8272000000002</v>
      </c>
      <c r="N7" s="110">
        <f>IF(OR(YEAR(N$2)&lt;$D7,YEAR(N$2)&gt;$D7+$E7),0,VDB($C7,0,$E7*2,IF(YEAR(N$2)=$D7,0,IF(YEAR(N$2)=$D7+$E7,$E7*2-1,(YEAR(N$2)-$D7)*2-1)),IF(YEAR(N$2)=$D7,1,IF(YEAR(N$2)=$D7+$E7,$E7*2,(YEAR(N$2)-$D7)*2+1))))</f>
        <v>0</v>
      </c>
    </row>
    <row r="8" spans="2:14" ht="15.75" thickBot="1">
      <c r="B8" s="12" t="s">
        <v>6</v>
      </c>
      <c r="F8" s="159">
        <f>SUM(F3:F7)</f>
        <v>7915.7714832991478</v>
      </c>
      <c r="G8" s="159">
        <f>SUM(G3:G7)</f>
        <v>6655.6287322320413</v>
      </c>
      <c r="H8" s="159">
        <f>SUM(H3:H7)</f>
        <v>9478.6276628747473</v>
      </c>
      <c r="I8" s="159">
        <f>SUM(I3:I7)</f>
        <v>10286.343393517454</v>
      </c>
      <c r="J8" s="159">
        <f>SUM(J3:J7)</f>
        <v>6278.7620967587263</v>
      </c>
      <c r="K8" s="159">
        <f>SUM(K3:K7)</f>
        <v>2968.7808000000005</v>
      </c>
      <c r="L8" s="159">
        <f>SUM(L3:L7)</f>
        <v>2647.6544000000004</v>
      </c>
      <c r="M8" s="159">
        <f>SUM(M3:M7)</f>
        <v>1323.8272000000002</v>
      </c>
      <c r="N8" s="159">
        <f>SUM(N3:N7)</f>
        <v>0</v>
      </c>
    </row>
    <row r="9" spans="2:14" ht="15.75" thickTop="1"/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C15" sqref="C15"/>
    </sheetView>
  </sheetViews>
  <sheetFormatPr defaultRowHeight="15"/>
  <cols>
    <col min="1" max="1" width="5.140625" customWidth="1"/>
    <col min="2" max="2" width="14.85546875" bestFit="1" customWidth="1"/>
    <col min="3" max="3" width="10.5703125" bestFit="1" customWidth="1"/>
  </cols>
  <sheetData>
    <row r="2" spans="2:3">
      <c r="B2" s="134" t="s">
        <v>806</v>
      </c>
      <c r="C2" s="139">
        <v>10000</v>
      </c>
    </row>
    <row r="3" spans="2:3">
      <c r="B3" s="134" t="s">
        <v>793</v>
      </c>
      <c r="C3" s="139">
        <v>1</v>
      </c>
    </row>
    <row r="4" spans="2:3">
      <c r="B4" s="134" t="s">
        <v>805</v>
      </c>
      <c r="C4" s="163">
        <v>0.06</v>
      </c>
    </row>
    <row r="5" spans="2:3" ht="15.75" thickBot="1">
      <c r="B5" s="134" t="s">
        <v>804</v>
      </c>
      <c r="C5" s="172">
        <f>PV(C4,C3,0,-C2)</f>
        <v>9433.9622641509432</v>
      </c>
    </row>
    <row r="6" spans="2:3" ht="15.75" thickTop="1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D19"/>
  <sheetViews>
    <sheetView workbookViewId="0">
      <selection activeCell="C15" sqref="C15"/>
    </sheetView>
  </sheetViews>
  <sheetFormatPr defaultRowHeight="15"/>
  <cols>
    <col min="2" max="2" width="14.85546875" bestFit="1" customWidth="1"/>
    <col min="3" max="3" width="10.85546875" bestFit="1" customWidth="1"/>
    <col min="4" max="4" width="9.85546875" bestFit="1" customWidth="1"/>
  </cols>
  <sheetData>
    <row r="2" spans="2:4">
      <c r="B2" s="134" t="s">
        <v>808</v>
      </c>
      <c r="C2" s="139">
        <v>5000</v>
      </c>
    </row>
    <row r="3" spans="2:4">
      <c r="B3" s="134" t="s">
        <v>793</v>
      </c>
      <c r="C3" s="139">
        <v>10</v>
      </c>
    </row>
    <row r="4" spans="2:4">
      <c r="B4" s="134" t="s">
        <v>805</v>
      </c>
      <c r="C4" s="163">
        <v>0.03</v>
      </c>
    </row>
    <row r="5" spans="2:4" ht="15.75" thickBot="1">
      <c r="B5" s="134" t="s">
        <v>804</v>
      </c>
      <c r="C5" s="144">
        <f>PV(C4,C3,-C2,0,1)</f>
        <v>43930.544609395518</v>
      </c>
    </row>
    <row r="6" spans="2:4" ht="15.75" thickTop="1"/>
    <row r="7" spans="2:4">
      <c r="B7" s="97" t="s">
        <v>365</v>
      </c>
      <c r="C7" s="97" t="s">
        <v>808</v>
      </c>
      <c r="D7" s="97" t="s">
        <v>807</v>
      </c>
    </row>
    <row r="8" spans="2:4">
      <c r="B8" s="12">
        <v>1</v>
      </c>
      <c r="C8" s="139">
        <v>5000</v>
      </c>
      <c r="D8" s="139">
        <f>C8</f>
        <v>5000</v>
      </c>
    </row>
    <row r="9" spans="2:4">
      <c r="B9" s="12">
        <v>2</v>
      </c>
      <c r="C9" s="139">
        <v>5000</v>
      </c>
      <c r="D9" s="139">
        <f>PV($C$4,B9-1,0,-C9)</f>
        <v>4854.3689320388348</v>
      </c>
    </row>
    <row r="10" spans="2:4">
      <c r="B10" s="12">
        <v>3</v>
      </c>
      <c r="C10" s="139">
        <v>5000</v>
      </c>
      <c r="D10" s="139">
        <f>PV($C$4,B10-1,0,-C10)</f>
        <v>4712.9795456687716</v>
      </c>
    </row>
    <row r="11" spans="2:4">
      <c r="B11" s="12">
        <v>4</v>
      </c>
      <c r="C11" s="139">
        <v>5000</v>
      </c>
      <c r="D11" s="139">
        <f>PV($C$4,B11-1,0,-C11)</f>
        <v>4575.708296765798</v>
      </c>
    </row>
    <row r="12" spans="2:4">
      <c r="B12" s="12">
        <v>5</v>
      </c>
      <c r="C12" s="139">
        <v>5000</v>
      </c>
      <c r="D12" s="139">
        <f>PV($C$4,B12-1,0,-C12)</f>
        <v>4442.4352395784445</v>
      </c>
    </row>
    <row r="13" spans="2:4">
      <c r="B13" s="12">
        <v>6</v>
      </c>
      <c r="C13" s="139">
        <v>5000</v>
      </c>
      <c r="D13" s="139">
        <f>PV($C$4,B13-1,0,-C13)</f>
        <v>4313.0439219208201</v>
      </c>
    </row>
    <row r="14" spans="2:4">
      <c r="B14" s="12">
        <v>7</v>
      </c>
      <c r="C14" s="139">
        <v>5000</v>
      </c>
      <c r="D14" s="139">
        <f>PV($C$4,B14-1,0,-C14)</f>
        <v>4187.4212834182717</v>
      </c>
    </row>
    <row r="15" spans="2:4">
      <c r="B15" s="12">
        <v>8</v>
      </c>
      <c r="C15" s="139">
        <v>5000</v>
      </c>
      <c r="D15" s="139">
        <f>PV($C$4,B15-1,0,-C15)</f>
        <v>4065.457556716769</v>
      </c>
    </row>
    <row r="16" spans="2:4">
      <c r="B16" s="12">
        <v>9</v>
      </c>
      <c r="C16" s="139">
        <v>5000</v>
      </c>
      <c r="D16" s="139">
        <f>PV($C$4,B16-1,0,-C16)</f>
        <v>3947.0461715696788</v>
      </c>
    </row>
    <row r="17" spans="2:4">
      <c r="B17" s="12">
        <v>10</v>
      </c>
      <c r="C17" s="139">
        <v>5000</v>
      </c>
      <c r="D17" s="139">
        <f>PV($C$4,B17-1,0,-C17)</f>
        <v>3832.0836617181349</v>
      </c>
    </row>
    <row r="18" spans="2:4" ht="15.75" thickBot="1">
      <c r="D18" s="144">
        <f>SUM(D8:D17)</f>
        <v>43930.544609395525</v>
      </c>
    </row>
    <row r="19" spans="2:4" ht="15.75" thickTop="1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C15" sqref="C15"/>
    </sheetView>
  </sheetViews>
  <sheetFormatPr defaultRowHeight="15"/>
  <cols>
    <col min="2" max="2" width="19.28515625" bestFit="1" customWidth="1"/>
    <col min="3" max="3" width="16.7109375" customWidth="1"/>
  </cols>
  <sheetData>
    <row r="2" spans="2:3">
      <c r="B2" s="134" t="s">
        <v>811</v>
      </c>
      <c r="C2" s="163">
        <v>0.08</v>
      </c>
    </row>
    <row r="4" spans="2:3" ht="30">
      <c r="B4" s="97" t="s">
        <v>236</v>
      </c>
      <c r="C4" s="173" t="s">
        <v>810</v>
      </c>
    </row>
    <row r="5" spans="2:3">
      <c r="B5" s="70">
        <v>42369</v>
      </c>
      <c r="C5" s="139">
        <v>4000</v>
      </c>
    </row>
    <row r="6" spans="2:3">
      <c r="B6" s="70">
        <v>42735</v>
      </c>
      <c r="C6" s="139">
        <v>4760</v>
      </c>
    </row>
    <row r="7" spans="2:3">
      <c r="B7" s="70">
        <v>43100</v>
      </c>
      <c r="C7" s="139">
        <v>5664.4</v>
      </c>
    </row>
    <row r="8" spans="2:3">
      <c r="B8" s="70">
        <v>43465</v>
      </c>
      <c r="C8" s="139">
        <v>6797.28</v>
      </c>
    </row>
    <row r="9" spans="2:3">
      <c r="B9" s="70">
        <v>43830</v>
      </c>
      <c r="C9" s="139">
        <v>7477.0080000000007</v>
      </c>
    </row>
    <row r="10" spans="2:3">
      <c r="B10" s="70">
        <v>44196</v>
      </c>
      <c r="C10" s="139">
        <v>8224.7088000000022</v>
      </c>
    </row>
    <row r="11" spans="2:3">
      <c r="B11" s="70">
        <v>44561</v>
      </c>
      <c r="C11" s="139">
        <v>9458.4151200000015</v>
      </c>
    </row>
    <row r="13" spans="2:3">
      <c r="B13" s="134" t="s">
        <v>809</v>
      </c>
      <c r="C13" s="139">
        <f>NPV(C2,C5:C11)</f>
        <v>33068.005613718393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B2:C13"/>
  <sheetViews>
    <sheetView workbookViewId="0">
      <selection activeCell="C15" sqref="C15"/>
    </sheetView>
  </sheetViews>
  <sheetFormatPr defaultRowHeight="15"/>
  <cols>
    <col min="2" max="2" width="19.28515625" bestFit="1" customWidth="1"/>
    <col min="3" max="3" width="16.7109375" customWidth="1"/>
  </cols>
  <sheetData>
    <row r="2" spans="2:3">
      <c r="B2" s="134" t="s">
        <v>811</v>
      </c>
      <c r="C2" s="163">
        <v>0.08</v>
      </c>
    </row>
    <row r="4" spans="2:3" ht="30">
      <c r="B4" s="97" t="s">
        <v>236</v>
      </c>
      <c r="C4" s="173" t="s">
        <v>810</v>
      </c>
    </row>
    <row r="5" spans="2:3">
      <c r="B5" s="70">
        <v>42369</v>
      </c>
      <c r="C5" s="139">
        <v>-15000</v>
      </c>
    </row>
    <row r="6" spans="2:3">
      <c r="B6" s="70">
        <v>42735</v>
      </c>
      <c r="C6" s="139">
        <v>-10000</v>
      </c>
    </row>
    <row r="7" spans="2:3">
      <c r="B7" s="70">
        <v>43100</v>
      </c>
      <c r="C7" s="139">
        <v>-5000</v>
      </c>
    </row>
    <row r="8" spans="2:3">
      <c r="B8" s="70">
        <v>43465</v>
      </c>
      <c r="C8" s="139">
        <v>7000</v>
      </c>
    </row>
    <row r="9" spans="2:3">
      <c r="B9" s="70">
        <v>43830</v>
      </c>
      <c r="C9" s="139">
        <v>9100</v>
      </c>
    </row>
    <row r="10" spans="2:3">
      <c r="B10" s="70">
        <v>44196</v>
      </c>
      <c r="C10" s="139">
        <v>11830</v>
      </c>
    </row>
    <row r="11" spans="2:3">
      <c r="B11" s="70">
        <v>44561</v>
      </c>
      <c r="C11" s="139">
        <v>15142.4</v>
      </c>
    </row>
    <row r="13" spans="2:3">
      <c r="B13" s="134" t="s">
        <v>809</v>
      </c>
      <c r="C13" s="139">
        <f>NPV(C2,C5:C11)</f>
        <v>1197.4294128192216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C12"/>
  <sheetViews>
    <sheetView workbookViewId="0">
      <selection activeCell="C15" sqref="C15"/>
    </sheetView>
  </sheetViews>
  <sheetFormatPr defaultRowHeight="15"/>
  <cols>
    <col min="2" max="2" width="23.42578125" bestFit="1" customWidth="1"/>
    <col min="3" max="3" width="16.7109375" customWidth="1"/>
  </cols>
  <sheetData>
    <row r="2" spans="2:3" ht="30">
      <c r="B2" s="97" t="s">
        <v>236</v>
      </c>
      <c r="C2" s="173" t="s">
        <v>810</v>
      </c>
    </row>
    <row r="3" spans="2:3">
      <c r="B3" s="70">
        <v>42004</v>
      </c>
      <c r="C3" s="139">
        <v>-30000</v>
      </c>
    </row>
    <row r="4" spans="2:3">
      <c r="B4" s="70">
        <v>42369</v>
      </c>
      <c r="C4" s="139">
        <v>4000</v>
      </c>
    </row>
    <row r="5" spans="2:3">
      <c r="B5" s="70">
        <v>42735</v>
      </c>
      <c r="C5" s="139">
        <v>4760</v>
      </c>
    </row>
    <row r="6" spans="2:3">
      <c r="B6" s="70">
        <v>43100</v>
      </c>
      <c r="C6" s="139">
        <v>5664.4</v>
      </c>
    </row>
    <row r="7" spans="2:3">
      <c r="B7" s="70">
        <v>43465</v>
      </c>
      <c r="C7" s="139">
        <v>6797.28</v>
      </c>
    </row>
    <row r="8" spans="2:3">
      <c r="B8" s="70">
        <v>43830</v>
      </c>
      <c r="C8" s="139">
        <v>7477.0080000000007</v>
      </c>
    </row>
    <row r="9" spans="2:3">
      <c r="B9" s="70">
        <v>44196</v>
      </c>
      <c r="C9" s="139">
        <v>8224.7088000000022</v>
      </c>
    </row>
    <row r="10" spans="2:3">
      <c r="B10" s="70">
        <v>44561</v>
      </c>
      <c r="C10" s="139">
        <v>9458.4151200000015</v>
      </c>
    </row>
    <row r="12" spans="2:3">
      <c r="B12" s="134" t="s">
        <v>812</v>
      </c>
      <c r="C12" s="163">
        <f>IRR(C3:C10,0.08)</f>
        <v>0.10530295409578962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C15" sqref="C15"/>
    </sheetView>
  </sheetViews>
  <sheetFormatPr defaultRowHeight="15"/>
  <cols>
    <col min="2" max="2" width="23.42578125" bestFit="1" customWidth="1"/>
    <col min="3" max="3" width="16.7109375" customWidth="1"/>
  </cols>
  <sheetData>
    <row r="2" spans="2:3">
      <c r="B2" s="97" t="s">
        <v>236</v>
      </c>
      <c r="C2" s="173" t="s">
        <v>813</v>
      </c>
    </row>
    <row r="3" spans="2:3">
      <c r="B3" s="70">
        <v>42156</v>
      </c>
      <c r="C3" s="139">
        <v>-6723</v>
      </c>
    </row>
    <row r="4" spans="2:3">
      <c r="B4" s="70">
        <v>42233</v>
      </c>
      <c r="C4" s="139">
        <v>-14856</v>
      </c>
    </row>
    <row r="5" spans="2:3">
      <c r="B5" s="70">
        <v>42314</v>
      </c>
      <c r="C5" s="139">
        <v>5856</v>
      </c>
    </row>
    <row r="6" spans="2:3">
      <c r="B6" s="70">
        <v>42350</v>
      </c>
      <c r="C6" s="139">
        <v>-4171</v>
      </c>
    </row>
    <row r="7" spans="2:3">
      <c r="B7" s="70">
        <v>42390</v>
      </c>
      <c r="C7" s="139">
        <v>8039</v>
      </c>
    </row>
    <row r="8" spans="2:3">
      <c r="B8" s="70">
        <v>42439</v>
      </c>
      <c r="C8" s="139">
        <v>-12384</v>
      </c>
    </row>
    <row r="9" spans="2:3">
      <c r="B9" s="70">
        <v>42508</v>
      </c>
      <c r="C9" s="139">
        <v>13860</v>
      </c>
    </row>
    <row r="10" spans="2:3">
      <c r="B10" s="70">
        <v>42574</v>
      </c>
      <c r="C10" s="139">
        <v>-12894</v>
      </c>
    </row>
    <row r="11" spans="2:3">
      <c r="B11" s="70">
        <v>42608</v>
      </c>
      <c r="C11" s="139">
        <v>7196</v>
      </c>
    </row>
    <row r="12" spans="2:3">
      <c r="B12" s="70">
        <v>42692</v>
      </c>
      <c r="C12" s="139">
        <v>14907</v>
      </c>
    </row>
    <row r="13" spans="2:3">
      <c r="B13" s="70">
        <v>42744</v>
      </c>
      <c r="C13" s="139">
        <v>-6636</v>
      </c>
    </row>
    <row r="14" spans="2:3">
      <c r="B14" s="70">
        <v>42794</v>
      </c>
      <c r="C14" s="139">
        <v>3964</v>
      </c>
    </row>
    <row r="15" spans="2:3">
      <c r="B15" s="70">
        <v>42850</v>
      </c>
      <c r="C15" s="139">
        <v>-13690</v>
      </c>
    </row>
    <row r="16" spans="2:3">
      <c r="B16" s="70">
        <v>42919</v>
      </c>
      <c r="C16" s="139">
        <v>6185</v>
      </c>
    </row>
    <row r="17" spans="2:3">
      <c r="B17" s="70">
        <v>43000</v>
      </c>
      <c r="C17" s="139">
        <v>14785</v>
      </c>
    </row>
    <row r="19" spans="2:3">
      <c r="B19" s="134" t="s">
        <v>812</v>
      </c>
      <c r="C19" s="163">
        <f>XIRR(C3:C17,B3:B17,0.08)</f>
        <v>0.10138757228851319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D8" sqref="D8"/>
    </sheetView>
  </sheetViews>
  <sheetFormatPr defaultRowHeight="15"/>
  <cols>
    <col min="1" max="1" width="4.140625" customWidth="1"/>
    <col min="2" max="2" width="30.85546875" bestFit="1" customWidth="1"/>
    <col min="3" max="3" width="11.5703125" bestFit="1" customWidth="1"/>
    <col min="4" max="4" width="13.85546875" bestFit="1" customWidth="1"/>
  </cols>
  <sheetData>
    <row r="2" spans="2:5">
      <c r="B2" s="97" t="s">
        <v>821</v>
      </c>
      <c r="C2" s="97" t="s">
        <v>337</v>
      </c>
      <c r="D2" s="97" t="s">
        <v>820</v>
      </c>
    </row>
    <row r="3" spans="2:5">
      <c r="B3" t="s">
        <v>819</v>
      </c>
      <c r="C3" s="102">
        <v>72021.350000000006</v>
      </c>
      <c r="D3" s="177">
        <v>2.5000000000000001E-2</v>
      </c>
      <c r="E3" s="176"/>
    </row>
    <row r="4" spans="2:5">
      <c r="B4" t="s">
        <v>818</v>
      </c>
      <c r="C4" s="102">
        <v>25419.31</v>
      </c>
      <c r="D4" s="177">
        <v>7.4099999999999999E-2</v>
      </c>
      <c r="E4" s="176"/>
    </row>
    <row r="5" spans="2:5">
      <c r="B5" t="s">
        <v>817</v>
      </c>
      <c r="C5" s="102">
        <v>97440.65</v>
      </c>
      <c r="D5" s="177">
        <v>4.3999999999999997E-2</v>
      </c>
      <c r="E5" s="176"/>
    </row>
    <row r="6" spans="2:5">
      <c r="B6" t="s">
        <v>816</v>
      </c>
      <c r="C6" s="102">
        <v>88967.56</v>
      </c>
      <c r="D6" s="177">
        <v>5.0999999999999997E-2</v>
      </c>
      <c r="E6" s="176"/>
    </row>
    <row r="7" spans="2:5">
      <c r="B7" t="s">
        <v>815</v>
      </c>
      <c r="C7" s="102">
        <v>139806.15</v>
      </c>
      <c r="D7" s="177">
        <v>0.1012</v>
      </c>
      <c r="E7" s="176"/>
    </row>
    <row r="8" spans="2:5" ht="15.75" thickBot="1">
      <c r="B8" s="137" t="s">
        <v>814</v>
      </c>
      <c r="C8" s="175">
        <f>SUM(C3:C7)</f>
        <v>423655.02</v>
      </c>
      <c r="D8" s="174">
        <f>SUMPRODUCT((C3:C7/$C$8),D3:D7)</f>
        <v>6.292199998243854E-2</v>
      </c>
    </row>
    <row r="9" spans="2:5" ht="15.75" thickTop="1"/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D8" sqref="D8"/>
    </sheetView>
  </sheetViews>
  <sheetFormatPr defaultRowHeight="15"/>
  <cols>
    <col min="1" max="1" width="4.140625" customWidth="1"/>
    <col min="2" max="2" width="30.85546875" bestFit="1" customWidth="1"/>
    <col min="3" max="3" width="11.5703125" bestFit="1" customWidth="1"/>
    <col min="4" max="4" width="13.85546875" bestFit="1" customWidth="1"/>
    <col min="5" max="5" width="10.28515625" customWidth="1"/>
    <col min="6" max="6" width="12.28515625" customWidth="1"/>
  </cols>
  <sheetData>
    <row r="2" spans="2:6">
      <c r="B2" s="97" t="s">
        <v>821</v>
      </c>
      <c r="C2" s="97" t="s">
        <v>337</v>
      </c>
      <c r="D2" s="97" t="s">
        <v>820</v>
      </c>
      <c r="E2" s="151" t="s">
        <v>823</v>
      </c>
      <c r="F2" s="151" t="s">
        <v>822</v>
      </c>
    </row>
    <row r="3" spans="2:6">
      <c r="B3" t="s">
        <v>819</v>
      </c>
      <c r="C3" s="102">
        <v>72021.350000000006</v>
      </c>
      <c r="D3" s="177">
        <v>2.5000000000000001E-2</v>
      </c>
      <c r="E3" s="179">
        <f>C3/$C$8</f>
        <v>0.16999999197460236</v>
      </c>
      <c r="F3" s="177">
        <f>D3*E3</f>
        <v>4.2499997993650594E-3</v>
      </c>
    </row>
    <row r="4" spans="2:6">
      <c r="B4" t="s">
        <v>818</v>
      </c>
      <c r="C4" s="102">
        <v>25419.31</v>
      </c>
      <c r="D4" s="177">
        <v>7.4099999999999999E-2</v>
      </c>
      <c r="E4" s="179">
        <f>C4/$C$8</f>
        <v>6.0000020771617438E-2</v>
      </c>
      <c r="F4" s="177">
        <f>D4*E4</f>
        <v>4.4460015391768522E-3</v>
      </c>
    </row>
    <row r="5" spans="2:6">
      <c r="B5" t="s">
        <v>817</v>
      </c>
      <c r="C5" s="102">
        <v>97440.65</v>
      </c>
      <c r="D5" s="177">
        <v>4.3999999999999997E-2</v>
      </c>
      <c r="E5" s="179">
        <f>C5/$C$8</f>
        <v>0.22999998914210903</v>
      </c>
      <c r="F5" s="177">
        <f>D5*E5</f>
        <v>1.0119999522252798E-2</v>
      </c>
    </row>
    <row r="6" spans="2:6">
      <c r="B6" t="s">
        <v>816</v>
      </c>
      <c r="C6" s="102">
        <v>88967.56</v>
      </c>
      <c r="D6" s="177">
        <v>5.0999999999999997E-2</v>
      </c>
      <c r="E6" s="179">
        <f>C6/$C$8</f>
        <v>0.21000001369038421</v>
      </c>
      <c r="F6" s="177">
        <f>D6*E6</f>
        <v>1.0710000698209593E-2</v>
      </c>
    </row>
    <row r="7" spans="2:6">
      <c r="B7" t="s">
        <v>815</v>
      </c>
      <c r="C7" s="102">
        <v>139806.15</v>
      </c>
      <c r="D7" s="177">
        <v>0.1012</v>
      </c>
      <c r="E7" s="179">
        <f>C7/$C$8</f>
        <v>0.32999998442128692</v>
      </c>
      <c r="F7" s="177">
        <f>D7*E7</f>
        <v>3.3395998423434235E-2</v>
      </c>
    </row>
    <row r="8" spans="2:6" ht="15.75" thickBot="1">
      <c r="B8" s="137" t="s">
        <v>814</v>
      </c>
      <c r="C8" s="175">
        <f>SUM(C3:C7)</f>
        <v>423655.02</v>
      </c>
      <c r="D8" s="174"/>
      <c r="E8" s="178"/>
      <c r="F8" s="174">
        <f>SUM(F3:F7)</f>
        <v>6.292199998243854E-2</v>
      </c>
    </row>
    <row r="9" spans="2:6" ht="15.75" thickTop="1"/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E62"/>
  <sheetViews>
    <sheetView workbookViewId="0">
      <selection activeCell="D8" sqref="D8"/>
    </sheetView>
  </sheetViews>
  <sheetFormatPr defaultRowHeight="15"/>
  <cols>
    <col min="2" max="2" width="10.7109375" bestFit="1" customWidth="1"/>
    <col min="3" max="3" width="32.5703125" bestFit="1" customWidth="1"/>
    <col min="4" max="4" width="5.85546875" bestFit="1" customWidth="1"/>
    <col min="5" max="5" width="11.28515625" bestFit="1" customWidth="1"/>
  </cols>
  <sheetData>
    <row r="2" spans="2:5">
      <c r="B2" t="s">
        <v>236</v>
      </c>
      <c r="C2" t="s">
        <v>834</v>
      </c>
      <c r="D2" t="s">
        <v>833</v>
      </c>
      <c r="E2" t="s">
        <v>832</v>
      </c>
    </row>
    <row r="3" spans="2:5">
      <c r="B3" s="70">
        <f>B4-7</f>
        <v>41407</v>
      </c>
      <c r="C3" t="s">
        <v>827</v>
      </c>
      <c r="D3" s="181">
        <v>98</v>
      </c>
      <c r="E3" s="180" t="e">
        <f ca="1">IF(ROW()&lt;12,NA(),AVERAGE(OFFSET(D3,-9,0,10,1)))</f>
        <v>#N/A</v>
      </c>
    </row>
    <row r="4" spans="2:5">
      <c r="B4" s="70">
        <f>B5-7</f>
        <v>41414</v>
      </c>
      <c r="C4" t="s">
        <v>829</v>
      </c>
      <c r="D4" s="181">
        <v>88</v>
      </c>
      <c r="E4" s="180" t="e">
        <f ca="1">IF(ROW()&lt;12,NA(),AVERAGE(OFFSET(D4,-9,0,10,1)))</f>
        <v>#N/A</v>
      </c>
    </row>
    <row r="5" spans="2:5">
      <c r="B5" s="70">
        <f>B6-7</f>
        <v>41421</v>
      </c>
      <c r="C5" t="s">
        <v>829</v>
      </c>
      <c r="D5" s="181">
        <v>84</v>
      </c>
      <c r="E5" s="180" t="e">
        <f ca="1">IF(ROW()&lt;12,NA(),AVERAGE(OFFSET(D5,-9,0,10,1)))</f>
        <v>#N/A</v>
      </c>
    </row>
    <row r="6" spans="2:5">
      <c r="B6" s="70">
        <f>B7-7</f>
        <v>41428</v>
      </c>
      <c r="C6" t="s">
        <v>829</v>
      </c>
      <c r="D6" s="181">
        <v>94</v>
      </c>
      <c r="E6" s="180" t="e">
        <f ca="1">IF(ROW()&lt;12,NA(),AVERAGE(OFFSET(D6,-9,0,10,1)))</f>
        <v>#N/A</v>
      </c>
    </row>
    <row r="7" spans="2:5">
      <c r="B7" s="70">
        <f>B8-7</f>
        <v>41435</v>
      </c>
      <c r="C7" t="s">
        <v>827</v>
      </c>
      <c r="D7" s="181">
        <v>85</v>
      </c>
      <c r="E7" s="180" t="e">
        <f ca="1">IF(ROW()&lt;12,NA(),AVERAGE(OFFSET(D7,-9,0,10,1)))</f>
        <v>#N/A</v>
      </c>
    </row>
    <row r="8" spans="2:5">
      <c r="B8" s="70">
        <f>B9-7</f>
        <v>41442</v>
      </c>
      <c r="C8" t="s">
        <v>827</v>
      </c>
      <c r="D8" s="181">
        <v>88</v>
      </c>
      <c r="E8" s="180" t="e">
        <f ca="1">IF(ROW()&lt;12,NA(),AVERAGE(OFFSET(D8,-9,0,10,1)))</f>
        <v>#N/A</v>
      </c>
    </row>
    <row r="9" spans="2:5">
      <c r="B9" s="70">
        <f>B10-7</f>
        <v>41449</v>
      </c>
      <c r="C9" t="s">
        <v>827</v>
      </c>
      <c r="D9" s="181">
        <v>89</v>
      </c>
      <c r="E9" s="180" t="e">
        <f ca="1">IF(ROW()&lt;12,NA(),AVERAGE(OFFSET(D9,-9,0,10,1)))</f>
        <v>#N/A</v>
      </c>
    </row>
    <row r="10" spans="2:5">
      <c r="B10" s="70">
        <f>B11-7</f>
        <v>41456</v>
      </c>
      <c r="C10" t="s">
        <v>826</v>
      </c>
      <c r="D10" s="181">
        <v>84</v>
      </c>
      <c r="E10" s="180" t="e">
        <f ca="1">IF(ROW()&lt;12,NA(),AVERAGE(OFFSET(D10,-9,0,10,1)))</f>
        <v>#N/A</v>
      </c>
    </row>
    <row r="11" spans="2:5">
      <c r="B11" s="70">
        <f>B12-7</f>
        <v>41463</v>
      </c>
      <c r="C11" t="s">
        <v>827</v>
      </c>
      <c r="D11" s="181">
        <v>84</v>
      </c>
      <c r="E11" s="180" t="e">
        <f ca="1">IF(ROW()&lt;12,NA(),AVERAGE(OFFSET(D11,-9,0,10,1)))</f>
        <v>#N/A</v>
      </c>
    </row>
    <row r="12" spans="2:5">
      <c r="B12" s="70">
        <f>B13-7</f>
        <v>41470</v>
      </c>
      <c r="C12" t="s">
        <v>827</v>
      </c>
      <c r="D12" s="181">
        <v>97</v>
      </c>
      <c r="E12" s="180">
        <f ca="1">IF(ROW()&lt;12,NA(),AVERAGE(OFFSET(D12,-9,0,10,1)))</f>
        <v>89.1</v>
      </c>
    </row>
    <row r="13" spans="2:5">
      <c r="B13" s="70">
        <f>B14-7</f>
        <v>41477</v>
      </c>
      <c r="C13" t="s">
        <v>827</v>
      </c>
      <c r="D13" s="181">
        <v>97</v>
      </c>
      <c r="E13" s="180">
        <f ca="1">IF(ROW()&lt;12,NA(),AVERAGE(OFFSET(D13,-9,0,10,1)))</f>
        <v>89</v>
      </c>
    </row>
    <row r="14" spans="2:5">
      <c r="B14" s="70">
        <f>B15-7</f>
        <v>41484</v>
      </c>
      <c r="C14" t="s">
        <v>827</v>
      </c>
      <c r="D14" s="181">
        <v>84</v>
      </c>
      <c r="E14" s="180">
        <f ca="1">IF(ROW()&lt;12,NA(),AVERAGE(OFFSET(D14,-9,0,10,1)))</f>
        <v>88.6</v>
      </c>
    </row>
    <row r="15" spans="2:5">
      <c r="B15" s="70">
        <f>B16-7</f>
        <v>41491</v>
      </c>
      <c r="C15" t="s">
        <v>826</v>
      </c>
      <c r="D15" s="181">
        <v>86</v>
      </c>
      <c r="E15" s="180">
        <f ca="1">IF(ROW()&lt;12,NA(),AVERAGE(OFFSET(D15,-9,0,10,1)))</f>
        <v>88.8</v>
      </c>
    </row>
    <row r="16" spans="2:5">
      <c r="B16" s="70">
        <f>B17-7</f>
        <v>41498</v>
      </c>
      <c r="C16" t="s">
        <v>827</v>
      </c>
      <c r="D16" s="181">
        <v>89</v>
      </c>
      <c r="E16" s="180">
        <f ca="1">IF(ROW()&lt;12,NA(),AVERAGE(OFFSET(D16,-9,0,10,1)))</f>
        <v>88.3</v>
      </c>
    </row>
    <row r="17" spans="2:5">
      <c r="B17" s="70">
        <f>B18-7</f>
        <v>41505</v>
      </c>
      <c r="C17" t="s">
        <v>827</v>
      </c>
      <c r="D17" s="181">
        <v>89</v>
      </c>
      <c r="E17" s="180">
        <f ca="1">IF(ROW()&lt;12,NA(),AVERAGE(OFFSET(D17,-9,0,10,1)))</f>
        <v>88.7</v>
      </c>
    </row>
    <row r="18" spans="2:5">
      <c r="B18" s="70">
        <f>B19-7</f>
        <v>41512</v>
      </c>
      <c r="C18" t="s">
        <v>827</v>
      </c>
      <c r="D18" s="181">
        <v>93</v>
      </c>
      <c r="E18" s="180">
        <f ca="1">IF(ROW()&lt;12,NA(),AVERAGE(OFFSET(D18,-9,0,10,1)))</f>
        <v>89.2</v>
      </c>
    </row>
    <row r="19" spans="2:5">
      <c r="B19" s="70">
        <f>B20-7</f>
        <v>41519</v>
      </c>
      <c r="C19" t="s">
        <v>827</v>
      </c>
      <c r="D19" s="181">
        <v>90</v>
      </c>
      <c r="E19" s="180">
        <f ca="1">IF(ROW()&lt;12,NA(),AVERAGE(OFFSET(D19,-9,0,10,1)))</f>
        <v>89.3</v>
      </c>
    </row>
    <row r="20" spans="2:5">
      <c r="B20" s="70">
        <f>B21-7</f>
        <v>41526</v>
      </c>
      <c r="C20" t="s">
        <v>827</v>
      </c>
      <c r="D20" s="181">
        <v>90</v>
      </c>
      <c r="E20" s="180">
        <f ca="1">IF(ROW()&lt;12,NA(),AVERAGE(OFFSET(D20,-9,0,10,1)))</f>
        <v>89.9</v>
      </c>
    </row>
    <row r="21" spans="2:5">
      <c r="B21" s="70">
        <f>B22-7</f>
        <v>41533</v>
      </c>
      <c r="C21" t="s">
        <v>827</v>
      </c>
      <c r="D21" s="181">
        <v>85</v>
      </c>
      <c r="E21" s="180">
        <f ca="1">IF(ROW()&lt;12,NA(),AVERAGE(OFFSET(D21,-9,0,10,1)))</f>
        <v>90</v>
      </c>
    </row>
    <row r="22" spans="2:5">
      <c r="B22" s="70">
        <f>B23-7</f>
        <v>41540</v>
      </c>
      <c r="C22" t="s">
        <v>824</v>
      </c>
      <c r="D22" s="181">
        <v>90</v>
      </c>
      <c r="E22" s="180">
        <f ca="1">IF(ROW()&lt;12,NA(),AVERAGE(OFFSET(D22,-9,0,10,1)))</f>
        <v>89.3</v>
      </c>
    </row>
    <row r="23" spans="2:5">
      <c r="B23" s="70">
        <f>B24-7</f>
        <v>41547</v>
      </c>
      <c r="C23" t="s">
        <v>826</v>
      </c>
      <c r="D23" s="181">
        <v>94</v>
      </c>
      <c r="E23" s="180">
        <f ca="1">IF(ROW()&lt;12,NA(),AVERAGE(OFFSET(D23,-9,0,10,1)))</f>
        <v>89</v>
      </c>
    </row>
    <row r="24" spans="2:5">
      <c r="B24" s="70">
        <f>B25-7</f>
        <v>41554</v>
      </c>
      <c r="C24" t="s">
        <v>824</v>
      </c>
      <c r="D24" s="181">
        <v>93</v>
      </c>
      <c r="E24" s="180">
        <f ca="1">IF(ROW()&lt;12,NA(),AVERAGE(OFFSET(D24,-9,0,10,1)))</f>
        <v>89.9</v>
      </c>
    </row>
    <row r="25" spans="2:5">
      <c r="B25" s="70">
        <f>B26-7</f>
        <v>41561</v>
      </c>
      <c r="C25" t="s">
        <v>831</v>
      </c>
      <c r="D25" s="181">
        <v>90</v>
      </c>
      <c r="E25" s="180">
        <f ca="1">IF(ROW()&lt;12,NA(),AVERAGE(OFFSET(D25,-9,0,10,1)))</f>
        <v>90.3</v>
      </c>
    </row>
    <row r="26" spans="2:5">
      <c r="B26" s="70">
        <f>B27-7</f>
        <v>41568</v>
      </c>
      <c r="C26" t="s">
        <v>824</v>
      </c>
      <c r="D26" s="181">
        <v>100</v>
      </c>
      <c r="E26" s="180">
        <f ca="1">IF(ROW()&lt;12,NA(),AVERAGE(OFFSET(D26,-9,0,10,1)))</f>
        <v>91.4</v>
      </c>
    </row>
    <row r="27" spans="2:5">
      <c r="B27" s="70">
        <f>B28-7</f>
        <v>41575</v>
      </c>
      <c r="C27" t="s">
        <v>824</v>
      </c>
      <c r="D27" s="181">
        <v>96</v>
      </c>
      <c r="E27" s="180">
        <f ca="1">IF(ROW()&lt;12,NA(),AVERAGE(OFFSET(D27,-9,0,10,1)))</f>
        <v>92.1</v>
      </c>
    </row>
    <row r="28" spans="2:5">
      <c r="B28" s="70">
        <f>B29-7</f>
        <v>41582</v>
      </c>
      <c r="C28" t="s">
        <v>826</v>
      </c>
      <c r="D28" s="181">
        <v>92</v>
      </c>
      <c r="E28" s="180">
        <f ca="1">IF(ROW()&lt;12,NA(),AVERAGE(OFFSET(D28,-9,0,10,1)))</f>
        <v>92</v>
      </c>
    </row>
    <row r="29" spans="2:5">
      <c r="B29" s="70">
        <f>B30-7</f>
        <v>41589</v>
      </c>
      <c r="C29" t="s">
        <v>824</v>
      </c>
      <c r="D29" s="181">
        <v>79</v>
      </c>
      <c r="E29" s="180">
        <f ca="1">IF(ROW()&lt;12,NA(),AVERAGE(OFFSET(D29,-9,0,10,1)))</f>
        <v>90.9</v>
      </c>
    </row>
    <row r="30" spans="2:5">
      <c r="B30" s="70">
        <f>B31-7</f>
        <v>41596</v>
      </c>
      <c r="C30" t="s">
        <v>824</v>
      </c>
      <c r="D30" s="181">
        <v>78</v>
      </c>
      <c r="E30" s="180">
        <f ca="1">IF(ROW()&lt;12,NA(),AVERAGE(OFFSET(D30,-9,0,10,1)))</f>
        <v>89.7</v>
      </c>
    </row>
    <row r="31" spans="2:5">
      <c r="B31" s="70">
        <f>B32-7</f>
        <v>41603</v>
      </c>
      <c r="C31" t="s">
        <v>824</v>
      </c>
      <c r="D31" s="181">
        <v>85</v>
      </c>
      <c r="E31" s="180">
        <f ca="1">IF(ROW()&lt;12,NA(),AVERAGE(OFFSET(D31,-9,0,10,1)))</f>
        <v>89.7</v>
      </c>
    </row>
    <row r="32" spans="2:5">
      <c r="B32" s="70">
        <f>B33-7</f>
        <v>41610</v>
      </c>
      <c r="C32" t="s">
        <v>830</v>
      </c>
      <c r="D32" s="181">
        <v>82</v>
      </c>
      <c r="E32" s="180">
        <f ca="1">IF(ROW()&lt;12,NA(),AVERAGE(OFFSET(D32,-9,0,10,1)))</f>
        <v>88.9</v>
      </c>
    </row>
    <row r="33" spans="2:5">
      <c r="B33" s="70">
        <f>B34-7</f>
        <v>41617</v>
      </c>
      <c r="C33" t="s">
        <v>826</v>
      </c>
      <c r="D33" s="181">
        <v>83</v>
      </c>
      <c r="E33" s="180">
        <f ca="1">IF(ROW()&lt;12,NA(),AVERAGE(OFFSET(D33,-9,0,10,1)))</f>
        <v>87.8</v>
      </c>
    </row>
    <row r="34" spans="2:5">
      <c r="B34" s="70">
        <f>B35-7</f>
        <v>41624</v>
      </c>
      <c r="C34" t="s">
        <v>829</v>
      </c>
      <c r="D34" s="181">
        <v>83</v>
      </c>
      <c r="E34" s="180">
        <f ca="1">IF(ROW()&lt;12,NA(),AVERAGE(OFFSET(D34,-9,0,10,1)))</f>
        <v>86.8</v>
      </c>
    </row>
    <row r="35" spans="2:5">
      <c r="B35" s="70">
        <f>B36-7</f>
        <v>41631</v>
      </c>
      <c r="C35" t="s">
        <v>829</v>
      </c>
      <c r="D35" s="181">
        <v>87</v>
      </c>
      <c r="E35" s="180">
        <f ca="1">IF(ROW()&lt;12,NA(),AVERAGE(OFFSET(D35,-9,0,10,1)))</f>
        <v>86.5</v>
      </c>
    </row>
    <row r="36" spans="2:5">
      <c r="B36" s="70">
        <f>B37-7</f>
        <v>41638</v>
      </c>
      <c r="C36" t="s">
        <v>824</v>
      </c>
      <c r="D36" s="181">
        <v>90</v>
      </c>
      <c r="E36" s="180">
        <f ca="1">IF(ROW()&lt;12,NA(),AVERAGE(OFFSET(D36,-9,0,10,1)))</f>
        <v>85.5</v>
      </c>
    </row>
    <row r="37" spans="2:5">
      <c r="B37" s="70">
        <f>B38-7</f>
        <v>41645</v>
      </c>
      <c r="C37" t="s">
        <v>826</v>
      </c>
      <c r="D37" s="181">
        <v>88</v>
      </c>
      <c r="E37" s="180">
        <f ca="1">IF(ROW()&lt;12,NA(),AVERAGE(OFFSET(D37,-9,0,10,1)))</f>
        <v>84.7</v>
      </c>
    </row>
    <row r="38" spans="2:5">
      <c r="B38" s="70">
        <f>B39-7</f>
        <v>41652</v>
      </c>
      <c r="C38" t="s">
        <v>824</v>
      </c>
      <c r="D38" s="181">
        <v>96</v>
      </c>
      <c r="E38" s="180">
        <f ca="1">IF(ROW()&lt;12,NA(),AVERAGE(OFFSET(D38,-9,0,10,1)))</f>
        <v>85.1</v>
      </c>
    </row>
    <row r="39" spans="2:5">
      <c r="B39" s="70">
        <f>B40-7</f>
        <v>41659</v>
      </c>
      <c r="C39" t="s">
        <v>826</v>
      </c>
      <c r="D39" s="181">
        <v>87</v>
      </c>
      <c r="E39" s="180">
        <f ca="1">IF(ROW()&lt;12,NA(),AVERAGE(OFFSET(D39,-9,0,10,1)))</f>
        <v>85.9</v>
      </c>
    </row>
    <row r="40" spans="2:5">
      <c r="B40" s="70">
        <f>B41-7</f>
        <v>41666</v>
      </c>
      <c r="C40" t="s">
        <v>824</v>
      </c>
      <c r="D40" s="181">
        <v>84</v>
      </c>
      <c r="E40" s="180">
        <f ca="1">IF(ROW()&lt;12,NA(),AVERAGE(OFFSET(D40,-9,0,10,1)))</f>
        <v>86.5</v>
      </c>
    </row>
    <row r="41" spans="2:5">
      <c r="B41" s="70">
        <f>B42-7</f>
        <v>41673</v>
      </c>
      <c r="C41" t="s">
        <v>824</v>
      </c>
      <c r="D41" s="181">
        <v>75</v>
      </c>
      <c r="E41" s="180">
        <f ca="1">IF(ROW()&lt;12,NA(),AVERAGE(OFFSET(D41,-9,0,10,1)))</f>
        <v>85.5</v>
      </c>
    </row>
    <row r="42" spans="2:5">
      <c r="B42" s="70">
        <f>B43-7</f>
        <v>41680</v>
      </c>
      <c r="C42" t="s">
        <v>826</v>
      </c>
      <c r="D42" s="181">
        <v>83</v>
      </c>
      <c r="E42" s="180">
        <f ca="1">IF(ROW()&lt;12,NA(),AVERAGE(OFFSET(D42,-9,0,10,1)))</f>
        <v>85.6</v>
      </c>
    </row>
    <row r="43" spans="2:5">
      <c r="B43" s="70">
        <f>B44-7</f>
        <v>41687</v>
      </c>
      <c r="C43" t="s">
        <v>824</v>
      </c>
      <c r="D43" s="181">
        <v>92</v>
      </c>
      <c r="E43" s="180">
        <f ca="1">IF(ROW()&lt;12,NA(),AVERAGE(OFFSET(D43,-9,0,10,1)))</f>
        <v>86.5</v>
      </c>
    </row>
    <row r="44" spans="2:5">
      <c r="B44" s="70">
        <f>B45-7</f>
        <v>41694</v>
      </c>
      <c r="C44" t="s">
        <v>827</v>
      </c>
      <c r="D44" s="181">
        <v>85</v>
      </c>
      <c r="E44" s="180">
        <f ca="1">IF(ROW()&lt;12,NA(),AVERAGE(OFFSET(D44,-9,0,10,1)))</f>
        <v>86.7</v>
      </c>
    </row>
    <row r="45" spans="2:5">
      <c r="B45" s="70">
        <f>B46-7</f>
        <v>41701</v>
      </c>
      <c r="C45" t="s">
        <v>826</v>
      </c>
      <c r="D45" s="181">
        <v>91</v>
      </c>
      <c r="E45" s="180">
        <f ca="1">IF(ROW()&lt;12,NA(),AVERAGE(OFFSET(D45,-9,0,10,1)))</f>
        <v>87.1</v>
      </c>
    </row>
    <row r="46" spans="2:5">
      <c r="B46" s="70">
        <f>B47-7</f>
        <v>41708</v>
      </c>
      <c r="C46" t="s">
        <v>826</v>
      </c>
      <c r="D46" s="181">
        <v>95</v>
      </c>
      <c r="E46" s="180">
        <f ca="1">IF(ROW()&lt;12,NA(),AVERAGE(OFFSET(D46,-9,0,10,1)))</f>
        <v>87.6</v>
      </c>
    </row>
    <row r="47" spans="2:5">
      <c r="B47" s="70">
        <f>B48-7</f>
        <v>41715</v>
      </c>
      <c r="C47" t="s">
        <v>824</v>
      </c>
      <c r="D47" s="181">
        <v>91</v>
      </c>
      <c r="E47" s="180">
        <f ca="1">IF(ROW()&lt;12,NA(),AVERAGE(OFFSET(D47,-9,0,10,1)))</f>
        <v>87.9</v>
      </c>
    </row>
    <row r="48" spans="2:5">
      <c r="B48" s="70">
        <f>B49-7</f>
        <v>41722</v>
      </c>
      <c r="C48" t="s">
        <v>824</v>
      </c>
      <c r="D48" s="181">
        <v>87</v>
      </c>
      <c r="E48" s="180">
        <f ca="1">IF(ROW()&lt;12,NA(),AVERAGE(OFFSET(D48,-9,0,10,1)))</f>
        <v>87</v>
      </c>
    </row>
    <row r="49" spans="2:5">
      <c r="B49" s="70">
        <f>B50-7</f>
        <v>41729</v>
      </c>
      <c r="C49" t="s">
        <v>824</v>
      </c>
      <c r="D49" s="181">
        <v>83</v>
      </c>
      <c r="E49" s="180">
        <f ca="1">IF(ROW()&lt;12,NA(),AVERAGE(OFFSET(D49,-9,0,10,1)))</f>
        <v>86.6</v>
      </c>
    </row>
    <row r="50" spans="2:5">
      <c r="B50" s="70">
        <f>B51-7</f>
        <v>41736</v>
      </c>
      <c r="C50" t="s">
        <v>828</v>
      </c>
      <c r="D50" s="181">
        <v>80</v>
      </c>
      <c r="E50" s="180">
        <f ca="1">IF(ROW()&lt;12,NA(),AVERAGE(OFFSET(D50,-9,0,10,1)))</f>
        <v>86.2</v>
      </c>
    </row>
    <row r="51" spans="2:5">
      <c r="B51" s="70">
        <f>B52-7</f>
        <v>41743</v>
      </c>
      <c r="C51" t="s">
        <v>827</v>
      </c>
      <c r="D51" s="181">
        <v>87</v>
      </c>
      <c r="E51" s="180">
        <f ca="1">IF(ROW()&lt;12,NA(),AVERAGE(OFFSET(D51,-9,0,10,1)))</f>
        <v>87.4</v>
      </c>
    </row>
    <row r="52" spans="2:5">
      <c r="B52" s="70">
        <f>B53-7</f>
        <v>41750</v>
      </c>
      <c r="C52" t="s">
        <v>824</v>
      </c>
      <c r="D52" s="181">
        <v>85</v>
      </c>
      <c r="E52" s="180">
        <f ca="1">IF(ROW()&lt;12,NA(),AVERAGE(OFFSET(D52,-9,0,10,1)))</f>
        <v>87.6</v>
      </c>
    </row>
    <row r="53" spans="2:5">
      <c r="B53" s="70">
        <f>B54-7</f>
        <v>41757</v>
      </c>
      <c r="C53" t="s">
        <v>826</v>
      </c>
      <c r="D53" s="181">
        <v>80</v>
      </c>
      <c r="E53" s="180">
        <f ca="1">IF(ROW()&lt;12,NA(),AVERAGE(OFFSET(D53,-9,0,10,1)))</f>
        <v>86.4</v>
      </c>
    </row>
    <row r="54" spans="2:5">
      <c r="B54" s="70">
        <f>B55-7</f>
        <v>41764</v>
      </c>
      <c r="C54" t="s">
        <v>826</v>
      </c>
      <c r="D54" s="181">
        <v>78</v>
      </c>
      <c r="E54" s="180">
        <f ca="1">IF(ROW()&lt;12,NA(),AVERAGE(OFFSET(D54,-9,0,10,1)))</f>
        <v>85.7</v>
      </c>
    </row>
    <row r="55" spans="2:5">
      <c r="B55" s="70">
        <f>B56-7</f>
        <v>41771</v>
      </c>
      <c r="C55" t="s">
        <v>824</v>
      </c>
      <c r="D55" s="181">
        <v>78</v>
      </c>
      <c r="E55" s="180">
        <f ca="1">IF(ROW()&lt;12,NA(),AVERAGE(OFFSET(D55,-9,0,10,1)))</f>
        <v>84.4</v>
      </c>
    </row>
    <row r="56" spans="2:5">
      <c r="B56" s="70">
        <f>B57-7</f>
        <v>41778</v>
      </c>
      <c r="C56" t="s">
        <v>824</v>
      </c>
      <c r="D56" s="181">
        <v>83</v>
      </c>
      <c r="E56" s="180">
        <f ca="1">IF(ROW()&lt;12,NA(),AVERAGE(OFFSET(D56,-9,0,10,1)))</f>
        <v>83.2</v>
      </c>
    </row>
    <row r="57" spans="2:5">
      <c r="B57" s="70">
        <f>B58-7</f>
        <v>41785</v>
      </c>
      <c r="C57" t="s">
        <v>824</v>
      </c>
      <c r="D57" s="181">
        <v>84</v>
      </c>
      <c r="E57" s="180">
        <f ca="1">IF(ROW()&lt;12,NA(),AVERAGE(OFFSET(D57,-9,0,10,1)))</f>
        <v>82.5</v>
      </c>
    </row>
    <row r="58" spans="2:5">
      <c r="B58" s="70">
        <f>B59-7</f>
        <v>41792</v>
      </c>
      <c r="C58" t="s">
        <v>824</v>
      </c>
      <c r="D58" s="181">
        <v>84</v>
      </c>
      <c r="E58" s="180">
        <f ca="1">IF(ROW()&lt;12,NA(),AVERAGE(OFFSET(D58,-9,0,10,1)))</f>
        <v>82.2</v>
      </c>
    </row>
    <row r="59" spans="2:5">
      <c r="B59" s="70">
        <f>B60-7</f>
        <v>41799</v>
      </c>
      <c r="C59" t="s">
        <v>826</v>
      </c>
      <c r="D59" s="181">
        <v>81</v>
      </c>
      <c r="E59" s="180">
        <f ca="1">IF(ROW()&lt;12,NA(),AVERAGE(OFFSET(D59,-9,0,10,1)))</f>
        <v>82</v>
      </c>
    </row>
    <row r="60" spans="2:5">
      <c r="B60" s="70">
        <f>B61-7</f>
        <v>41806</v>
      </c>
      <c r="C60" t="s">
        <v>824</v>
      </c>
      <c r="D60" s="181">
        <v>87</v>
      </c>
      <c r="E60" s="180">
        <f ca="1">IF(ROW()&lt;12,NA(),AVERAGE(OFFSET(D60,-9,0,10,1)))</f>
        <v>82.7</v>
      </c>
    </row>
    <row r="61" spans="2:5">
      <c r="B61" s="70">
        <f>B62-7</f>
        <v>41813</v>
      </c>
      <c r="C61" t="s">
        <v>825</v>
      </c>
      <c r="D61" s="181">
        <v>94</v>
      </c>
      <c r="E61" s="180">
        <f ca="1">IF(ROW()&lt;12,NA(),AVERAGE(OFFSET(D61,-9,0,10,1)))</f>
        <v>83.4</v>
      </c>
    </row>
    <row r="62" spans="2:5">
      <c r="B62" s="70">
        <v>41820</v>
      </c>
      <c r="C62" t="s">
        <v>824</v>
      </c>
      <c r="D62" s="181">
        <v>80</v>
      </c>
      <c r="E62" s="180">
        <f ca="1">IF(ROW()&lt;12,NA(),AVERAGE(OFFSET(D62,-9,0,10,1)))</f>
        <v>82.9</v>
      </c>
    </row>
  </sheetData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E62"/>
  <sheetViews>
    <sheetView workbookViewId="0">
      <selection activeCell="D8" sqref="D8"/>
    </sheetView>
  </sheetViews>
  <sheetFormatPr defaultRowHeight="15"/>
  <cols>
    <col min="2" max="2" width="10.7109375" bestFit="1" customWidth="1"/>
    <col min="3" max="3" width="32.5703125" bestFit="1" customWidth="1"/>
    <col min="4" max="4" width="5.85546875" bestFit="1" customWidth="1"/>
  </cols>
  <sheetData>
    <row r="2" spans="2:5">
      <c r="B2" t="s">
        <v>236</v>
      </c>
      <c r="C2" t="s">
        <v>834</v>
      </c>
      <c r="D2" t="s">
        <v>833</v>
      </c>
      <c r="E2" t="s">
        <v>832</v>
      </c>
    </row>
    <row r="3" spans="2:5">
      <c r="B3" s="70">
        <f>B4-7</f>
        <v>41407</v>
      </c>
      <c r="C3" t="s">
        <v>827</v>
      </c>
      <c r="D3" s="181">
        <v>98</v>
      </c>
      <c r="E3" s="180" t="e">
        <f ca="1">IF(ROW()&lt;12,NA(),AVERAGE(OFFSET(D3,-9,0,10,1)))</f>
        <v>#N/A</v>
      </c>
    </row>
    <row r="4" spans="2:5">
      <c r="B4" s="70">
        <f>B5-7</f>
        <v>41414</v>
      </c>
      <c r="C4" t="s">
        <v>829</v>
      </c>
      <c r="D4" s="181">
        <v>88</v>
      </c>
      <c r="E4" s="180" t="e">
        <f ca="1">IF(ROW()&lt;12,NA(),AVERAGE(OFFSET(D4,-9,0,10,1)))</f>
        <v>#N/A</v>
      </c>
    </row>
    <row r="5" spans="2:5">
      <c r="B5" s="70">
        <f>B6-7</f>
        <v>41421</v>
      </c>
      <c r="C5" t="s">
        <v>829</v>
      </c>
      <c r="D5" s="181">
        <v>84</v>
      </c>
      <c r="E5" s="180" t="e">
        <f ca="1">IF(ROW()&lt;12,NA(),AVERAGE(OFFSET(D5,-9,0,10,1)))</f>
        <v>#N/A</v>
      </c>
    </row>
    <row r="6" spans="2:5">
      <c r="B6" s="70">
        <f>B7-7</f>
        <v>41428</v>
      </c>
      <c r="C6" t="s">
        <v>829</v>
      </c>
      <c r="D6" s="181">
        <v>94</v>
      </c>
      <c r="E6" s="180" t="e">
        <f ca="1">IF(ROW()&lt;12,NA(),AVERAGE(OFFSET(D6,-9,0,10,1)))</f>
        <v>#N/A</v>
      </c>
    </row>
    <row r="7" spans="2:5">
      <c r="B7" s="70">
        <f>B8-7</f>
        <v>41435</v>
      </c>
      <c r="C7" t="s">
        <v>827</v>
      </c>
      <c r="D7" s="181">
        <v>85</v>
      </c>
      <c r="E7" s="180" t="e">
        <f ca="1">IF(ROW()&lt;12,NA(),AVERAGE(OFFSET(D7,-9,0,10,1)))</f>
        <v>#N/A</v>
      </c>
    </row>
    <row r="8" spans="2:5">
      <c r="B8" s="70">
        <f>B9-7</f>
        <v>41442</v>
      </c>
      <c r="C8" t="s">
        <v>827</v>
      </c>
      <c r="D8" s="181">
        <v>88</v>
      </c>
      <c r="E8" s="180" t="e">
        <f ca="1">IF(ROW()&lt;12,NA(),AVERAGE(OFFSET(D8,-9,0,10,1)))</f>
        <v>#N/A</v>
      </c>
    </row>
    <row r="9" spans="2:5">
      <c r="B9" s="70">
        <f>B10-7</f>
        <v>41449</v>
      </c>
      <c r="C9" t="s">
        <v>827</v>
      </c>
      <c r="D9" s="181">
        <v>89</v>
      </c>
      <c r="E9" s="180" t="e">
        <f ca="1">IF(ROW()&lt;12,NA(),AVERAGE(OFFSET(D9,-9,0,10,1)))</f>
        <v>#N/A</v>
      </c>
    </row>
    <row r="10" spans="2:5">
      <c r="B10" s="70">
        <f>B11-7</f>
        <v>41456</v>
      </c>
      <c r="C10" t="s">
        <v>826</v>
      </c>
      <c r="D10" s="181">
        <v>84</v>
      </c>
      <c r="E10" s="180" t="e">
        <f ca="1">IF(ROW()&lt;12,NA(),AVERAGE(OFFSET(D10,-9,0,10,1)))</f>
        <v>#N/A</v>
      </c>
    </row>
    <row r="11" spans="2:5">
      <c r="B11" s="70">
        <f>B12-7</f>
        <v>41463</v>
      </c>
      <c r="C11" t="s">
        <v>827</v>
      </c>
      <c r="D11" s="181">
        <v>84</v>
      </c>
      <c r="E11" s="180" t="e">
        <f ca="1">IF(ROW()&lt;12,NA(),AVERAGE(OFFSET(D11,-9,0,10,1)))</f>
        <v>#N/A</v>
      </c>
    </row>
    <row r="12" spans="2:5">
      <c r="B12" s="70">
        <f>B13-7</f>
        <v>41470</v>
      </c>
      <c r="C12" t="s">
        <v>827</v>
      </c>
      <c r="D12" s="181">
        <v>97</v>
      </c>
      <c r="E12" s="180">
        <f ca="1">IF(ROW()&lt;12,NA(),AVERAGE(OFFSET(D12,-9,0,10,1)))</f>
        <v>89.1</v>
      </c>
    </row>
    <row r="13" spans="2:5">
      <c r="B13" s="70">
        <f>B14-7</f>
        <v>41477</v>
      </c>
      <c r="C13" t="s">
        <v>827</v>
      </c>
      <c r="D13" s="181">
        <v>97</v>
      </c>
      <c r="E13" s="180">
        <f ca="1">IF(ROW()&lt;12,NA(),AVERAGE(OFFSET(D13,-9,0,10,1)))</f>
        <v>89</v>
      </c>
    </row>
    <row r="14" spans="2:5">
      <c r="B14" s="70">
        <f>B15-7</f>
        <v>41484</v>
      </c>
      <c r="C14" t="s">
        <v>827</v>
      </c>
      <c r="D14" s="181">
        <v>84</v>
      </c>
      <c r="E14" s="180">
        <f ca="1">IF(ROW()&lt;12,NA(),AVERAGE(OFFSET(D14,-9,0,10,1)))</f>
        <v>88.6</v>
      </c>
    </row>
    <row r="15" spans="2:5">
      <c r="B15" s="70">
        <f>B16-7</f>
        <v>41491</v>
      </c>
      <c r="C15" t="s">
        <v>826</v>
      </c>
      <c r="D15" s="181">
        <v>86</v>
      </c>
      <c r="E15" s="180">
        <f ca="1">IF(ROW()&lt;12,NA(),AVERAGE(OFFSET(D15,-9,0,10,1)))</f>
        <v>88.8</v>
      </c>
    </row>
    <row r="16" spans="2:5">
      <c r="B16" s="70">
        <f>B17-7</f>
        <v>41498</v>
      </c>
      <c r="C16" t="s">
        <v>827</v>
      </c>
      <c r="D16" s="181">
        <v>89</v>
      </c>
      <c r="E16" s="180">
        <f ca="1">IF(ROW()&lt;12,NA(),AVERAGE(OFFSET(D16,-9,0,10,1)))</f>
        <v>88.3</v>
      </c>
    </row>
    <row r="17" spans="2:5">
      <c r="B17" s="70">
        <f>B18-7</f>
        <v>41505</v>
      </c>
      <c r="C17" t="s">
        <v>827</v>
      </c>
      <c r="D17" s="181">
        <v>89</v>
      </c>
      <c r="E17" s="180">
        <f ca="1">IF(ROW()&lt;12,NA(),AVERAGE(OFFSET(D17,-9,0,10,1)))</f>
        <v>88.7</v>
      </c>
    </row>
    <row r="18" spans="2:5">
      <c r="B18" s="70">
        <f>B19-7</f>
        <v>41512</v>
      </c>
      <c r="C18" t="s">
        <v>827</v>
      </c>
      <c r="D18" s="181">
        <v>93</v>
      </c>
      <c r="E18" s="180">
        <f ca="1">IF(ROW()&lt;12,NA(),AVERAGE(OFFSET(D18,-9,0,10,1)))</f>
        <v>89.2</v>
      </c>
    </row>
    <row r="19" spans="2:5">
      <c r="B19" s="70">
        <f>B20-7</f>
        <v>41519</v>
      </c>
      <c r="C19" t="s">
        <v>827</v>
      </c>
      <c r="D19" s="181">
        <v>90</v>
      </c>
      <c r="E19" s="180">
        <f ca="1">IF(ROW()&lt;12,NA(),AVERAGE(OFFSET(D19,-9,0,10,1)))</f>
        <v>89.3</v>
      </c>
    </row>
    <row r="20" spans="2:5">
      <c r="B20" s="70">
        <f>B21-7</f>
        <v>41526</v>
      </c>
      <c r="C20" t="s">
        <v>827</v>
      </c>
      <c r="D20" s="181">
        <v>90</v>
      </c>
      <c r="E20" s="180">
        <f ca="1">IF(ROW()&lt;12,NA(),AVERAGE(OFFSET(D20,-9,0,10,1)))</f>
        <v>89.9</v>
      </c>
    </row>
    <row r="21" spans="2:5">
      <c r="B21" s="70">
        <f>B22-7</f>
        <v>41533</v>
      </c>
      <c r="C21" t="s">
        <v>827</v>
      </c>
      <c r="D21" s="181">
        <v>85</v>
      </c>
      <c r="E21" s="180">
        <f ca="1">IF(ROW()&lt;12,NA(),AVERAGE(OFFSET(D21,-9,0,10,1)))</f>
        <v>90</v>
      </c>
    </row>
    <row r="22" spans="2:5">
      <c r="B22" s="70">
        <f>B23-7</f>
        <v>41540</v>
      </c>
      <c r="C22" t="s">
        <v>824</v>
      </c>
      <c r="D22" s="181">
        <v>90</v>
      </c>
      <c r="E22" s="180">
        <f ca="1">IF(ROW()&lt;12,NA(),AVERAGE(OFFSET(D22,-9,0,10,1)))</f>
        <v>89.3</v>
      </c>
    </row>
    <row r="23" spans="2:5">
      <c r="B23" s="70">
        <f>B24-7</f>
        <v>41547</v>
      </c>
      <c r="C23" t="s">
        <v>826</v>
      </c>
      <c r="D23" s="181">
        <v>94</v>
      </c>
      <c r="E23" s="180">
        <f ca="1">IF(ROW()&lt;12,NA(),AVERAGE(OFFSET(D23,-9,0,10,1)))</f>
        <v>89</v>
      </c>
    </row>
    <row r="24" spans="2:5">
      <c r="B24" s="70">
        <f>B25-7</f>
        <v>41554</v>
      </c>
      <c r="C24" t="s">
        <v>824</v>
      </c>
      <c r="D24" s="181">
        <v>93</v>
      </c>
      <c r="E24" s="180">
        <f ca="1">IF(ROW()&lt;12,NA(),AVERAGE(OFFSET(D24,-9,0,10,1)))</f>
        <v>89.9</v>
      </c>
    </row>
    <row r="25" spans="2:5">
      <c r="B25" s="70">
        <f>B26-7</f>
        <v>41561</v>
      </c>
      <c r="C25" t="s">
        <v>831</v>
      </c>
      <c r="D25" s="181">
        <v>90</v>
      </c>
      <c r="E25" s="180">
        <f ca="1">IF(ROW()&lt;12,NA(),AVERAGE(OFFSET(D25,-9,0,10,1)))</f>
        <v>90.3</v>
      </c>
    </row>
    <row r="26" spans="2:5">
      <c r="B26" s="70">
        <f>B27-7</f>
        <v>41568</v>
      </c>
      <c r="C26" t="s">
        <v>824</v>
      </c>
      <c r="D26" s="181">
        <v>100</v>
      </c>
      <c r="E26" s="180">
        <f ca="1">IF(ROW()&lt;12,NA(),AVERAGE(OFFSET(D26,-9,0,10,1)))</f>
        <v>91.4</v>
      </c>
    </row>
    <row r="27" spans="2:5">
      <c r="B27" s="70">
        <f>B28-7</f>
        <v>41575</v>
      </c>
      <c r="C27" t="s">
        <v>824</v>
      </c>
      <c r="D27" s="181">
        <v>96</v>
      </c>
      <c r="E27" s="180">
        <f ca="1">IF(ROW()&lt;12,NA(),AVERAGE(OFFSET(D27,-9,0,10,1)))</f>
        <v>92.1</v>
      </c>
    </row>
    <row r="28" spans="2:5">
      <c r="B28" s="70">
        <f>B29-7</f>
        <v>41582</v>
      </c>
      <c r="C28" t="s">
        <v>826</v>
      </c>
      <c r="D28" s="181">
        <v>92</v>
      </c>
      <c r="E28" s="180">
        <f ca="1">IF(ROW()&lt;12,NA(),AVERAGE(OFFSET(D28,-9,0,10,1)))</f>
        <v>92</v>
      </c>
    </row>
    <row r="29" spans="2:5">
      <c r="B29" s="70">
        <f>B30-7</f>
        <v>41589</v>
      </c>
      <c r="C29" t="s">
        <v>824</v>
      </c>
      <c r="D29" s="181">
        <v>79</v>
      </c>
      <c r="E29" s="180">
        <f ca="1">IF(ROW()&lt;12,NA(),AVERAGE(OFFSET(D29,-9,0,10,1)))</f>
        <v>90.9</v>
      </c>
    </row>
    <row r="30" spans="2:5">
      <c r="B30" s="70">
        <f>B31-7</f>
        <v>41596</v>
      </c>
      <c r="C30" t="s">
        <v>824</v>
      </c>
      <c r="D30" s="181">
        <v>78</v>
      </c>
      <c r="E30" s="180">
        <f ca="1">IF(ROW()&lt;12,NA(),AVERAGE(OFFSET(D30,-9,0,10,1)))</f>
        <v>89.7</v>
      </c>
    </row>
    <row r="31" spans="2:5">
      <c r="B31" s="70">
        <f>B32-7</f>
        <v>41603</v>
      </c>
      <c r="C31" t="s">
        <v>824</v>
      </c>
      <c r="D31" s="181">
        <v>85</v>
      </c>
      <c r="E31" s="180">
        <f ca="1">IF(ROW()&lt;12,NA(),AVERAGE(OFFSET(D31,-9,0,10,1)))</f>
        <v>89.7</v>
      </c>
    </row>
    <row r="32" spans="2:5">
      <c r="B32" s="70">
        <f>B33-7</f>
        <v>41610</v>
      </c>
      <c r="C32" t="s">
        <v>830</v>
      </c>
      <c r="D32" s="181">
        <v>82</v>
      </c>
      <c r="E32" s="180">
        <f ca="1">IF(ROW()&lt;12,NA(),AVERAGE(OFFSET(D32,-9,0,10,1)))</f>
        <v>88.9</v>
      </c>
    </row>
    <row r="33" spans="2:5">
      <c r="B33" s="70">
        <f>B34-7</f>
        <v>41617</v>
      </c>
      <c r="C33" t="s">
        <v>826</v>
      </c>
      <c r="D33" s="181">
        <v>83</v>
      </c>
      <c r="E33" s="180">
        <f ca="1">IF(ROW()&lt;12,NA(),AVERAGE(OFFSET(D33,-9,0,10,1)))</f>
        <v>87.8</v>
      </c>
    </row>
    <row r="34" spans="2:5">
      <c r="B34" s="70">
        <f>B35-7</f>
        <v>41624</v>
      </c>
      <c r="C34" t="s">
        <v>829</v>
      </c>
      <c r="D34" s="181">
        <v>83</v>
      </c>
      <c r="E34" s="180">
        <f ca="1">IF(ROW()&lt;12,NA(),AVERAGE(OFFSET(D34,-9,0,10,1)))</f>
        <v>86.8</v>
      </c>
    </row>
    <row r="35" spans="2:5">
      <c r="B35" s="70">
        <f>B36-7</f>
        <v>41631</v>
      </c>
      <c r="C35" t="s">
        <v>829</v>
      </c>
      <c r="D35" s="181">
        <v>87</v>
      </c>
      <c r="E35" s="180">
        <f ca="1">IF(ROW()&lt;12,NA(),AVERAGE(OFFSET(D35,-9,0,10,1)))</f>
        <v>86.5</v>
      </c>
    </row>
    <row r="36" spans="2:5">
      <c r="B36" s="70">
        <f>B37-7</f>
        <v>41638</v>
      </c>
      <c r="C36" t="s">
        <v>824</v>
      </c>
      <c r="D36" s="181">
        <v>90</v>
      </c>
      <c r="E36" s="180">
        <f ca="1">IF(ROW()&lt;12,NA(),AVERAGE(OFFSET(D36,-9,0,10,1)))</f>
        <v>85.5</v>
      </c>
    </row>
    <row r="37" spans="2:5">
      <c r="B37" s="70">
        <f>B38-7</f>
        <v>41645</v>
      </c>
      <c r="C37" t="s">
        <v>826</v>
      </c>
      <c r="D37" s="181">
        <v>88</v>
      </c>
      <c r="E37" s="180">
        <f ca="1">IF(ROW()&lt;12,NA(),AVERAGE(OFFSET(D37,-9,0,10,1)))</f>
        <v>84.7</v>
      </c>
    </row>
    <row r="38" spans="2:5">
      <c r="B38" s="70">
        <f>B39-7</f>
        <v>41652</v>
      </c>
      <c r="C38" t="s">
        <v>824</v>
      </c>
      <c r="D38" s="181">
        <v>96</v>
      </c>
      <c r="E38" s="180">
        <f ca="1">IF(ROW()&lt;12,NA(),AVERAGE(OFFSET(D38,-9,0,10,1)))</f>
        <v>85.1</v>
      </c>
    </row>
    <row r="39" spans="2:5">
      <c r="B39" s="70">
        <f>B40-7</f>
        <v>41659</v>
      </c>
      <c r="C39" t="s">
        <v>826</v>
      </c>
      <c r="D39" s="181">
        <v>87</v>
      </c>
      <c r="E39" s="180">
        <f ca="1">IF(ROW()&lt;12,NA(),AVERAGE(OFFSET(D39,-9,0,10,1)))</f>
        <v>85.9</v>
      </c>
    </row>
    <row r="40" spans="2:5">
      <c r="B40" s="70">
        <f>B41-7</f>
        <v>41666</v>
      </c>
      <c r="C40" t="s">
        <v>824</v>
      </c>
      <c r="D40" s="181">
        <v>84</v>
      </c>
      <c r="E40" s="180">
        <f ca="1">IF(ROW()&lt;12,NA(),AVERAGE(OFFSET(D40,-9,0,10,1)))</f>
        <v>86.5</v>
      </c>
    </row>
    <row r="41" spans="2:5">
      <c r="B41" s="70">
        <f>B42-7</f>
        <v>41673</v>
      </c>
      <c r="C41" t="s">
        <v>824</v>
      </c>
      <c r="D41" s="181">
        <v>75</v>
      </c>
      <c r="E41" s="180">
        <f ca="1">IF(ROW()&lt;12,NA(),AVERAGE(OFFSET(D41,-9,0,10,1)))</f>
        <v>85.5</v>
      </c>
    </row>
    <row r="42" spans="2:5">
      <c r="B42" s="70">
        <f>B43-7</f>
        <v>41680</v>
      </c>
      <c r="C42" t="s">
        <v>826</v>
      </c>
      <c r="D42" s="181">
        <v>83</v>
      </c>
      <c r="E42" s="180">
        <f ca="1">IF(ROW()&lt;12,NA(),AVERAGE(OFFSET(D42,-9,0,10,1)))</f>
        <v>85.6</v>
      </c>
    </row>
    <row r="43" spans="2:5">
      <c r="B43" s="70">
        <f>B44-7</f>
        <v>41687</v>
      </c>
      <c r="C43" t="s">
        <v>824</v>
      </c>
      <c r="D43" s="181">
        <v>92</v>
      </c>
      <c r="E43" s="180">
        <f ca="1">IF(ROW()&lt;12,NA(),AVERAGE(OFFSET(D43,-9,0,10,1)))</f>
        <v>86.5</v>
      </c>
    </row>
    <row r="44" spans="2:5">
      <c r="B44" s="70">
        <f>B45-7</f>
        <v>41694</v>
      </c>
      <c r="C44" t="s">
        <v>827</v>
      </c>
      <c r="D44" s="181">
        <v>85</v>
      </c>
      <c r="E44" s="180">
        <f ca="1">IF(ROW()&lt;12,NA(),AVERAGE(OFFSET(D44,-9,0,10,1)))</f>
        <v>86.7</v>
      </c>
    </row>
    <row r="45" spans="2:5">
      <c r="B45" s="70">
        <f>B46-7</f>
        <v>41701</v>
      </c>
      <c r="C45" t="s">
        <v>826</v>
      </c>
      <c r="D45" s="181">
        <v>91</v>
      </c>
      <c r="E45" s="180">
        <f ca="1">IF(ROW()&lt;12,NA(),AVERAGE(OFFSET(D45,-9,0,10,1)))</f>
        <v>87.1</v>
      </c>
    </row>
    <row r="46" spans="2:5">
      <c r="B46" s="70">
        <f>B47-7</f>
        <v>41708</v>
      </c>
      <c r="C46" t="s">
        <v>826</v>
      </c>
      <c r="D46" s="181">
        <v>95</v>
      </c>
      <c r="E46" s="180">
        <f ca="1">IF(ROW()&lt;12,NA(),AVERAGE(OFFSET(D46,-9,0,10,1)))</f>
        <v>87.6</v>
      </c>
    </row>
    <row r="47" spans="2:5">
      <c r="B47" s="70">
        <f>B48-7</f>
        <v>41715</v>
      </c>
      <c r="C47" t="s">
        <v>824</v>
      </c>
      <c r="D47" s="181">
        <v>91</v>
      </c>
      <c r="E47" s="180">
        <f ca="1">IF(ROW()&lt;12,NA(),AVERAGE(OFFSET(D47,-9,0,10,1)))</f>
        <v>87.9</v>
      </c>
    </row>
    <row r="48" spans="2:5">
      <c r="B48" s="70">
        <f>B49-7</f>
        <v>41722</v>
      </c>
      <c r="C48" t="s">
        <v>824</v>
      </c>
      <c r="D48" s="181">
        <v>87</v>
      </c>
      <c r="E48" s="180">
        <f ca="1">IF(ROW()&lt;12,NA(),AVERAGE(OFFSET(D48,-9,0,10,1)))</f>
        <v>87</v>
      </c>
    </row>
    <row r="49" spans="2:5">
      <c r="B49" s="70">
        <f>B50-7</f>
        <v>41729</v>
      </c>
      <c r="C49" t="s">
        <v>824</v>
      </c>
      <c r="D49" s="181">
        <v>83</v>
      </c>
      <c r="E49" s="180">
        <f ca="1">IF(ROW()&lt;12,NA(),AVERAGE(OFFSET(D49,-9,0,10,1)))</f>
        <v>86.6</v>
      </c>
    </row>
    <row r="50" spans="2:5">
      <c r="B50" s="70">
        <f>B51-7</f>
        <v>41736</v>
      </c>
      <c r="C50" t="s">
        <v>828</v>
      </c>
      <c r="D50" s="181">
        <v>80</v>
      </c>
      <c r="E50" s="180">
        <f ca="1">IF(ROW()&lt;12,NA(),AVERAGE(OFFSET(D50,-9,0,10,1)))</f>
        <v>86.2</v>
      </c>
    </row>
    <row r="51" spans="2:5">
      <c r="B51" s="70">
        <f>B52-7</f>
        <v>41743</v>
      </c>
      <c r="C51" t="s">
        <v>827</v>
      </c>
      <c r="D51" s="181">
        <v>87</v>
      </c>
      <c r="E51" s="180">
        <f ca="1">IF(ROW()&lt;12,NA(),AVERAGE(OFFSET(D51,-9,0,10,1)))</f>
        <v>87.4</v>
      </c>
    </row>
    <row r="52" spans="2:5">
      <c r="B52" s="70">
        <f>B53-7</f>
        <v>41750</v>
      </c>
      <c r="C52" t="s">
        <v>824</v>
      </c>
      <c r="D52" s="181">
        <v>85</v>
      </c>
      <c r="E52" s="180">
        <f ca="1">IF(ROW()&lt;12,NA(),AVERAGE(OFFSET(D52,-9,0,10,1)))</f>
        <v>87.6</v>
      </c>
    </row>
    <row r="53" spans="2:5">
      <c r="B53" s="70">
        <f>B54-7</f>
        <v>41757</v>
      </c>
      <c r="C53" t="s">
        <v>826</v>
      </c>
      <c r="D53" s="181">
        <v>80</v>
      </c>
      <c r="E53" s="180">
        <f ca="1">IF(ROW()&lt;12,NA(),AVERAGE(OFFSET(D53,-9,0,10,1)))</f>
        <v>86.4</v>
      </c>
    </row>
    <row r="54" spans="2:5">
      <c r="B54" s="70">
        <f>B55-7</f>
        <v>41764</v>
      </c>
      <c r="C54" t="s">
        <v>826</v>
      </c>
      <c r="D54" s="181">
        <v>78</v>
      </c>
      <c r="E54" s="180">
        <f ca="1">IF(ROW()&lt;12,NA(),AVERAGE(OFFSET(D54,-9,0,10,1)))</f>
        <v>85.7</v>
      </c>
    </row>
    <row r="55" spans="2:5">
      <c r="B55" s="70">
        <f>B56-7</f>
        <v>41771</v>
      </c>
      <c r="C55" t="s">
        <v>824</v>
      </c>
      <c r="D55" s="181">
        <v>78</v>
      </c>
      <c r="E55" s="180">
        <f ca="1">IF(ROW()&lt;12,NA(),AVERAGE(OFFSET(D55,-9,0,10,1)))</f>
        <v>84.4</v>
      </c>
    </row>
    <row r="56" spans="2:5">
      <c r="B56" s="70">
        <f>B57-7</f>
        <v>41778</v>
      </c>
      <c r="C56" t="s">
        <v>824</v>
      </c>
      <c r="D56" s="181">
        <v>83</v>
      </c>
      <c r="E56" s="180">
        <f ca="1">IF(ROW()&lt;12,NA(),AVERAGE(OFFSET(D56,-9,0,10,1)))</f>
        <v>83.2</v>
      </c>
    </row>
    <row r="57" spans="2:5">
      <c r="B57" s="70">
        <f>B58-7</f>
        <v>41785</v>
      </c>
      <c r="C57" t="s">
        <v>824</v>
      </c>
      <c r="D57" s="181">
        <v>84</v>
      </c>
      <c r="E57" s="180">
        <f ca="1">IF(ROW()&lt;12,NA(),AVERAGE(OFFSET(D57,-9,0,10,1)))</f>
        <v>82.5</v>
      </c>
    </row>
    <row r="58" spans="2:5">
      <c r="B58" s="70">
        <f>B59-7</f>
        <v>41792</v>
      </c>
      <c r="C58" t="s">
        <v>824</v>
      </c>
      <c r="D58" s="181">
        <v>84</v>
      </c>
      <c r="E58" s="180">
        <f ca="1">IF(ROW()&lt;12,NA(),AVERAGE(OFFSET(D58,-9,0,10,1)))</f>
        <v>82.2</v>
      </c>
    </row>
    <row r="59" spans="2:5">
      <c r="B59" s="70">
        <f>B60-7</f>
        <v>41799</v>
      </c>
      <c r="C59" t="s">
        <v>826</v>
      </c>
      <c r="D59" s="181">
        <v>81</v>
      </c>
      <c r="E59" s="180">
        <f ca="1">IF(ROW()&lt;12,NA(),AVERAGE(OFFSET(D59,-9,0,10,1)))</f>
        <v>82</v>
      </c>
    </row>
    <row r="60" spans="2:5">
      <c r="B60" s="70">
        <f>B61-7</f>
        <v>41806</v>
      </c>
      <c r="C60" t="s">
        <v>824</v>
      </c>
      <c r="D60" s="181">
        <v>87</v>
      </c>
      <c r="E60" s="180">
        <f ca="1">IF(ROW()&lt;12,NA(),AVERAGE(OFFSET(D60,-9,0,10,1)))</f>
        <v>82.7</v>
      </c>
    </row>
    <row r="61" spans="2:5">
      <c r="B61" s="70">
        <f>B62-7</f>
        <v>41813</v>
      </c>
      <c r="C61" t="s">
        <v>825</v>
      </c>
      <c r="D61" s="181">
        <v>94</v>
      </c>
      <c r="E61" s="180">
        <f ca="1">IF(ROW()&lt;12,NA(),AVERAGE(OFFSET(D61,-9,0,10,1)))</f>
        <v>83.4</v>
      </c>
    </row>
    <row r="62" spans="2:5">
      <c r="B62" s="70">
        <v>41820</v>
      </c>
      <c r="C62" t="s">
        <v>824</v>
      </c>
      <c r="D62" s="181">
        <v>80</v>
      </c>
      <c r="E62" s="180">
        <f ca="1">IF(ROW()&lt;12,NA(),AVERAGE(OFFSET(D62,-9,0,10,1)))</f>
        <v>82.9</v>
      </c>
    </row>
  </sheetData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M28"/>
  <sheetViews>
    <sheetView workbookViewId="0">
      <selection activeCell="D8" sqref="D8"/>
    </sheetView>
  </sheetViews>
  <sheetFormatPr defaultRowHeight="15"/>
  <cols>
    <col min="3" max="3" width="11.5703125" bestFit="1" customWidth="1"/>
    <col min="4" max="4" width="11.5703125" customWidth="1"/>
    <col min="5" max="5" width="11.7109375" customWidth="1"/>
    <col min="6" max="6" width="3" customWidth="1"/>
    <col min="7" max="7" width="15.28515625" bestFit="1" customWidth="1"/>
  </cols>
  <sheetData>
    <row r="2" spans="2:13" ht="32.25" customHeight="1">
      <c r="B2" s="173" t="s">
        <v>839</v>
      </c>
      <c r="C2" s="173" t="s">
        <v>838</v>
      </c>
      <c r="D2" s="173" t="s">
        <v>837</v>
      </c>
      <c r="E2" s="173" t="s">
        <v>836</v>
      </c>
      <c r="G2" s="134" t="s">
        <v>835</v>
      </c>
      <c r="H2" s="182">
        <v>0.3</v>
      </c>
    </row>
    <row r="3" spans="2:13">
      <c r="B3">
        <v>1</v>
      </c>
      <c r="C3" s="100">
        <v>412</v>
      </c>
      <c r="D3" s="100"/>
      <c r="E3" s="100">
        <f>C3</f>
        <v>412</v>
      </c>
    </row>
    <row r="4" spans="2:13">
      <c r="B4">
        <v>2</v>
      </c>
      <c r="C4" s="100">
        <v>634.48</v>
      </c>
      <c r="D4" s="100"/>
      <c r="E4" s="100">
        <f>(C3*$H$2)+(E3*(1-$H$2))</f>
        <v>412</v>
      </c>
    </row>
    <row r="5" spans="2:13">
      <c r="B5">
        <v>3</v>
      </c>
      <c r="C5" s="100">
        <v>989.79</v>
      </c>
      <c r="D5" s="100"/>
      <c r="E5" s="100">
        <f>(C4*$H$2)+(E4*(1-$H$2))</f>
        <v>478.74399999999997</v>
      </c>
      <c r="I5" s="110"/>
      <c r="J5" s="110"/>
      <c r="K5" s="110"/>
    </row>
    <row r="6" spans="2:13">
      <c r="B6">
        <v>4</v>
      </c>
      <c r="C6" s="100">
        <v>1326.32</v>
      </c>
      <c r="D6" s="100"/>
      <c r="E6" s="100">
        <f>(C5*$H$2)+(E5*(1-$H$2))</f>
        <v>632.05779999999993</v>
      </c>
      <c r="I6" s="110"/>
      <c r="J6" s="110"/>
      <c r="K6" s="110"/>
      <c r="L6" s="110"/>
    </row>
    <row r="7" spans="2:13">
      <c r="B7">
        <v>5</v>
      </c>
      <c r="C7" s="100">
        <v>1485.48</v>
      </c>
      <c r="D7" s="100"/>
      <c r="E7" s="100">
        <f>(C6*$H$2)+(E6*(1-$H$2))</f>
        <v>840.33645999999987</v>
      </c>
      <c r="I7" s="110"/>
      <c r="J7" s="110"/>
      <c r="K7" s="110"/>
      <c r="L7" s="110"/>
      <c r="M7" s="110"/>
    </row>
    <row r="8" spans="2:13">
      <c r="B8">
        <v>6</v>
      </c>
      <c r="C8" s="100">
        <v>1589.46</v>
      </c>
      <c r="D8" s="100"/>
      <c r="E8" s="100">
        <f>(C7*$H$2)+(E7*(1-$H$2))</f>
        <v>1033.8795219999997</v>
      </c>
    </row>
    <row r="9" spans="2:13">
      <c r="B9">
        <v>7</v>
      </c>
      <c r="C9" s="100">
        <v>1780.2</v>
      </c>
      <c r="D9" s="100">
        <f>AVERAGE(C3:C8)</f>
        <v>1072.9216666666666</v>
      </c>
      <c r="E9" s="100">
        <f>(C8*$H$2)+(E8*(1-$H$2))</f>
        <v>1200.5536653999998</v>
      </c>
      <c r="G9" s="110"/>
    </row>
    <row r="10" spans="2:13">
      <c r="B10">
        <v>8</v>
      </c>
      <c r="C10" s="100">
        <v>2510.08</v>
      </c>
      <c r="D10" s="100">
        <f>AVERAGE(C4:C9)</f>
        <v>1300.9549999999999</v>
      </c>
      <c r="E10" s="100">
        <f>(C9*$H$2)+(E9*(1-$H$2))</f>
        <v>1374.4475657799999</v>
      </c>
      <c r="G10" s="110"/>
    </row>
    <row r="11" spans="2:13">
      <c r="B11">
        <v>9</v>
      </c>
      <c r="C11" s="100">
        <v>3463.91</v>
      </c>
      <c r="D11" s="100">
        <f>AVERAGE(C5:C10)</f>
        <v>1613.5549999999996</v>
      </c>
      <c r="E11" s="100">
        <f>(C10*$H$2)+(E10*(1-$H$2))</f>
        <v>1715.1372960459998</v>
      </c>
      <c r="G11" s="110"/>
    </row>
    <row r="12" spans="2:13">
      <c r="B12">
        <v>10</v>
      </c>
      <c r="C12" s="100">
        <v>5057.3100000000004</v>
      </c>
      <c r="D12" s="100">
        <f>AVERAGE(C6:C11)</f>
        <v>2025.9083333333335</v>
      </c>
      <c r="E12" s="100">
        <f>(C11*$H$2)+(E11*(1-$H$2))</f>
        <v>2239.7691072321995</v>
      </c>
      <c r="G12" s="110"/>
    </row>
    <row r="13" spans="2:13">
      <c r="B13">
        <v>11</v>
      </c>
      <c r="C13" s="100">
        <v>4956.16</v>
      </c>
      <c r="D13" s="100">
        <f>AVERAGE(C7:C12)</f>
        <v>2647.7400000000002</v>
      </c>
      <c r="E13" s="100">
        <f>(C12*$H$2)+(E12*(1-$H$2))</f>
        <v>3085.0313750625396</v>
      </c>
      <c r="G13" s="110"/>
    </row>
    <row r="14" spans="2:13">
      <c r="B14">
        <v>12</v>
      </c>
      <c r="C14" s="100">
        <v>7087.31</v>
      </c>
      <c r="D14" s="100">
        <f>AVERAGE(C8:C13)</f>
        <v>3226.1866666666665</v>
      </c>
      <c r="E14" s="100">
        <f>(C13*$H$2)+(E13*(1-$H$2))</f>
        <v>3646.3699625437775</v>
      </c>
      <c r="G14" s="110"/>
    </row>
    <row r="15" spans="2:13">
      <c r="B15">
        <v>13</v>
      </c>
      <c r="C15" s="100">
        <v>10985.33</v>
      </c>
      <c r="D15" s="100">
        <f>AVERAGE(C9:C14)</f>
        <v>4142.4949999999999</v>
      </c>
      <c r="E15" s="100">
        <f>(C14*$H$2)+(E14*(1-$H$2))</f>
        <v>4678.6519737806448</v>
      </c>
      <c r="G15" s="110"/>
    </row>
    <row r="16" spans="2:13">
      <c r="B16">
        <v>14</v>
      </c>
      <c r="C16" s="100">
        <v>14830.2</v>
      </c>
      <c r="D16" s="100">
        <f>AVERAGE(C10:C15)</f>
        <v>5676.6833333333334</v>
      </c>
      <c r="E16" s="100">
        <f>(C15*$H$2)+(E15*(1-$H$2))</f>
        <v>6570.6553816464511</v>
      </c>
      <c r="G16" s="110"/>
    </row>
    <row r="17" spans="2:7">
      <c r="B17">
        <v>15</v>
      </c>
      <c r="C17" s="100">
        <v>14830.2</v>
      </c>
      <c r="D17" s="100">
        <f>AVERAGE(C11:C16)</f>
        <v>7730.0366666666669</v>
      </c>
      <c r="E17" s="100">
        <f>(C16*$H$2)+(E16*(1-$H$2))</f>
        <v>9048.5187671525164</v>
      </c>
      <c r="G17" s="110"/>
    </row>
    <row r="18" spans="2:7">
      <c r="B18">
        <v>16</v>
      </c>
      <c r="C18" s="100">
        <v>17944.54</v>
      </c>
      <c r="D18" s="100">
        <f>AVERAGE(C12:C17)</f>
        <v>9624.4183333333331</v>
      </c>
      <c r="E18" s="100">
        <f>(C17*$H$2)+(E17*(1-$H$2))</f>
        <v>10783.023137006761</v>
      </c>
      <c r="G18" s="110"/>
    </row>
    <row r="19" spans="2:7">
      <c r="B19">
        <v>17</v>
      </c>
      <c r="C19" s="100">
        <v>17406.2</v>
      </c>
      <c r="D19" s="100">
        <f>AVERAGE(C13:C18)</f>
        <v>11772.289999999999</v>
      </c>
      <c r="E19" s="100">
        <f>(C18*$H$2)+(E18*(1-$H$2))</f>
        <v>12931.478195904732</v>
      </c>
      <c r="G19" s="110"/>
    </row>
    <row r="20" spans="2:7">
      <c r="B20">
        <v>18</v>
      </c>
      <c r="C20" s="100">
        <v>27675.86</v>
      </c>
      <c r="D20" s="100">
        <f>AVERAGE(C14:C19)</f>
        <v>13847.296666666663</v>
      </c>
      <c r="E20" s="100">
        <f>(C19*$H$2)+(E19*(1-$H$2))</f>
        <v>14273.894737133312</v>
      </c>
      <c r="G20" s="110"/>
    </row>
    <row r="21" spans="2:7">
      <c r="B21">
        <v>19</v>
      </c>
      <c r="C21" s="100">
        <v>21310.41</v>
      </c>
      <c r="D21" s="100">
        <f>AVERAGE(C15:C20)</f>
        <v>17278.721666666668</v>
      </c>
      <c r="E21" s="100">
        <f>(C20*$H$2)+(E20*(1-$H$2))</f>
        <v>18294.484315993315</v>
      </c>
      <c r="G21" s="110"/>
    </row>
    <row r="22" spans="2:7">
      <c r="B22">
        <v>20</v>
      </c>
      <c r="C22" s="100">
        <v>19605.580000000002</v>
      </c>
      <c r="D22" s="100">
        <f>AVERAGE(C16:C21)</f>
        <v>18999.568333333333</v>
      </c>
      <c r="E22" s="100">
        <f>(C21*$H$2)+(E21*(1-$H$2))</f>
        <v>19199.262021195318</v>
      </c>
      <c r="G22" s="110"/>
    </row>
    <row r="23" spans="2:7">
      <c r="B23">
        <v>21</v>
      </c>
      <c r="C23" s="100">
        <v>18821.36</v>
      </c>
      <c r="D23" s="100">
        <f>AVERAGE(C17:C22)</f>
        <v>19795.465</v>
      </c>
      <c r="E23" s="100">
        <f>(C22*$H$2)+(E22*(1-$H$2))</f>
        <v>19321.157414836722</v>
      </c>
      <c r="G23" s="110"/>
    </row>
    <row r="24" spans="2:7">
      <c r="B24">
        <v>22</v>
      </c>
      <c r="C24" s="100">
        <v>14116.02</v>
      </c>
      <c r="D24" s="100">
        <f>AVERAGE(C18:C23)</f>
        <v>20460.658333333336</v>
      </c>
      <c r="E24" s="100">
        <f>(C23*$H$2)+(E23*(1-$H$2))</f>
        <v>19171.218190385705</v>
      </c>
      <c r="G24" s="110"/>
    </row>
    <row r="25" spans="2:7">
      <c r="B25">
        <v>23</v>
      </c>
      <c r="C25" s="100">
        <v>13833.7</v>
      </c>
      <c r="D25" s="100">
        <f>AVERAGE(C19:C24)</f>
        <v>19822.571666666667</v>
      </c>
      <c r="E25" s="100">
        <f>(C24*$H$2)+(E24*(1-$H$2))</f>
        <v>17654.658733269993</v>
      </c>
      <c r="G25" s="110"/>
    </row>
    <row r="26" spans="2:7">
      <c r="B26">
        <v>24</v>
      </c>
      <c r="C26" s="100">
        <v>11896.98</v>
      </c>
      <c r="D26" s="100">
        <f>AVERAGE(C20:C25)</f>
        <v>19227.155000000002</v>
      </c>
      <c r="E26" s="100">
        <f>(C25*$H$2)+(E25*(1-$H$2))</f>
        <v>16508.371113288995</v>
      </c>
      <c r="G26" s="110"/>
    </row>
    <row r="27" spans="2:7">
      <c r="B27">
        <v>25</v>
      </c>
      <c r="C27" s="100">
        <v>13919.47</v>
      </c>
      <c r="D27" s="100">
        <f>AVERAGE(C21:C26)</f>
        <v>16597.341666666667</v>
      </c>
      <c r="E27" s="100">
        <f>(C26*$H$2)+(E26*(1-$H$2))</f>
        <v>15124.953779302296</v>
      </c>
      <c r="G27" s="110"/>
    </row>
    <row r="28" spans="2:7">
      <c r="B28">
        <v>26</v>
      </c>
      <c r="C28" s="100"/>
      <c r="D28" s="100">
        <f>AVERAGE(C22:C27)</f>
        <v>15365.518333333333</v>
      </c>
      <c r="E28" s="100">
        <f>(C27*$H$2)+(E27*(1-$H$2))</f>
        <v>14763.308645511606</v>
      </c>
      <c r="G28" s="110"/>
    </row>
  </sheetData>
  <pageMargins left="0.7" right="0.7" top="0.75" bottom="0.75" header="0.3" footer="0.3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D8" sqref="D8"/>
    </sheetView>
  </sheetViews>
  <sheetFormatPr defaultRowHeight="15"/>
  <cols>
    <col min="2" max="2" width="9.5703125" customWidth="1"/>
    <col min="3" max="3" width="13.85546875" bestFit="1" customWidth="1"/>
    <col min="5" max="5" width="11.28515625" bestFit="1" customWidth="1"/>
    <col min="6" max="6" width="11" bestFit="1" customWidth="1"/>
  </cols>
  <sheetData>
    <row r="2" spans="2:6">
      <c r="B2" s="97" t="s">
        <v>779</v>
      </c>
      <c r="C2" s="97" t="s">
        <v>856</v>
      </c>
    </row>
    <row r="3" spans="2:6">
      <c r="B3" s="12" t="s">
        <v>855</v>
      </c>
      <c r="C3" s="100">
        <v>33</v>
      </c>
    </row>
    <row r="4" spans="2:6">
      <c r="B4" s="12" t="s">
        <v>854</v>
      </c>
      <c r="C4" s="100">
        <v>36</v>
      </c>
      <c r="E4" s="97" t="s">
        <v>853</v>
      </c>
      <c r="F4" s="97" t="s">
        <v>852</v>
      </c>
    </row>
    <row r="5" spans="2:6">
      <c r="B5" s="12" t="s">
        <v>851</v>
      </c>
      <c r="C5" s="100">
        <v>42</v>
      </c>
      <c r="E5" s="183">
        <f>MAX(C3:C14)</f>
        <v>70</v>
      </c>
      <c r="F5" s="183">
        <f>MIN(C3:C14)</f>
        <v>33</v>
      </c>
    </row>
    <row r="6" spans="2:6">
      <c r="B6" s="12" t="s">
        <v>850</v>
      </c>
      <c r="C6" s="100">
        <v>50</v>
      </c>
      <c r="E6" s="97" t="s">
        <v>849</v>
      </c>
      <c r="F6" s="97" t="s">
        <v>848</v>
      </c>
    </row>
    <row r="7" spans="2:6">
      <c r="B7" s="12" t="s">
        <v>847</v>
      </c>
      <c r="C7" s="100">
        <v>59</v>
      </c>
      <c r="E7" s="12" t="str">
        <f>INDEX(B3:B14,MATCH(E5,C3:C14,FALSE),1)</f>
        <v xml:space="preserve">JUL </v>
      </c>
      <c r="F7" s="12" t="str">
        <f>INDEX(B3:B14,MATCH(F5,C3:C14,FALSE),1)</f>
        <v xml:space="preserve">JAN </v>
      </c>
    </row>
    <row r="8" spans="2:6">
      <c r="B8" s="12" t="s">
        <v>846</v>
      </c>
      <c r="C8" s="100">
        <v>66</v>
      </c>
    </row>
    <row r="9" spans="2:6">
      <c r="B9" s="12" t="s">
        <v>845</v>
      </c>
      <c r="C9" s="100">
        <v>70</v>
      </c>
    </row>
    <row r="10" spans="2:6">
      <c r="B10" s="12" t="s">
        <v>844</v>
      </c>
      <c r="C10" s="100">
        <v>69</v>
      </c>
    </row>
    <row r="11" spans="2:6">
      <c r="B11" s="12" t="s">
        <v>843</v>
      </c>
      <c r="C11" s="100">
        <v>63</v>
      </c>
    </row>
    <row r="12" spans="2:6">
      <c r="B12" s="12" t="s">
        <v>842</v>
      </c>
      <c r="C12" s="100">
        <v>51</v>
      </c>
    </row>
    <row r="13" spans="2:6">
      <c r="B13" s="12" t="s">
        <v>841</v>
      </c>
      <c r="C13" s="100">
        <v>42</v>
      </c>
    </row>
    <row r="14" spans="2:6">
      <c r="B14" s="12" t="s">
        <v>840</v>
      </c>
      <c r="C14" s="100">
        <v>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G14"/>
  <sheetViews>
    <sheetView workbookViewId="0">
      <selection activeCell="D8" sqref="D8"/>
    </sheetView>
  </sheetViews>
  <sheetFormatPr defaultRowHeight="15"/>
  <cols>
    <col min="2" max="2" width="17" bestFit="1" customWidth="1"/>
    <col min="3" max="3" width="9.7109375" customWidth="1"/>
    <col min="5" max="5" width="9.42578125" bestFit="1" customWidth="1"/>
    <col min="6" max="6" width="10.140625" customWidth="1"/>
    <col min="7" max="7" width="15.140625" bestFit="1" customWidth="1"/>
  </cols>
  <sheetData>
    <row r="2" spans="2:7">
      <c r="B2" s="97" t="s">
        <v>872</v>
      </c>
      <c r="C2" s="97" t="s">
        <v>833</v>
      </c>
      <c r="E2" s="97" t="s">
        <v>873</v>
      </c>
      <c r="F2" s="97" t="s">
        <v>833</v>
      </c>
      <c r="G2" s="97" t="s">
        <v>872</v>
      </c>
    </row>
    <row r="3" spans="2:7">
      <c r="B3" t="s">
        <v>871</v>
      </c>
      <c r="C3" s="100">
        <v>352</v>
      </c>
      <c r="E3" t="s">
        <v>870</v>
      </c>
      <c r="F3" s="100">
        <f>LARGE($C$3:$C$14,ROW(A1))</f>
        <v>588</v>
      </c>
      <c r="G3" t="str">
        <f>INDEX($B$3:$B$14,MATCH(F3,$C$3:$C$14,FALSE),1)</f>
        <v>Olivia Dunn</v>
      </c>
    </row>
    <row r="4" spans="2:7">
      <c r="B4" t="s">
        <v>869</v>
      </c>
      <c r="C4" s="100">
        <v>533</v>
      </c>
      <c r="E4" t="s">
        <v>868</v>
      </c>
      <c r="F4" s="100">
        <f>LARGE($C$3:$C$14,ROW(A2))</f>
        <v>547</v>
      </c>
      <c r="G4" t="str">
        <f>INDEX($B$3:$B$14,MATCH(F4,$C$3:$C$14,FALSE),1)</f>
        <v>Hannah Weaver</v>
      </c>
    </row>
    <row r="5" spans="2:7">
      <c r="B5" t="s">
        <v>867</v>
      </c>
      <c r="C5" s="100">
        <v>389</v>
      </c>
      <c r="E5" t="s">
        <v>866</v>
      </c>
      <c r="F5" s="100">
        <f>LARGE($C$3:$C$14,ROW(A3))</f>
        <v>546</v>
      </c>
      <c r="G5" t="str">
        <f>INDEX($B$3:$B$14,MATCH(F5,$C$3:$C$14,FALSE),1)</f>
        <v>Julian Murray</v>
      </c>
    </row>
    <row r="6" spans="2:7">
      <c r="B6" t="s">
        <v>865</v>
      </c>
      <c r="C6" s="100">
        <v>300</v>
      </c>
    </row>
    <row r="7" spans="2:7">
      <c r="B7" t="s">
        <v>864</v>
      </c>
      <c r="C7" s="100">
        <v>547</v>
      </c>
    </row>
    <row r="8" spans="2:7">
      <c r="B8" t="s">
        <v>863</v>
      </c>
      <c r="C8" s="100">
        <v>460</v>
      </c>
    </row>
    <row r="9" spans="2:7">
      <c r="B9" t="s">
        <v>862</v>
      </c>
      <c r="C9" s="100">
        <v>511</v>
      </c>
    </row>
    <row r="10" spans="2:7">
      <c r="B10" t="s">
        <v>861</v>
      </c>
      <c r="C10" s="100">
        <v>546</v>
      </c>
    </row>
    <row r="11" spans="2:7">
      <c r="B11" t="s">
        <v>860</v>
      </c>
      <c r="C11" s="100">
        <v>396</v>
      </c>
    </row>
    <row r="12" spans="2:7">
      <c r="B12" t="s">
        <v>859</v>
      </c>
      <c r="C12" s="100">
        <v>507</v>
      </c>
    </row>
    <row r="13" spans="2:7">
      <c r="B13" t="s">
        <v>858</v>
      </c>
      <c r="C13" s="100">
        <v>588</v>
      </c>
    </row>
    <row r="14" spans="2:7">
      <c r="B14" t="s">
        <v>857</v>
      </c>
      <c r="C14" s="100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H14"/>
  <sheetViews>
    <sheetView workbookViewId="0">
      <selection activeCell="D8" sqref="D8"/>
    </sheetView>
  </sheetViews>
  <sheetFormatPr defaultRowHeight="15"/>
  <cols>
    <col min="2" max="2" width="17" bestFit="1" customWidth="1"/>
    <col min="3" max="4" width="9.7109375" customWidth="1"/>
    <col min="6" max="6" width="9.42578125" bestFit="1" customWidth="1"/>
    <col min="7" max="7" width="10.140625" customWidth="1"/>
    <col min="8" max="8" width="18" bestFit="1" customWidth="1"/>
  </cols>
  <sheetData>
    <row r="2" spans="2:8">
      <c r="B2" s="97" t="s">
        <v>886</v>
      </c>
      <c r="C2" s="97" t="s">
        <v>887</v>
      </c>
      <c r="D2" s="97" t="s">
        <v>888</v>
      </c>
      <c r="F2" s="97" t="s">
        <v>873</v>
      </c>
      <c r="G2" s="97" t="s">
        <v>887</v>
      </c>
      <c r="H2" s="97" t="s">
        <v>886</v>
      </c>
    </row>
    <row r="3" spans="2:8">
      <c r="B3" t="s">
        <v>885</v>
      </c>
      <c r="C3" s="184">
        <v>1.4293981481481482E-2</v>
      </c>
      <c r="D3" s="100">
        <f>RANK(C3,$C$3:$C$14,1)</f>
        <v>1</v>
      </c>
      <c r="F3" t="s">
        <v>870</v>
      </c>
      <c r="G3" s="184">
        <f>INDEX($C$3:$C$14,MATCH(ROW(A1),$D$3:$D$14,FALSE),1)</f>
        <v>1.4293981481481482E-2</v>
      </c>
      <c r="H3" t="str">
        <f>INDEX($B$3:$B$14,MATCH(G3,$C$3:$C$14,FALSE),1)</f>
        <v>Gianna Ruiz</v>
      </c>
    </row>
    <row r="4" spans="2:8">
      <c r="B4" t="s">
        <v>884</v>
      </c>
      <c r="C4" s="184">
        <v>1.6921296296296299E-2</v>
      </c>
      <c r="D4" s="100">
        <f>RANK(C4,$C$3:$C$14,1)</f>
        <v>6</v>
      </c>
      <c r="F4" t="s">
        <v>868</v>
      </c>
      <c r="G4" s="184">
        <f>INDEX($C$3:$C$14,MATCH(ROW(A2),$D$3:$D$14,FALSE),1)</f>
        <v>1.5023148148148148E-2</v>
      </c>
      <c r="H4" t="str">
        <f>INDEX($B$3:$B$14,MATCH(G4,$C$3:$C$14,FALSE),1)</f>
        <v>Alexandra Mitchell</v>
      </c>
    </row>
    <row r="5" spans="2:8">
      <c r="B5" t="s">
        <v>883</v>
      </c>
      <c r="C5" s="184">
        <v>2.0439814814814817E-2</v>
      </c>
      <c r="D5" s="100">
        <f>RANK(C5,$C$3:$C$14,1)</f>
        <v>12</v>
      </c>
      <c r="F5" t="s">
        <v>866</v>
      </c>
      <c r="G5" s="184">
        <f>INDEX($C$3:$C$14,MATCH(ROW(A3),$D$3:$D$14,FALSE),1)</f>
        <v>1.5069444444444443E-2</v>
      </c>
      <c r="H5" t="str">
        <f>INDEX($B$3:$B$14,MATCH(G5,$C$3:$C$14,FALSE),1)</f>
        <v>Isaiah Peters</v>
      </c>
    </row>
    <row r="6" spans="2:8">
      <c r="B6" t="s">
        <v>882</v>
      </c>
      <c r="C6" s="184">
        <v>1.9328703703703702E-2</v>
      </c>
      <c r="D6" s="100">
        <f>RANK(C6,$C$3:$C$14,1)</f>
        <v>9</v>
      </c>
    </row>
    <row r="7" spans="2:8">
      <c r="B7" t="s">
        <v>881</v>
      </c>
      <c r="C7" s="184">
        <v>2.028935185185185E-2</v>
      </c>
      <c r="D7" s="100">
        <f>RANK(C7,$C$3:$C$14,1)</f>
        <v>10</v>
      </c>
    </row>
    <row r="8" spans="2:8">
      <c r="B8" t="s">
        <v>880</v>
      </c>
      <c r="C8" s="184">
        <v>1.5023148148148148E-2</v>
      </c>
      <c r="D8" s="100">
        <f>RANK(C8,$C$3:$C$14,1)</f>
        <v>2</v>
      </c>
    </row>
    <row r="9" spans="2:8">
      <c r="B9" t="s">
        <v>879</v>
      </c>
      <c r="C9" s="184">
        <v>2.028935185185185E-2</v>
      </c>
      <c r="D9" s="100">
        <f>RANK(C9,$C$3:$C$14,1)</f>
        <v>10</v>
      </c>
    </row>
    <row r="10" spans="2:8">
      <c r="B10" t="s">
        <v>878</v>
      </c>
      <c r="C10" s="184">
        <v>1.7106481481481483E-2</v>
      </c>
      <c r="D10" s="100">
        <f>RANK(C10,$C$3:$C$14,1)</f>
        <v>7</v>
      </c>
    </row>
    <row r="11" spans="2:8">
      <c r="B11" t="s">
        <v>877</v>
      </c>
      <c r="C11" s="184">
        <v>1.5069444444444443E-2</v>
      </c>
      <c r="D11" s="100">
        <f>RANK(C11,$C$3:$C$14,1)</f>
        <v>3</v>
      </c>
    </row>
    <row r="12" spans="2:8">
      <c r="B12" t="s">
        <v>876</v>
      </c>
      <c r="C12" s="184">
        <v>1.8703703703703705E-2</v>
      </c>
      <c r="D12" s="100">
        <f>RANK(C12,$C$3:$C$14,1)</f>
        <v>8</v>
      </c>
    </row>
    <row r="13" spans="2:8">
      <c r="B13" t="s">
        <v>875</v>
      </c>
      <c r="C13" s="184">
        <v>1.6446759259259262E-2</v>
      </c>
      <c r="D13" s="100">
        <f>RANK(C13,$C$3:$C$14,1)</f>
        <v>5</v>
      </c>
    </row>
    <row r="14" spans="2:8">
      <c r="B14" t="s">
        <v>874</v>
      </c>
      <c r="C14" s="184">
        <v>1.5856481481481482E-2</v>
      </c>
      <c r="D14" s="100">
        <f>RANK(C14,$C$3:$C$14,1)</f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G22"/>
  <sheetViews>
    <sheetView workbookViewId="0">
      <selection activeCell="D8" sqref="D8"/>
    </sheetView>
  </sheetViews>
  <sheetFormatPr defaultRowHeight="15"/>
  <cols>
    <col min="2" max="2" width="17.7109375" bestFit="1" customWidth="1"/>
    <col min="3" max="3" width="7" bestFit="1" customWidth="1"/>
    <col min="4" max="4" width="15.28515625" bestFit="1" customWidth="1"/>
  </cols>
  <sheetData>
    <row r="2" spans="2:7">
      <c r="B2" s="97" t="s">
        <v>913</v>
      </c>
      <c r="C2" s="97" t="s">
        <v>912</v>
      </c>
      <c r="D2" s="97" t="s">
        <v>911</v>
      </c>
    </row>
    <row r="3" spans="2:7">
      <c r="B3" t="s">
        <v>910</v>
      </c>
      <c r="C3" s="100">
        <v>96</v>
      </c>
      <c r="D3" s="100">
        <f>COUNTIF($C$3:$C$22,C3)</f>
        <v>1</v>
      </c>
    </row>
    <row r="4" spans="2:7">
      <c r="B4" t="s">
        <v>909</v>
      </c>
      <c r="C4" s="100">
        <v>90</v>
      </c>
      <c r="D4" s="100">
        <f>COUNTIF($C$3:$C$22,C4)</f>
        <v>1</v>
      </c>
      <c r="F4" t="s">
        <v>692</v>
      </c>
      <c r="G4" s="180">
        <f>AVERAGE(C3:C22)</f>
        <v>85.1</v>
      </c>
    </row>
    <row r="5" spans="2:7">
      <c r="B5" t="s">
        <v>908</v>
      </c>
      <c r="C5" s="100">
        <v>98</v>
      </c>
      <c r="D5" s="100">
        <f>COUNTIF($C$3:$C$22,C5)</f>
        <v>1</v>
      </c>
      <c r="F5" t="s">
        <v>907</v>
      </c>
      <c r="G5" s="180">
        <f>MEDIAN(C3:C22)</f>
        <v>90.5</v>
      </c>
    </row>
    <row r="6" spans="2:7">
      <c r="B6" t="s">
        <v>906</v>
      </c>
      <c r="C6" s="100">
        <v>93</v>
      </c>
      <c r="D6" s="100">
        <f>COUNTIF($C$3:$C$22,C6)</f>
        <v>4</v>
      </c>
      <c r="E6" s="181"/>
      <c r="F6" t="s">
        <v>905</v>
      </c>
      <c r="G6" s="180">
        <f>MODE(C3:C22)</f>
        <v>93</v>
      </c>
    </row>
    <row r="7" spans="2:7">
      <c r="B7" t="s">
        <v>904</v>
      </c>
      <c r="C7" s="100">
        <v>71</v>
      </c>
      <c r="D7" s="100">
        <f>COUNTIF($C$3:$C$22,C7)</f>
        <v>2</v>
      </c>
      <c r="E7" s="181"/>
    </row>
    <row r="8" spans="2:7">
      <c r="B8" t="s">
        <v>903</v>
      </c>
      <c r="C8" s="100">
        <v>80</v>
      </c>
      <c r="D8" s="100">
        <f>COUNTIF($C$3:$C$22,C8)</f>
        <v>2</v>
      </c>
      <c r="E8" s="181"/>
    </row>
    <row r="9" spans="2:7">
      <c r="B9" t="s">
        <v>902</v>
      </c>
      <c r="C9" s="100">
        <v>91</v>
      </c>
      <c r="D9" s="100">
        <f>COUNTIF($C$3:$C$22,C9)</f>
        <v>2</v>
      </c>
      <c r="E9" s="181"/>
    </row>
    <row r="10" spans="2:7">
      <c r="B10" t="s">
        <v>901</v>
      </c>
      <c r="C10" s="100">
        <v>93</v>
      </c>
      <c r="D10" s="100">
        <f>COUNTIF($C$3:$C$22,C10)</f>
        <v>4</v>
      </c>
      <c r="E10" s="181"/>
    </row>
    <row r="11" spans="2:7">
      <c r="B11" t="s">
        <v>900</v>
      </c>
      <c r="C11" s="100">
        <v>91</v>
      </c>
      <c r="D11" s="100">
        <f>COUNTIF($C$3:$C$22,C11)</f>
        <v>2</v>
      </c>
      <c r="E11" s="181"/>
    </row>
    <row r="12" spans="2:7">
      <c r="B12" t="s">
        <v>899</v>
      </c>
      <c r="C12" s="100">
        <v>93</v>
      </c>
      <c r="D12" s="100">
        <f>COUNTIF($C$3:$C$22,C12)</f>
        <v>4</v>
      </c>
    </row>
    <row r="13" spans="2:7">
      <c r="B13" t="s">
        <v>898</v>
      </c>
      <c r="C13" s="100">
        <v>71</v>
      </c>
      <c r="D13" s="100">
        <f>COUNTIF($C$3:$C$22,C13)</f>
        <v>2</v>
      </c>
    </row>
    <row r="14" spans="2:7">
      <c r="B14" t="s">
        <v>897</v>
      </c>
      <c r="C14" s="100">
        <v>73</v>
      </c>
      <c r="D14" s="100">
        <f>COUNTIF($C$3:$C$22,C14)</f>
        <v>1</v>
      </c>
    </row>
    <row r="15" spans="2:7">
      <c r="B15" t="s">
        <v>896</v>
      </c>
      <c r="C15" s="100">
        <v>93</v>
      </c>
      <c r="D15" s="100">
        <f>COUNTIF($C$3:$C$22,C15)</f>
        <v>4</v>
      </c>
    </row>
    <row r="16" spans="2:7">
      <c r="B16" t="s">
        <v>895</v>
      </c>
      <c r="C16" s="100">
        <v>95</v>
      </c>
      <c r="D16" s="100">
        <f>COUNTIF($C$3:$C$22,C16)</f>
        <v>1</v>
      </c>
    </row>
    <row r="17" spans="2:4">
      <c r="B17" t="s">
        <v>894</v>
      </c>
      <c r="C17" s="100">
        <v>77</v>
      </c>
      <c r="D17" s="100">
        <f>COUNTIF($C$3:$C$22,C17)</f>
        <v>2</v>
      </c>
    </row>
    <row r="18" spans="2:4">
      <c r="B18" t="s">
        <v>893</v>
      </c>
      <c r="C18" s="100">
        <v>72</v>
      </c>
      <c r="D18" s="100">
        <f>COUNTIF($C$3:$C$22,C18)</f>
        <v>1</v>
      </c>
    </row>
    <row r="19" spans="2:4">
      <c r="B19" t="s">
        <v>892</v>
      </c>
      <c r="C19" s="100">
        <v>80</v>
      </c>
      <c r="D19" s="100">
        <f>COUNTIF($C$3:$C$22,C19)</f>
        <v>2</v>
      </c>
    </row>
    <row r="20" spans="2:4">
      <c r="B20" t="s">
        <v>891</v>
      </c>
      <c r="C20" s="100">
        <v>92</v>
      </c>
      <c r="D20" s="100">
        <f>COUNTIF($C$3:$C$22,C20)</f>
        <v>1</v>
      </c>
    </row>
    <row r="21" spans="2:4">
      <c r="B21" t="s">
        <v>890</v>
      </c>
      <c r="C21" s="100">
        <v>76</v>
      </c>
      <c r="D21" s="100">
        <f>COUNTIF($C$3:$C$22,C21)</f>
        <v>1</v>
      </c>
    </row>
    <row r="22" spans="2:4">
      <c r="B22" t="s">
        <v>889</v>
      </c>
      <c r="C22" s="100">
        <v>77</v>
      </c>
      <c r="D22" s="100">
        <f>COUNTIF($C$3:$C$22,C22)</f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D8" sqref="D8"/>
    </sheetView>
  </sheetViews>
  <sheetFormatPr defaultRowHeight="15"/>
  <sheetData>
    <row r="2" spans="2:4">
      <c r="B2">
        <v>1</v>
      </c>
    </row>
    <row r="3" spans="2:4">
      <c r="B3">
        <v>4</v>
      </c>
      <c r="D3" t="e">
        <f t="array" aca="1" ref="D3:D5" ca="1">_xlfn.MODE.MULT($B$2:$B$7)</f>
        <v>#NAME?</v>
      </c>
    </row>
    <row r="4" spans="2:4">
      <c r="B4">
        <v>4</v>
      </c>
      <c r="D4" t="e">
        <f ca="1"/>
        <v>#NAME?</v>
      </c>
    </row>
    <row r="5" spans="2:4">
      <c r="B5">
        <v>2</v>
      </c>
      <c r="D5" t="e">
        <f ca="1"/>
        <v>#NAME?</v>
      </c>
    </row>
    <row r="6" spans="2:4">
      <c r="B6">
        <v>2</v>
      </c>
    </row>
    <row r="7" spans="2:4">
      <c r="B7">
        <v>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G50"/>
  <sheetViews>
    <sheetView workbookViewId="0">
      <selection activeCell="D8" sqref="D8"/>
    </sheetView>
  </sheetViews>
  <sheetFormatPr defaultRowHeight="15"/>
  <cols>
    <col min="1" max="1" width="4.42578125" customWidth="1"/>
    <col min="2" max="2" width="16.28515625" bestFit="1" customWidth="1"/>
    <col min="3" max="3" width="15.7109375" bestFit="1" customWidth="1"/>
    <col min="5" max="5" width="3.42578125" customWidth="1"/>
    <col min="6" max="6" width="14.5703125" bestFit="1" customWidth="1"/>
  </cols>
  <sheetData>
    <row r="2" spans="2:7">
      <c r="B2" s="97" t="s">
        <v>949</v>
      </c>
      <c r="C2" s="97" t="s">
        <v>948</v>
      </c>
      <c r="D2" s="97" t="s">
        <v>947</v>
      </c>
    </row>
    <row r="3" spans="2:7">
      <c r="B3" t="s">
        <v>946</v>
      </c>
      <c r="C3">
        <v>47</v>
      </c>
      <c r="D3">
        <f>MATCH(C3,$G$3:$G$6,-1)</f>
        <v>1</v>
      </c>
      <c r="F3" t="s">
        <v>945</v>
      </c>
      <c r="G3" s="180">
        <f>QUARTILE($C$3:$C$32,5-ROW(A1))</f>
        <v>50</v>
      </c>
    </row>
    <row r="4" spans="2:7">
      <c r="B4" s="185" t="s">
        <v>637</v>
      </c>
      <c r="C4" s="185">
        <v>31</v>
      </c>
      <c r="D4" s="185">
        <f>MATCH(C4,$G$3:$G$6,-1)</f>
        <v>3</v>
      </c>
      <c r="F4" t="s">
        <v>944</v>
      </c>
      <c r="G4" s="180">
        <f>QUARTILE($C$3:$C$32,5-ROW(A2))</f>
        <v>44.5</v>
      </c>
    </row>
    <row r="5" spans="2:7">
      <c r="B5" t="s">
        <v>943</v>
      </c>
      <c r="C5">
        <v>50</v>
      </c>
      <c r="D5">
        <f>MATCH(C5,$G$3:$G$6,-1)</f>
        <v>1</v>
      </c>
      <c r="F5" t="s">
        <v>942</v>
      </c>
      <c r="G5" s="180">
        <f>QUARTILE($C$3:$C$32,5-ROW(A3))</f>
        <v>31</v>
      </c>
    </row>
    <row r="6" spans="2:7">
      <c r="B6" s="185" t="s">
        <v>941</v>
      </c>
      <c r="C6" s="185">
        <v>41</v>
      </c>
      <c r="D6" s="185">
        <f>MATCH(C6,$G$3:$G$6,-1)</f>
        <v>2</v>
      </c>
      <c r="F6" t="s">
        <v>940</v>
      </c>
      <c r="G6" s="180">
        <f>QUARTILE($C$3:$C$32,5-ROW(A4))</f>
        <v>23</v>
      </c>
    </row>
    <row r="7" spans="2:7">
      <c r="B7" s="185" t="s">
        <v>939</v>
      </c>
      <c r="C7" s="185">
        <v>30</v>
      </c>
      <c r="D7" s="185">
        <f>MATCH(C7,$G$3:$G$6,-1)</f>
        <v>3</v>
      </c>
    </row>
    <row r="8" spans="2:7">
      <c r="B8" s="185" t="s">
        <v>938</v>
      </c>
      <c r="C8" s="185">
        <v>30</v>
      </c>
      <c r="D8" s="185">
        <f>MATCH(C8,$G$3:$G$6,-1)</f>
        <v>3</v>
      </c>
      <c r="F8" s="185"/>
    </row>
    <row r="9" spans="2:7">
      <c r="B9" s="185" t="s">
        <v>937</v>
      </c>
      <c r="C9" s="185">
        <v>23</v>
      </c>
      <c r="D9" s="185">
        <f>MATCH(C9,$G$3:$G$6,-1)</f>
        <v>4</v>
      </c>
      <c r="F9" s="185"/>
    </row>
    <row r="10" spans="2:7" ht="15" customHeight="1">
      <c r="B10" s="185" t="s">
        <v>936</v>
      </c>
      <c r="C10" s="185">
        <v>27</v>
      </c>
      <c r="D10" s="185">
        <f>MATCH(C10,$G$3:$G$6,-1)</f>
        <v>3</v>
      </c>
      <c r="E10" s="185"/>
      <c r="F10" s="187"/>
    </row>
    <row r="11" spans="2:7" ht="15" customHeight="1">
      <c r="B11" s="185" t="s">
        <v>935</v>
      </c>
      <c r="C11" s="185">
        <v>34</v>
      </c>
      <c r="D11" s="185">
        <f>MATCH(C11,$G$3:$G$6,-1)</f>
        <v>2</v>
      </c>
      <c r="E11" s="185"/>
      <c r="F11" s="187"/>
    </row>
    <row r="12" spans="2:7" ht="15" customHeight="1">
      <c r="B12" t="s">
        <v>934</v>
      </c>
      <c r="C12">
        <v>48</v>
      </c>
      <c r="D12">
        <f>MATCH(C12,$G$3:$G$6,-1)</f>
        <v>1</v>
      </c>
      <c r="E12" s="185"/>
      <c r="F12" s="186"/>
    </row>
    <row r="13" spans="2:7" ht="15" customHeight="1">
      <c r="B13" t="s">
        <v>933</v>
      </c>
      <c r="C13">
        <v>17</v>
      </c>
      <c r="D13">
        <f>MATCH(C13,$G$3:$G$6,-1)</f>
        <v>4</v>
      </c>
      <c r="E13" s="185"/>
      <c r="F13" s="186"/>
    </row>
    <row r="14" spans="2:7" ht="15" customHeight="1">
      <c r="B14" t="s">
        <v>932</v>
      </c>
      <c r="C14">
        <v>22</v>
      </c>
      <c r="D14">
        <f>MATCH(C14,$G$3:$G$6,-1)</f>
        <v>4</v>
      </c>
      <c r="E14" s="185"/>
      <c r="F14" s="186"/>
    </row>
    <row r="15" spans="2:7" ht="15" customHeight="1">
      <c r="B15" s="185" t="s">
        <v>931</v>
      </c>
      <c r="C15" s="185">
        <v>43</v>
      </c>
      <c r="D15" s="185">
        <f>MATCH(C15,$G$3:$G$6,-1)</f>
        <v>2</v>
      </c>
      <c r="E15" s="185"/>
      <c r="F15" s="186"/>
    </row>
    <row r="16" spans="2:7" ht="15" customHeight="1">
      <c r="B16" s="185" t="s">
        <v>930</v>
      </c>
      <c r="C16" s="185">
        <v>45</v>
      </c>
      <c r="D16" s="185">
        <f>MATCH(C16,$G$3:$G$6,-1)</f>
        <v>1</v>
      </c>
      <c r="E16" s="185"/>
      <c r="F16" s="186"/>
    </row>
    <row r="17" spans="2:6" ht="15" customHeight="1">
      <c r="B17" s="185" t="s">
        <v>929</v>
      </c>
      <c r="C17" s="185">
        <v>23</v>
      </c>
      <c r="D17" s="185">
        <f>MATCH(C17,$G$3:$G$6,-1)</f>
        <v>4</v>
      </c>
      <c r="E17" s="185"/>
      <c r="F17" s="187"/>
    </row>
    <row r="18" spans="2:6" ht="15" customHeight="1">
      <c r="B18" t="s">
        <v>928</v>
      </c>
      <c r="C18">
        <v>49</v>
      </c>
      <c r="D18">
        <f>MATCH(C18,$G$3:$G$6,-1)</f>
        <v>1</v>
      </c>
      <c r="E18" s="185"/>
      <c r="F18" s="187"/>
    </row>
    <row r="19" spans="2:6" ht="15" customHeight="1">
      <c r="B19" t="s">
        <v>927</v>
      </c>
      <c r="C19">
        <v>50</v>
      </c>
      <c r="D19">
        <f>MATCH(C19,$G$3:$G$6,-1)</f>
        <v>1</v>
      </c>
      <c r="E19" s="185"/>
      <c r="F19" s="186"/>
    </row>
    <row r="20" spans="2:6" ht="15" customHeight="1">
      <c r="B20" t="s">
        <v>926</v>
      </c>
      <c r="C20">
        <v>19</v>
      </c>
      <c r="D20">
        <f>MATCH(C20,$G$3:$G$6,-1)</f>
        <v>4</v>
      </c>
      <c r="E20" s="185"/>
      <c r="F20" s="186"/>
    </row>
    <row r="21" spans="2:6" ht="15" customHeight="1">
      <c r="B21" t="s">
        <v>925</v>
      </c>
      <c r="C21">
        <v>17</v>
      </c>
      <c r="D21">
        <f>MATCH(C21,$G$3:$G$6,-1)</f>
        <v>4</v>
      </c>
      <c r="E21" s="185"/>
      <c r="F21" s="186"/>
    </row>
    <row r="22" spans="2:6" ht="15" customHeight="1">
      <c r="B22" s="185" t="s">
        <v>924</v>
      </c>
      <c r="C22" s="185">
        <v>31</v>
      </c>
      <c r="D22" s="185">
        <f>MATCH(C22,$G$3:$G$6,-1)</f>
        <v>3</v>
      </c>
      <c r="E22" s="185"/>
      <c r="F22" s="186"/>
    </row>
    <row r="23" spans="2:6" ht="15" customHeight="1">
      <c r="B23" t="s">
        <v>923</v>
      </c>
      <c r="C23">
        <v>19</v>
      </c>
      <c r="D23">
        <f>MATCH(C23,$G$3:$G$6,-1)</f>
        <v>4</v>
      </c>
      <c r="E23" s="185"/>
      <c r="F23" s="186"/>
    </row>
    <row r="24" spans="2:6" ht="15" customHeight="1">
      <c r="B24" t="s">
        <v>922</v>
      </c>
      <c r="C24">
        <v>47</v>
      </c>
      <c r="D24">
        <f>MATCH(C24,$G$3:$G$6,-1)</f>
        <v>1</v>
      </c>
      <c r="E24" s="185"/>
      <c r="F24" s="187"/>
    </row>
    <row r="25" spans="2:6" ht="15" customHeight="1">
      <c r="B25" t="s">
        <v>921</v>
      </c>
      <c r="C25">
        <v>47</v>
      </c>
      <c r="D25">
        <f>MATCH(C25,$G$3:$G$6,-1)</f>
        <v>1</v>
      </c>
      <c r="E25" s="185"/>
      <c r="F25" s="187"/>
    </row>
    <row r="26" spans="2:6">
      <c r="B26" s="185" t="s">
        <v>920</v>
      </c>
      <c r="C26" s="185">
        <v>27</v>
      </c>
      <c r="D26" s="185">
        <f>MATCH(C26,$G$3:$G$6,-1)</f>
        <v>3</v>
      </c>
      <c r="F26" s="186"/>
    </row>
    <row r="27" spans="2:6">
      <c r="B27" s="185" t="s">
        <v>919</v>
      </c>
      <c r="C27" s="185">
        <v>41</v>
      </c>
      <c r="D27" s="185">
        <f>MATCH(C27,$G$3:$G$6,-1)</f>
        <v>2</v>
      </c>
      <c r="F27" s="186"/>
    </row>
    <row r="28" spans="2:6">
      <c r="B28" s="185" t="s">
        <v>918</v>
      </c>
      <c r="C28" s="185">
        <v>42</v>
      </c>
      <c r="D28" s="185">
        <f>MATCH(C28,$G$3:$G$6,-1)</f>
        <v>2</v>
      </c>
      <c r="F28" s="55"/>
    </row>
    <row r="29" spans="2:6">
      <c r="B29" t="s">
        <v>917</v>
      </c>
      <c r="C29">
        <v>21</v>
      </c>
      <c r="D29">
        <f>MATCH(C29,$G$3:$G$6,-1)</f>
        <v>4</v>
      </c>
      <c r="F29" s="55"/>
    </row>
    <row r="30" spans="2:6">
      <c r="B30" s="185" t="s">
        <v>916</v>
      </c>
      <c r="C30" s="185">
        <v>39</v>
      </c>
      <c r="D30" s="185">
        <f>MATCH(C30,$G$3:$G$6,-1)</f>
        <v>2</v>
      </c>
      <c r="F30" s="55"/>
    </row>
    <row r="31" spans="2:6">
      <c r="B31" t="s">
        <v>915</v>
      </c>
      <c r="C31">
        <v>20</v>
      </c>
      <c r="D31">
        <f>MATCH(C31,$G$3:$G$6,-1)</f>
        <v>4</v>
      </c>
      <c r="F31" s="55"/>
    </row>
    <row r="32" spans="2:6">
      <c r="B32" s="185" t="s">
        <v>914</v>
      </c>
      <c r="C32" s="185">
        <v>27</v>
      </c>
      <c r="D32" s="185">
        <f>MATCH(C32,$G$3:$G$6,-1)</f>
        <v>3</v>
      </c>
      <c r="F32" s="55"/>
    </row>
    <row r="33" spans="6:6">
      <c r="F33" s="55"/>
    </row>
    <row r="34" spans="6:6">
      <c r="F34" s="55"/>
    </row>
    <row r="35" spans="6:6">
      <c r="F35" s="55"/>
    </row>
    <row r="36" spans="6:6">
      <c r="F36" s="55"/>
    </row>
    <row r="37" spans="6:6">
      <c r="F37" s="55"/>
    </row>
    <row r="38" spans="6:6">
      <c r="F38" s="55"/>
    </row>
    <row r="39" spans="6:6">
      <c r="F39" s="55"/>
    </row>
    <row r="40" spans="6:6">
      <c r="F40" s="55"/>
    </row>
    <row r="41" spans="6:6">
      <c r="F41" s="55"/>
    </row>
    <row r="42" spans="6:6">
      <c r="F42" s="55"/>
    </row>
    <row r="43" spans="6:6">
      <c r="F43" s="55"/>
    </row>
    <row r="44" spans="6:6">
      <c r="F44" s="55"/>
    </row>
    <row r="45" spans="6:6">
      <c r="F45" s="55"/>
    </row>
    <row r="46" spans="6:6">
      <c r="F46" s="55"/>
    </row>
    <row r="47" spans="6:6">
      <c r="F47" s="55"/>
    </row>
    <row r="48" spans="6:6">
      <c r="F48" s="55"/>
    </row>
    <row r="49" spans="6:6">
      <c r="F49" s="55"/>
    </row>
    <row r="50" spans="6:6">
      <c r="F50" s="55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32"/>
  <sheetViews>
    <sheetView workbookViewId="0">
      <selection activeCell="D8" sqref="D8"/>
    </sheetView>
  </sheetViews>
  <sheetFormatPr defaultRowHeight="15"/>
  <cols>
    <col min="1" max="1" width="4.42578125" customWidth="1"/>
    <col min="2" max="2" width="16.28515625" bestFit="1" customWidth="1"/>
    <col min="3" max="3" width="15.7109375" bestFit="1" customWidth="1"/>
    <col min="5" max="5" width="3.42578125" customWidth="1"/>
    <col min="6" max="6" width="35.7109375" customWidth="1"/>
    <col min="10" max="10" width="14.5703125" bestFit="1" customWidth="1"/>
    <col min="11" max="11" width="12.28515625" bestFit="1" customWidth="1"/>
  </cols>
  <sheetData>
    <row r="2" spans="2:11">
      <c r="B2" s="97" t="s">
        <v>949</v>
      </c>
      <c r="C2" s="97" t="s">
        <v>948</v>
      </c>
      <c r="D2" s="97" t="s">
        <v>947</v>
      </c>
    </row>
    <row r="3" spans="2:11">
      <c r="B3" t="s">
        <v>933</v>
      </c>
      <c r="C3">
        <v>17</v>
      </c>
      <c r="D3">
        <f>MATCH(C3,$K$3:$K$6,-1)</f>
        <v>4</v>
      </c>
      <c r="J3" t="s">
        <v>955</v>
      </c>
      <c r="K3" s="180">
        <f>QUARTILE($C$3:$C$32,5-ROW(A1))</f>
        <v>50</v>
      </c>
    </row>
    <row r="4" spans="2:11">
      <c r="B4" t="s">
        <v>925</v>
      </c>
      <c r="C4">
        <v>17</v>
      </c>
      <c r="D4">
        <f>MATCH(C4,$K$3:$K$6,-1)</f>
        <v>4</v>
      </c>
      <c r="J4" t="s">
        <v>944</v>
      </c>
      <c r="K4" s="180">
        <f>QUARTILE($C$3:$C$32,5-ROW(A2))</f>
        <v>44.5</v>
      </c>
    </row>
    <row r="5" spans="2:11">
      <c r="B5" t="s">
        <v>926</v>
      </c>
      <c r="C5">
        <v>19</v>
      </c>
      <c r="D5">
        <f>MATCH(C5,$K$3:$K$6,-1)</f>
        <v>4</v>
      </c>
      <c r="J5" t="s">
        <v>942</v>
      </c>
      <c r="K5" s="180">
        <f>QUARTILE($C$3:$C$32,5-ROW(A3))</f>
        <v>31</v>
      </c>
    </row>
    <row r="6" spans="2:11">
      <c r="B6" t="s">
        <v>923</v>
      </c>
      <c r="C6">
        <v>19</v>
      </c>
      <c r="D6">
        <f>MATCH(C6,$K$3:$K$6,-1)</f>
        <v>4</v>
      </c>
      <c r="J6" t="s">
        <v>940</v>
      </c>
      <c r="K6" s="180">
        <f>QUARTILE($C$3:$C$32,5-ROW(A4))</f>
        <v>23</v>
      </c>
    </row>
    <row r="7" spans="2:11">
      <c r="B7" t="s">
        <v>915</v>
      </c>
      <c r="C7">
        <v>20</v>
      </c>
      <c r="D7">
        <f>MATCH(C7,$K$3:$K$6,-1)</f>
        <v>4</v>
      </c>
    </row>
    <row r="8" spans="2:11">
      <c r="B8" t="s">
        <v>917</v>
      </c>
      <c r="C8">
        <v>21</v>
      </c>
      <c r="D8">
        <f>MATCH(C8,$K$3:$K$6,-1)</f>
        <v>4</v>
      </c>
    </row>
    <row r="9" spans="2:11" ht="15.75" thickBot="1">
      <c r="B9" t="s">
        <v>932</v>
      </c>
      <c r="C9">
        <v>22</v>
      </c>
      <c r="D9">
        <f>MATCH(C9,$K$3:$K$6,-1)</f>
        <v>4</v>
      </c>
    </row>
    <row r="10" spans="2:11" ht="15.75" thickBot="1">
      <c r="B10" s="190" t="s">
        <v>937</v>
      </c>
      <c r="C10" s="190">
        <v>23</v>
      </c>
      <c r="D10" s="190">
        <f>MATCH(C10,$K$3:$K$6,-1)</f>
        <v>4</v>
      </c>
      <c r="E10" s="190"/>
      <c r="F10" s="189" t="s">
        <v>954</v>
      </c>
    </row>
    <row r="11" spans="2:11" ht="15.75" thickBot="1">
      <c r="B11" t="s">
        <v>929</v>
      </c>
      <c r="C11">
        <v>23</v>
      </c>
      <c r="D11">
        <f>MATCH(C11,$K$3:$K$6,-1)</f>
        <v>4</v>
      </c>
      <c r="F11" s="188"/>
      <c r="J11" t="s">
        <v>953</v>
      </c>
      <c r="K11" t="s">
        <v>952</v>
      </c>
    </row>
    <row r="12" spans="2:11">
      <c r="B12" t="s">
        <v>936</v>
      </c>
      <c r="C12">
        <v>27</v>
      </c>
      <c r="D12">
        <f>MATCH(C12,$K$3:$K$6,-1)</f>
        <v>3</v>
      </c>
      <c r="J12">
        <v>0.75</v>
      </c>
      <c r="K12">
        <f>J12*(COUNT($C$3:$C$32)-1)</f>
        <v>21.75</v>
      </c>
    </row>
    <row r="13" spans="2:11">
      <c r="B13" t="s">
        <v>920</v>
      </c>
      <c r="C13">
        <v>27</v>
      </c>
      <c r="D13">
        <f>MATCH(C13,$K$3:$K$6,-1)</f>
        <v>3</v>
      </c>
      <c r="J13">
        <v>0.5</v>
      </c>
      <c r="K13">
        <f>J13*(COUNT($C$3:$C$32)-1)</f>
        <v>14.5</v>
      </c>
    </row>
    <row r="14" spans="2:11">
      <c r="B14" t="s">
        <v>914</v>
      </c>
      <c r="C14">
        <v>27</v>
      </c>
      <c r="D14">
        <f>MATCH(C14,$K$3:$K$6,-1)</f>
        <v>3</v>
      </c>
      <c r="J14">
        <v>0.25</v>
      </c>
      <c r="K14">
        <f>J14*(COUNT($C$3:$C$32)-1)</f>
        <v>7.25</v>
      </c>
    </row>
    <row r="15" spans="2:11">
      <c r="B15" t="s">
        <v>939</v>
      </c>
      <c r="C15">
        <v>30</v>
      </c>
      <c r="D15">
        <f>MATCH(C15,$K$3:$K$6,-1)</f>
        <v>3</v>
      </c>
    </row>
    <row r="16" spans="2:11" ht="15.75" thickBot="1">
      <c r="B16" t="s">
        <v>938</v>
      </c>
      <c r="C16">
        <v>30</v>
      </c>
      <c r="D16">
        <f>MATCH(C16,$K$3:$K$6,-1)</f>
        <v>3</v>
      </c>
    </row>
    <row r="17" spans="2:6" ht="15.75" customHeight="1" thickBot="1">
      <c r="B17" s="190" t="s">
        <v>637</v>
      </c>
      <c r="C17" s="190">
        <v>31</v>
      </c>
      <c r="D17" s="190">
        <f>MATCH(C17,$K$3:$K$6,-1)</f>
        <v>3</v>
      </c>
      <c r="E17" s="190"/>
      <c r="F17" s="189" t="s">
        <v>951</v>
      </c>
    </row>
    <row r="18" spans="2:6" ht="15.75" customHeight="1" thickBot="1">
      <c r="B18" t="s">
        <v>924</v>
      </c>
      <c r="C18">
        <v>31</v>
      </c>
      <c r="D18">
        <f>MATCH(C18,$K$3:$K$6,-1)</f>
        <v>3</v>
      </c>
      <c r="F18" s="188"/>
    </row>
    <row r="19" spans="2:6">
      <c r="B19" t="s">
        <v>935</v>
      </c>
      <c r="C19">
        <v>34</v>
      </c>
      <c r="D19">
        <f>MATCH(C19,$K$3:$K$6,-1)</f>
        <v>2</v>
      </c>
    </row>
    <row r="20" spans="2:6">
      <c r="B20" t="s">
        <v>916</v>
      </c>
      <c r="C20">
        <v>39</v>
      </c>
      <c r="D20">
        <f>MATCH(C20,$K$3:$K$6,-1)</f>
        <v>2</v>
      </c>
    </row>
    <row r="21" spans="2:6">
      <c r="B21" t="s">
        <v>941</v>
      </c>
      <c r="C21">
        <v>41</v>
      </c>
      <c r="D21">
        <f>MATCH(C21,$K$3:$K$6,-1)</f>
        <v>2</v>
      </c>
    </row>
    <row r="22" spans="2:6">
      <c r="B22" t="s">
        <v>919</v>
      </c>
      <c r="C22">
        <v>41</v>
      </c>
      <c r="D22">
        <f>MATCH(C22,$K$3:$K$6,-1)</f>
        <v>2</v>
      </c>
    </row>
    <row r="23" spans="2:6" ht="15.75" thickBot="1">
      <c r="B23" t="s">
        <v>918</v>
      </c>
      <c r="C23">
        <v>42</v>
      </c>
      <c r="D23">
        <f>MATCH(C23,$K$3:$K$6,-1)</f>
        <v>2</v>
      </c>
    </row>
    <row r="24" spans="2:6" ht="15.75" customHeight="1" thickBot="1">
      <c r="B24" s="190" t="s">
        <v>931</v>
      </c>
      <c r="C24" s="190">
        <v>43</v>
      </c>
      <c r="D24" s="190">
        <f>MATCH(C24,$K$3:$K$6,-1)</f>
        <v>2</v>
      </c>
      <c r="E24" s="190"/>
      <c r="F24" s="189" t="s">
        <v>950</v>
      </c>
    </row>
    <row r="25" spans="2:6" ht="15.75" customHeight="1" thickBot="1">
      <c r="B25" t="s">
        <v>930</v>
      </c>
      <c r="C25">
        <v>45</v>
      </c>
      <c r="D25">
        <f>MATCH(C25,$K$3:$K$6,-1)</f>
        <v>1</v>
      </c>
      <c r="F25" s="188"/>
    </row>
    <row r="26" spans="2:6">
      <c r="B26" t="s">
        <v>946</v>
      </c>
      <c r="C26">
        <v>47</v>
      </c>
      <c r="D26">
        <f>MATCH(C26,$K$3:$K$6,-1)</f>
        <v>1</v>
      </c>
    </row>
    <row r="27" spans="2:6">
      <c r="B27" t="s">
        <v>922</v>
      </c>
      <c r="C27">
        <v>47</v>
      </c>
      <c r="D27">
        <f>MATCH(C27,$K$3:$K$6,-1)</f>
        <v>1</v>
      </c>
    </row>
    <row r="28" spans="2:6">
      <c r="B28" t="s">
        <v>921</v>
      </c>
      <c r="C28">
        <v>47</v>
      </c>
      <c r="D28">
        <f>MATCH(C28,$K$3:$K$6,-1)</f>
        <v>1</v>
      </c>
    </row>
    <row r="29" spans="2:6">
      <c r="B29" t="s">
        <v>934</v>
      </c>
      <c r="C29">
        <v>48</v>
      </c>
      <c r="D29">
        <f>MATCH(C29,$K$3:$K$6,-1)</f>
        <v>1</v>
      </c>
    </row>
    <row r="30" spans="2:6">
      <c r="B30" t="s">
        <v>928</v>
      </c>
      <c r="C30">
        <v>49</v>
      </c>
      <c r="D30">
        <f>MATCH(C30,$K$3:$K$6,-1)</f>
        <v>1</v>
      </c>
    </row>
    <row r="31" spans="2:6">
      <c r="B31" t="s">
        <v>943</v>
      </c>
      <c r="C31">
        <v>50</v>
      </c>
      <c r="D31">
        <f>MATCH(C31,$K$3:$K$6,-1)</f>
        <v>1</v>
      </c>
    </row>
    <row r="32" spans="2:6">
      <c r="B32" t="s">
        <v>927</v>
      </c>
      <c r="C32">
        <v>50</v>
      </c>
      <c r="D32">
        <f>MATCH(C32,$K$3:$K$6,-1)</f>
        <v>1</v>
      </c>
    </row>
  </sheetData>
  <mergeCells count="3">
    <mergeCell ref="F10:F11"/>
    <mergeCell ref="F17:F18"/>
    <mergeCell ref="F24:F25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G32"/>
  <sheetViews>
    <sheetView workbookViewId="0">
      <selection activeCell="D8" sqref="D8"/>
    </sheetView>
  </sheetViews>
  <sheetFormatPr defaultRowHeight="15"/>
  <cols>
    <col min="1" max="1" width="4.42578125" customWidth="1"/>
    <col min="2" max="2" width="16.28515625" bestFit="1" customWidth="1"/>
    <col min="3" max="3" width="15.7109375" bestFit="1" customWidth="1"/>
    <col min="5" max="5" width="3.42578125" customWidth="1"/>
    <col min="6" max="6" width="14.5703125" bestFit="1" customWidth="1"/>
  </cols>
  <sheetData>
    <row r="2" spans="2:7">
      <c r="B2" s="97" t="s">
        <v>949</v>
      </c>
      <c r="C2" s="97" t="s">
        <v>948</v>
      </c>
      <c r="D2" s="97" t="s">
        <v>947</v>
      </c>
    </row>
    <row r="3" spans="2:7">
      <c r="B3" t="s">
        <v>933</v>
      </c>
      <c r="C3">
        <v>17</v>
      </c>
      <c r="D3" t="e">
        <f ca="1">IF(C3&gt;=$G$4,1,MATCH(C3,$G$4:$G$6,-1)+1)</f>
        <v>#NAME?</v>
      </c>
      <c r="F3" s="145" t="s">
        <v>956</v>
      </c>
      <c r="G3" s="180"/>
    </row>
    <row r="4" spans="2:7">
      <c r="B4" t="s">
        <v>925</v>
      </c>
      <c r="C4">
        <v>17</v>
      </c>
      <c r="D4" t="e">
        <f ca="1">IF(C4&gt;=$G$4,1,MATCH(C4,$G$4:$G$6,-1)+1)</f>
        <v>#NAME?</v>
      </c>
      <c r="F4" t="s">
        <v>944</v>
      </c>
      <c r="G4" s="180" t="e">
        <f ca="1">_xlfn.QUARTILE.EXC($C$3:$C$32,4-ROW(A1))</f>
        <v>#NAME?</v>
      </c>
    </row>
    <row r="5" spans="2:7">
      <c r="B5" t="s">
        <v>926</v>
      </c>
      <c r="C5">
        <v>19</v>
      </c>
      <c r="D5" t="e">
        <f ca="1">IF(C5&gt;=$G$4,1,MATCH(C5,$G$4:$G$6,-1)+1)</f>
        <v>#NAME?</v>
      </c>
      <c r="F5" t="s">
        <v>942</v>
      </c>
      <c r="G5" s="180" t="e">
        <f ca="1">_xlfn.QUARTILE.EXC($C$3:$C$32,4-ROW(A2))</f>
        <v>#NAME?</v>
      </c>
    </row>
    <row r="6" spans="2:7">
      <c r="B6" t="s">
        <v>923</v>
      </c>
      <c r="C6">
        <v>19</v>
      </c>
      <c r="D6" t="e">
        <f ca="1">IF(C6&gt;=$G$4,1,MATCH(C6,$G$4:$G$6,-1)+1)</f>
        <v>#NAME?</v>
      </c>
      <c r="F6" t="s">
        <v>940</v>
      </c>
      <c r="G6" s="180" t="e">
        <f ca="1">_xlfn.QUARTILE.EXC($C$3:$C$32,4-ROW(A3))</f>
        <v>#NAME?</v>
      </c>
    </row>
    <row r="7" spans="2:7">
      <c r="B7" t="s">
        <v>915</v>
      </c>
      <c r="C7">
        <v>20</v>
      </c>
      <c r="D7" t="e">
        <f ca="1">IF(C7&gt;=$G$4,1,MATCH(C7,$G$4:$G$6,-1)+1)</f>
        <v>#NAME?</v>
      </c>
    </row>
    <row r="8" spans="2:7">
      <c r="B8" t="s">
        <v>917</v>
      </c>
      <c r="C8">
        <v>21</v>
      </c>
      <c r="D8" t="e">
        <f ca="1">IF(C8&gt;=$G$4,1,MATCH(C8,$G$4:$G$6,-1)+1)</f>
        <v>#NAME?</v>
      </c>
      <c r="F8" s="185"/>
    </row>
    <row r="9" spans="2:7">
      <c r="B9" t="s">
        <v>932</v>
      </c>
      <c r="C9">
        <v>22</v>
      </c>
      <c r="D9" t="e">
        <f ca="1">IF(C9&gt;=$G$4,1,MATCH(C9,$G$4:$G$6,-1)+1)</f>
        <v>#NAME?</v>
      </c>
      <c r="F9" s="185"/>
    </row>
    <row r="10" spans="2:7" ht="15" customHeight="1">
      <c r="B10" s="185" t="s">
        <v>937</v>
      </c>
      <c r="C10" s="185">
        <v>23</v>
      </c>
      <c r="D10" t="e">
        <f ca="1">IF(C10&gt;=$G$4,1,MATCH(C10,$G$4:$G$6,-1)+1)</f>
        <v>#NAME?</v>
      </c>
      <c r="E10" s="185"/>
      <c r="F10" s="187"/>
    </row>
    <row r="11" spans="2:7" ht="15" customHeight="1">
      <c r="B11" s="185" t="s">
        <v>929</v>
      </c>
      <c r="C11" s="185">
        <v>23</v>
      </c>
      <c r="D11" t="e">
        <f ca="1">IF(C11&gt;=$G$4,1,MATCH(C11,$G$4:$G$6,-1)+1)</f>
        <v>#NAME?</v>
      </c>
      <c r="E11" s="185"/>
      <c r="F11" s="187"/>
    </row>
    <row r="12" spans="2:7" ht="15" customHeight="1">
      <c r="B12" s="185" t="s">
        <v>936</v>
      </c>
      <c r="C12" s="185">
        <v>27</v>
      </c>
      <c r="D12" t="e">
        <f ca="1">IF(C12&gt;=$G$4,1,MATCH(C12,$G$4:$G$6,-1)+1)</f>
        <v>#NAME?</v>
      </c>
      <c r="E12" s="185"/>
      <c r="F12" s="186"/>
    </row>
    <row r="13" spans="2:7" ht="15" customHeight="1">
      <c r="B13" s="185" t="s">
        <v>920</v>
      </c>
      <c r="C13" s="185">
        <v>27</v>
      </c>
      <c r="D13" t="e">
        <f ca="1">IF(C13&gt;=$G$4,1,MATCH(C13,$G$4:$G$6,-1)+1)</f>
        <v>#NAME?</v>
      </c>
      <c r="E13" s="185"/>
      <c r="F13" s="186"/>
    </row>
    <row r="14" spans="2:7" ht="15" customHeight="1">
      <c r="B14" s="185" t="s">
        <v>914</v>
      </c>
      <c r="C14" s="185">
        <v>27</v>
      </c>
      <c r="D14" t="e">
        <f ca="1">IF(C14&gt;=$G$4,1,MATCH(C14,$G$4:$G$6,-1)+1)</f>
        <v>#NAME?</v>
      </c>
      <c r="E14" s="185"/>
      <c r="F14" s="186"/>
    </row>
    <row r="15" spans="2:7" ht="15" customHeight="1">
      <c r="B15" s="185" t="s">
        <v>939</v>
      </c>
      <c r="C15" s="185">
        <v>30</v>
      </c>
      <c r="D15" t="e">
        <f ca="1">IF(C15&gt;=$G$4,1,MATCH(C15,$G$4:$G$6,-1)+1)</f>
        <v>#NAME?</v>
      </c>
      <c r="E15" s="185"/>
      <c r="F15" s="186"/>
    </row>
    <row r="16" spans="2:7" ht="15" customHeight="1">
      <c r="B16" s="185" t="s">
        <v>938</v>
      </c>
      <c r="C16" s="185">
        <v>30</v>
      </c>
      <c r="D16" t="e">
        <f ca="1">IF(C16&gt;=$G$4,1,MATCH(C16,$G$4:$G$6,-1)+1)</f>
        <v>#NAME?</v>
      </c>
      <c r="E16" s="185"/>
      <c r="F16" s="186"/>
    </row>
    <row r="17" spans="2:6" ht="15" customHeight="1">
      <c r="B17" s="185" t="s">
        <v>637</v>
      </c>
      <c r="C17" s="185">
        <v>31</v>
      </c>
      <c r="D17" t="e">
        <f ca="1">IF(C17&gt;=$G$4,1,MATCH(C17,$G$4:$G$6,-1)+1)</f>
        <v>#NAME?</v>
      </c>
      <c r="E17" s="185"/>
      <c r="F17" s="187"/>
    </row>
    <row r="18" spans="2:6" ht="15" customHeight="1">
      <c r="B18" s="185" t="s">
        <v>924</v>
      </c>
      <c r="C18" s="185">
        <v>31</v>
      </c>
      <c r="D18" t="e">
        <f ca="1">IF(C18&gt;=$G$4,1,MATCH(C18,$G$4:$G$6,-1)+1)</f>
        <v>#NAME?</v>
      </c>
      <c r="E18" s="185"/>
      <c r="F18" s="187"/>
    </row>
    <row r="19" spans="2:6" ht="15" customHeight="1">
      <c r="B19" s="185" t="s">
        <v>935</v>
      </c>
      <c r="C19" s="185">
        <v>34</v>
      </c>
      <c r="D19" t="e">
        <f ca="1">IF(C19&gt;=$G$4,1,MATCH(C19,$G$4:$G$6,-1)+1)</f>
        <v>#NAME?</v>
      </c>
      <c r="E19" s="185"/>
      <c r="F19" s="186"/>
    </row>
    <row r="20" spans="2:6" ht="15" customHeight="1">
      <c r="B20" s="185" t="s">
        <v>916</v>
      </c>
      <c r="C20" s="185">
        <v>39</v>
      </c>
      <c r="D20" t="e">
        <f ca="1">IF(C20&gt;=$G$4,1,MATCH(C20,$G$4:$G$6,-1)+1)</f>
        <v>#NAME?</v>
      </c>
      <c r="E20" s="185"/>
      <c r="F20" s="186"/>
    </row>
    <row r="21" spans="2:6" ht="15" customHeight="1">
      <c r="B21" s="185" t="s">
        <v>941</v>
      </c>
      <c r="C21" s="185">
        <v>41</v>
      </c>
      <c r="D21" t="e">
        <f ca="1">IF(C21&gt;=$G$4,1,MATCH(C21,$G$4:$G$6,-1)+1)</f>
        <v>#NAME?</v>
      </c>
      <c r="E21" s="185"/>
      <c r="F21" s="186"/>
    </row>
    <row r="22" spans="2:6" ht="15" customHeight="1">
      <c r="B22" s="185" t="s">
        <v>919</v>
      </c>
      <c r="C22" s="185">
        <v>41</v>
      </c>
      <c r="D22" t="e">
        <f ca="1">IF(C22&gt;=$G$4,1,MATCH(C22,$G$4:$G$6,-1)+1)</f>
        <v>#NAME?</v>
      </c>
      <c r="E22" s="185"/>
      <c r="F22" s="186"/>
    </row>
    <row r="23" spans="2:6" ht="15" customHeight="1">
      <c r="B23" s="185" t="s">
        <v>918</v>
      </c>
      <c r="C23" s="185">
        <v>42</v>
      </c>
      <c r="D23" t="e">
        <f ca="1">IF(C23&gt;=$G$4,1,MATCH(C23,$G$4:$G$6,-1)+1)</f>
        <v>#NAME?</v>
      </c>
      <c r="E23" s="185"/>
      <c r="F23" s="186"/>
    </row>
    <row r="24" spans="2:6" ht="15" customHeight="1">
      <c r="B24" s="185" t="s">
        <v>931</v>
      </c>
      <c r="C24" s="185">
        <v>43</v>
      </c>
      <c r="D24" t="e">
        <f ca="1">IF(C24&gt;=$G$4,1,MATCH(C24,$G$4:$G$6,-1)+1)</f>
        <v>#NAME?</v>
      </c>
      <c r="E24" s="185"/>
      <c r="F24" s="187"/>
    </row>
    <row r="25" spans="2:6" ht="18.75">
      <c r="B25" s="185" t="s">
        <v>930</v>
      </c>
      <c r="C25" s="185">
        <v>45</v>
      </c>
      <c r="D25" t="e">
        <f ca="1">IF(C25&gt;=$G$4,1,MATCH(C25,$G$4:$G$6,-1)+1)</f>
        <v>#NAME?</v>
      </c>
      <c r="E25" s="185"/>
      <c r="F25" s="187"/>
    </row>
    <row r="26" spans="2:6">
      <c r="B26" t="s">
        <v>946</v>
      </c>
      <c r="C26">
        <v>47</v>
      </c>
      <c r="D26" t="e">
        <f ca="1">IF(C26&gt;=$G$4,1,MATCH(C26,$G$4:$G$6,-1)+1)</f>
        <v>#NAME?</v>
      </c>
      <c r="F26" s="186"/>
    </row>
    <row r="27" spans="2:6">
      <c r="B27" t="s">
        <v>922</v>
      </c>
      <c r="C27">
        <v>47</v>
      </c>
      <c r="D27" t="e">
        <f ca="1">IF(C27&gt;=$G$4,1,MATCH(C27,$G$4:$G$6,-1)+1)</f>
        <v>#NAME?</v>
      </c>
      <c r="F27" s="185"/>
    </row>
    <row r="28" spans="2:6">
      <c r="B28" t="s">
        <v>921</v>
      </c>
      <c r="C28">
        <v>47</v>
      </c>
      <c r="D28" t="e">
        <f ca="1">IF(C28&gt;=$G$4,1,MATCH(C28,$G$4:$G$6,-1)+1)</f>
        <v>#NAME?</v>
      </c>
    </row>
    <row r="29" spans="2:6">
      <c r="B29" t="s">
        <v>934</v>
      </c>
      <c r="C29">
        <v>48</v>
      </c>
      <c r="D29" t="e">
        <f ca="1">IF(C29&gt;=$G$4,1,MATCH(C29,$G$4:$G$6,-1)+1)</f>
        <v>#NAME?</v>
      </c>
    </row>
    <row r="30" spans="2:6">
      <c r="B30" t="s">
        <v>928</v>
      </c>
      <c r="C30">
        <v>49</v>
      </c>
      <c r="D30" t="e">
        <f ca="1">IF(C30&gt;=$G$4,1,MATCH(C30,$G$4:$G$6,-1)+1)</f>
        <v>#NAME?</v>
      </c>
    </row>
    <row r="31" spans="2:6">
      <c r="B31" t="s">
        <v>943</v>
      </c>
      <c r="C31">
        <v>50</v>
      </c>
      <c r="D31" t="e">
        <f ca="1">IF(C31&gt;=$G$4,1,MATCH(C31,$G$4:$G$6,-1)+1)</f>
        <v>#NAME?</v>
      </c>
    </row>
    <row r="32" spans="2:6">
      <c r="B32" t="s">
        <v>927</v>
      </c>
      <c r="C32">
        <v>50</v>
      </c>
      <c r="D32" t="e">
        <f ca="1">IF(C32&gt;=$G$4,1,MATCH(C32,$G$4:$G$6,-1)+1)</f>
        <v>#NAME?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G41"/>
  <sheetViews>
    <sheetView workbookViewId="0">
      <selection activeCell="D8" sqref="D8"/>
    </sheetView>
  </sheetViews>
  <sheetFormatPr defaultRowHeight="15"/>
  <cols>
    <col min="1" max="1" width="4.42578125" customWidth="1"/>
    <col min="2" max="2" width="16.28515625" bestFit="1" customWidth="1"/>
    <col min="3" max="3" width="15.7109375" bestFit="1" customWidth="1"/>
    <col min="4" max="4" width="11.7109375" bestFit="1" customWidth="1"/>
    <col min="5" max="5" width="3.42578125" customWidth="1"/>
    <col min="6" max="6" width="19.85546875" customWidth="1"/>
  </cols>
  <sheetData>
    <row r="2" spans="2:7">
      <c r="B2" s="97" t="s">
        <v>949</v>
      </c>
      <c r="C2" s="97" t="s">
        <v>948</v>
      </c>
      <c r="D2" s="97" t="s">
        <v>961</v>
      </c>
    </row>
    <row r="3" spans="2:7">
      <c r="B3" s="185" t="s">
        <v>637</v>
      </c>
      <c r="C3" s="100">
        <v>64</v>
      </c>
      <c r="D3" t="e">
        <f ca="1">IF(C3&lt;$G$10,"Low",IF(C3&gt;$G$9,"High",""))</f>
        <v>#NAME?</v>
      </c>
      <c r="F3" s="145"/>
      <c r="G3" s="180"/>
    </row>
    <row r="4" spans="2:7">
      <c r="B4" s="185" t="s">
        <v>941</v>
      </c>
      <c r="C4" s="100">
        <v>104</v>
      </c>
      <c r="D4" t="e">
        <f ca="1">IF(C4&lt;$G$10,"Low",IF(C4&gt;$G$9,"High",""))</f>
        <v>#NAME?</v>
      </c>
      <c r="F4" s="196" t="s">
        <v>944</v>
      </c>
      <c r="G4" s="195" t="e">
        <f ca="1">_xlfn.QUARTILE.EXC($C$3:$C$22,3)</f>
        <v>#NAME?</v>
      </c>
    </row>
    <row r="5" spans="2:7">
      <c r="B5" s="185" t="s">
        <v>939</v>
      </c>
      <c r="C5" s="100">
        <v>44</v>
      </c>
      <c r="D5" t="e">
        <f ca="1">IF(C5&lt;$G$10,"Low",IF(C5&gt;$G$9,"High",""))</f>
        <v>#NAME?</v>
      </c>
      <c r="F5" s="194" t="s">
        <v>940</v>
      </c>
      <c r="G5" s="198" t="e">
        <f ca="1">_xlfn.QUARTILE.EXC($C$3:$C$22,1)</f>
        <v>#NAME?</v>
      </c>
    </row>
    <row r="6" spans="2:7">
      <c r="B6" s="185" t="s">
        <v>938</v>
      </c>
      <c r="C6" s="100">
        <v>56</v>
      </c>
      <c r="D6" t="e">
        <f ca="1">IF(C6&lt;$G$10,"Low",IF(C6&gt;$G$9,"High",""))</f>
        <v>#NAME?</v>
      </c>
      <c r="F6" s="192" t="s">
        <v>960</v>
      </c>
      <c r="G6" s="197" t="e">
        <f ca="1">G4-G5</f>
        <v>#NAME?</v>
      </c>
    </row>
    <row r="7" spans="2:7">
      <c r="B7" s="185" t="s">
        <v>937</v>
      </c>
      <c r="C7" s="100">
        <v>46</v>
      </c>
      <c r="D7" t="e">
        <f ca="1">IF(C7&lt;$G$10,"Low",IF(C7&gt;$G$9,"High",""))</f>
        <v>#NAME?</v>
      </c>
      <c r="F7" s="134"/>
      <c r="G7" s="180"/>
    </row>
    <row r="8" spans="2:7">
      <c r="B8" s="185" t="s">
        <v>936</v>
      </c>
      <c r="C8" s="100">
        <v>46</v>
      </c>
      <c r="D8" t="e">
        <f ca="1">IF(C8&lt;$G$10,"Low",IF(C8&gt;$G$9,"High",""))</f>
        <v>#NAME?</v>
      </c>
      <c r="F8" s="196" t="s">
        <v>959</v>
      </c>
      <c r="G8" s="195">
        <v>1.5</v>
      </c>
    </row>
    <row r="9" spans="2:7">
      <c r="B9" s="185" t="s">
        <v>935</v>
      </c>
      <c r="C9" s="100">
        <v>66</v>
      </c>
      <c r="D9" t="e">
        <f ca="1">IF(C9&lt;$G$10,"Low",IF(C9&gt;$G$9,"High",""))</f>
        <v>#NAME?</v>
      </c>
      <c r="F9" s="194" t="s">
        <v>958</v>
      </c>
      <c r="G9" s="193" t="e">
        <f ca="1">G4+(G6*G8)</f>
        <v>#NAME?</v>
      </c>
    </row>
    <row r="10" spans="2:7" ht="15" customHeight="1">
      <c r="B10" t="s">
        <v>933</v>
      </c>
      <c r="C10" s="100">
        <v>6</v>
      </c>
      <c r="D10" t="e">
        <f ca="1">IF(C10&lt;$G$10,"Low",IF(C10&gt;$G$9,"High",""))</f>
        <v>#NAME?</v>
      </c>
      <c r="E10" s="185"/>
      <c r="F10" s="192" t="s">
        <v>957</v>
      </c>
      <c r="G10" s="191" t="e">
        <f ca="1">G5-(G6*G8)</f>
        <v>#NAME?</v>
      </c>
    </row>
    <row r="11" spans="2:7" ht="15" customHeight="1">
      <c r="B11" t="s">
        <v>932</v>
      </c>
      <c r="C11" s="100">
        <v>47</v>
      </c>
      <c r="D11" t="e">
        <f ca="1">IF(C11&lt;$G$10,"Low",IF(C11&gt;$G$9,"High",""))</f>
        <v>#NAME?</v>
      </c>
      <c r="E11" s="185"/>
      <c r="F11" s="187"/>
    </row>
    <row r="12" spans="2:7" ht="15" customHeight="1">
      <c r="B12" s="185" t="s">
        <v>929</v>
      </c>
      <c r="C12" s="100">
        <v>52</v>
      </c>
      <c r="D12" t="e">
        <f ca="1">IF(C12&lt;$G$10,"Low",IF(C12&gt;$G$9,"High",""))</f>
        <v>#NAME?</v>
      </c>
      <c r="E12" s="185"/>
      <c r="F12" s="187"/>
    </row>
    <row r="13" spans="2:7" ht="15" customHeight="1">
      <c r="B13" t="s">
        <v>926</v>
      </c>
      <c r="C13" s="100">
        <v>10</v>
      </c>
      <c r="D13" t="e">
        <f ca="1">IF(C13&lt;$G$10,"Low",IF(C13&gt;$G$9,"High",""))</f>
        <v>#NAME?</v>
      </c>
      <c r="E13" s="185"/>
      <c r="F13" s="186"/>
    </row>
    <row r="14" spans="2:7" ht="15" customHeight="1">
      <c r="B14" t="s">
        <v>925</v>
      </c>
      <c r="C14" s="100">
        <v>5</v>
      </c>
      <c r="D14" t="e">
        <f ca="1">IF(C14&lt;$G$10,"Low",IF(C14&gt;$G$9,"High",""))</f>
        <v>#NAME?</v>
      </c>
      <c r="E14" s="185"/>
      <c r="F14" s="186"/>
    </row>
    <row r="15" spans="2:7" ht="15" customHeight="1">
      <c r="B15" s="185" t="s">
        <v>924</v>
      </c>
      <c r="C15" s="100">
        <v>46</v>
      </c>
      <c r="D15" t="e">
        <f ca="1">IF(C15&lt;$G$10,"Low",IF(C15&gt;$G$9,"High",""))</f>
        <v>#NAME?</v>
      </c>
      <c r="E15" s="185"/>
      <c r="F15" s="186"/>
    </row>
    <row r="16" spans="2:7" ht="15" customHeight="1">
      <c r="B16" t="s">
        <v>923</v>
      </c>
      <c r="C16" s="100">
        <v>7</v>
      </c>
      <c r="D16" t="e">
        <f ca="1">IF(C16&lt;$G$10,"Low",IF(C16&gt;$G$9,"High",""))</f>
        <v>#NAME?</v>
      </c>
      <c r="E16" s="185"/>
      <c r="F16" s="186"/>
    </row>
    <row r="17" spans="2:6" ht="15" customHeight="1">
      <c r="B17" s="185" t="s">
        <v>920</v>
      </c>
      <c r="C17" s="100">
        <v>46</v>
      </c>
      <c r="D17" t="e">
        <f ca="1">IF(C17&lt;$G$10,"Low",IF(C17&gt;$G$9,"High",""))</f>
        <v>#NAME?</v>
      </c>
      <c r="E17" s="185"/>
      <c r="F17" s="186"/>
    </row>
    <row r="18" spans="2:6" ht="15" customHeight="1">
      <c r="B18" s="185" t="s">
        <v>919</v>
      </c>
      <c r="C18" s="100">
        <v>110</v>
      </c>
      <c r="D18" t="e">
        <f ca="1">IF(C18&lt;$G$10,"Low",IF(C18&gt;$G$9,"High",""))</f>
        <v>#NAME?</v>
      </c>
      <c r="E18" s="185"/>
      <c r="F18" s="187"/>
    </row>
    <row r="19" spans="2:6" ht="15" customHeight="1">
      <c r="B19" t="s">
        <v>917</v>
      </c>
      <c r="C19" s="100">
        <v>90</v>
      </c>
      <c r="D19" t="e">
        <f ca="1">IF(C19&lt;$G$10,"Low",IF(C19&gt;$G$9,"High",""))</f>
        <v>#NAME?</v>
      </c>
      <c r="E19" s="185"/>
      <c r="F19" s="187"/>
    </row>
    <row r="20" spans="2:6" ht="15" customHeight="1">
      <c r="B20" s="185" t="s">
        <v>916</v>
      </c>
      <c r="C20" s="100">
        <v>101</v>
      </c>
      <c r="D20" t="e">
        <f ca="1">IF(C20&lt;$G$10,"Low",IF(C20&gt;$G$9,"High",""))</f>
        <v>#NAME?</v>
      </c>
      <c r="E20" s="185"/>
      <c r="F20" s="186"/>
    </row>
    <row r="21" spans="2:6" ht="15" customHeight="1">
      <c r="B21" t="s">
        <v>915</v>
      </c>
      <c r="C21" s="100">
        <v>42</v>
      </c>
      <c r="D21" t="e">
        <f ca="1">IF(C21&lt;$G$10,"Low",IF(C21&gt;$G$9,"High",""))</f>
        <v>#NAME?</v>
      </c>
      <c r="E21" s="185"/>
      <c r="F21" s="186"/>
    </row>
    <row r="22" spans="2:6" ht="15" customHeight="1">
      <c r="B22" s="185" t="s">
        <v>914</v>
      </c>
      <c r="C22" s="100">
        <v>52</v>
      </c>
      <c r="D22" t="e">
        <f ca="1">IF(C22&lt;$G$10,"Low",IF(C22&gt;$G$9,"High",""))</f>
        <v>#NAME?</v>
      </c>
      <c r="E22" s="185"/>
      <c r="F22" s="186"/>
    </row>
    <row r="23" spans="2:6" ht="15" customHeight="1">
      <c r="F23" s="186"/>
    </row>
    <row r="24" spans="2:6" ht="15" customHeight="1">
      <c r="F24" s="55"/>
    </row>
    <row r="25" spans="2:6" ht="15" customHeight="1">
      <c r="F25" s="55"/>
    </row>
    <row r="26" spans="2:6" ht="15" customHeight="1">
      <c r="F26" s="55"/>
    </row>
    <row r="27" spans="2:6" ht="15" customHeight="1">
      <c r="F27" s="55"/>
    </row>
    <row r="28" spans="2:6" ht="15" customHeight="1">
      <c r="F28" s="55"/>
    </row>
    <row r="29" spans="2:6" ht="15" customHeight="1">
      <c r="F29" s="55"/>
    </row>
    <row r="30" spans="2:6" ht="15" customHeight="1">
      <c r="F30" s="55"/>
    </row>
    <row r="31" spans="2:6" ht="15" customHeight="1">
      <c r="F31" s="55"/>
    </row>
    <row r="32" spans="2:6" ht="15" customHeight="1">
      <c r="F32" s="55"/>
    </row>
    <row r="33" spans="6:6" ht="15" customHeight="1">
      <c r="F33" s="55"/>
    </row>
    <row r="34" spans="6:6" ht="15" customHeight="1">
      <c r="F34" s="55"/>
    </row>
    <row r="35" spans="6:6" ht="15" customHeight="1">
      <c r="F35" s="55"/>
    </row>
    <row r="36" spans="6:6" ht="15" customHeight="1">
      <c r="F36" s="55"/>
    </row>
    <row r="37" spans="6:6" ht="15" customHeight="1">
      <c r="F37" s="55"/>
    </row>
    <row r="38" spans="6:6" ht="15" customHeight="1">
      <c r="F38" s="55"/>
    </row>
    <row r="39" spans="6:6" ht="15" customHeight="1">
      <c r="F39" s="55"/>
    </row>
    <row r="40" spans="6:6" ht="15" customHeight="1">
      <c r="F40" s="55"/>
    </row>
    <row r="41" spans="6:6">
      <c r="F41" s="55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K41"/>
  <sheetViews>
    <sheetView workbookViewId="0">
      <selection activeCell="D8" sqref="D8"/>
    </sheetView>
  </sheetViews>
  <sheetFormatPr defaultRowHeight="15"/>
  <cols>
    <col min="1" max="1" width="4.42578125" customWidth="1"/>
    <col min="2" max="2" width="16.28515625" bestFit="1" customWidth="1"/>
    <col min="3" max="3" width="15.7109375" bestFit="1" customWidth="1"/>
    <col min="4" max="4" width="11.7109375" bestFit="1" customWidth="1"/>
    <col min="5" max="5" width="4.5703125" customWidth="1"/>
    <col min="6" max="6" width="18.85546875" customWidth="1"/>
    <col min="7" max="7" width="1.7109375" customWidth="1"/>
    <col min="8" max="8" width="23.85546875" customWidth="1"/>
    <col min="9" max="9" width="17.7109375" customWidth="1"/>
    <col min="10" max="10" width="19.7109375" bestFit="1" customWidth="1"/>
  </cols>
  <sheetData>
    <row r="2" spans="2:11">
      <c r="B2" s="97" t="s">
        <v>949</v>
      </c>
      <c r="C2" s="97" t="s">
        <v>948</v>
      </c>
      <c r="D2" s="97" t="s">
        <v>961</v>
      </c>
    </row>
    <row r="3" spans="2:11" ht="15.75" thickBot="1">
      <c r="B3" t="s">
        <v>925</v>
      </c>
      <c r="C3" s="100">
        <v>5</v>
      </c>
      <c r="D3" t="e">
        <f ca="1">IF(C3&lt;$K$10,"Low",IF(C3&gt;$K$9,"High",""))</f>
        <v>#NAME?</v>
      </c>
      <c r="J3" s="145"/>
      <c r="K3" s="180"/>
    </row>
    <row r="4" spans="2:11" ht="21.95" customHeight="1" thickBot="1">
      <c r="B4" t="s">
        <v>933</v>
      </c>
      <c r="C4" s="100">
        <v>6</v>
      </c>
      <c r="D4" t="e">
        <f ca="1">IF(C4&lt;$K$10,"Low",IF(C4&gt;$K$9,"High",""))</f>
        <v>#NAME?</v>
      </c>
      <c r="E4" s="209"/>
      <c r="F4" s="201" t="s">
        <v>966</v>
      </c>
      <c r="G4" s="199"/>
      <c r="J4" s="196" t="s">
        <v>944</v>
      </c>
      <c r="K4" s="195" t="e">
        <f ca="1">_xlfn.QUARTILE.EXC($C$3:$C$22,3)</f>
        <v>#NAME?</v>
      </c>
    </row>
    <row r="5" spans="2:11" ht="21.95" customHeight="1" thickBot="1">
      <c r="B5" s="190" t="s">
        <v>923</v>
      </c>
      <c r="C5" s="203">
        <v>7</v>
      </c>
      <c r="D5" s="190" t="e">
        <f ca="1">IF(C5&lt;$K$10,"Low",IF(C5&gt;$K$9,"High",""))</f>
        <v>#NAME?</v>
      </c>
      <c r="E5" s="212"/>
      <c r="F5" s="200"/>
      <c r="G5" s="199"/>
      <c r="J5" s="194" t="s">
        <v>940</v>
      </c>
      <c r="K5" s="198" t="e">
        <f ca="1">_xlfn.QUARTILE.EXC($C$3:$C$22,1)</f>
        <v>#NAME?</v>
      </c>
    </row>
    <row r="6" spans="2:11" ht="21.95" customHeight="1" thickBot="1">
      <c r="B6" s="205" t="s">
        <v>926</v>
      </c>
      <c r="C6" s="211">
        <v>10</v>
      </c>
      <c r="D6" s="205" t="e">
        <f ca="1">IF(C6&lt;$K$10,"Low",IF(C6&gt;$K$9,"High",""))</f>
        <v>#NAME?</v>
      </c>
      <c r="E6" s="205"/>
      <c r="F6" s="205"/>
      <c r="G6" s="204"/>
      <c r="H6" s="201" t="s">
        <v>965</v>
      </c>
      <c r="J6" s="192" t="s">
        <v>960</v>
      </c>
      <c r="K6" s="197" t="e">
        <f ca="1">K4-K5</f>
        <v>#NAME?</v>
      </c>
    </row>
    <row r="7" spans="2:11" ht="21.95" customHeight="1" thickBot="1">
      <c r="B7" s="190" t="s">
        <v>915</v>
      </c>
      <c r="C7" s="203">
        <v>42</v>
      </c>
      <c r="D7" s="190" t="e">
        <f ca="1">IF(C7&lt;$K$10,"Low",IF(C7&gt;$K$9,"High",""))</f>
        <v>#NAME?</v>
      </c>
      <c r="H7" s="200"/>
      <c r="J7" s="134"/>
      <c r="K7" s="180"/>
    </row>
    <row r="8" spans="2:11" ht="21.95" customHeight="1" thickBot="1">
      <c r="B8" s="185" t="s">
        <v>939</v>
      </c>
      <c r="C8" s="100">
        <v>44</v>
      </c>
      <c r="D8" t="e">
        <f ca="1">IF(C8&lt;$K$10,"Low",IF(C8&gt;$K$9,"High",""))</f>
        <v>#NAME?</v>
      </c>
      <c r="E8" s="202"/>
      <c r="F8" s="201" t="s">
        <v>964</v>
      </c>
      <c r="G8" s="199"/>
      <c r="J8" s="196" t="s">
        <v>959</v>
      </c>
      <c r="K8" s="195">
        <v>1.5</v>
      </c>
    </row>
    <row r="9" spans="2:11" ht="21.95" customHeight="1" thickBot="1">
      <c r="B9" s="185" t="s">
        <v>937</v>
      </c>
      <c r="C9" s="100">
        <v>46</v>
      </c>
      <c r="D9" t="e">
        <f ca="1">IF(C9&lt;$K$10,"Low",IF(C9&gt;$K$9,"High",""))</f>
        <v>#NAME?</v>
      </c>
      <c r="F9" s="200"/>
      <c r="G9" s="199"/>
      <c r="J9" s="194" t="s">
        <v>958</v>
      </c>
      <c r="K9" s="193" t="e">
        <f ca="1">K4+(K6*K8)</f>
        <v>#NAME?</v>
      </c>
    </row>
    <row r="10" spans="2:11" ht="15" customHeight="1">
      <c r="B10" s="185" t="s">
        <v>936</v>
      </c>
      <c r="C10" s="100">
        <v>46</v>
      </c>
      <c r="D10" t="e">
        <f ca="1">IF(C10&lt;$K$10,"Low",IF(C10&gt;$K$9,"High",""))</f>
        <v>#NAME?</v>
      </c>
      <c r="E10" s="185"/>
      <c r="F10" s="185"/>
      <c r="G10" s="185"/>
      <c r="H10" s="185"/>
      <c r="I10" s="185"/>
      <c r="J10" s="192" t="s">
        <v>957</v>
      </c>
      <c r="K10" s="191" t="e">
        <f ca="1">K5-(K6*K8)</f>
        <v>#NAME?</v>
      </c>
    </row>
    <row r="11" spans="2:11" ht="15" customHeight="1">
      <c r="B11" s="185" t="s">
        <v>924</v>
      </c>
      <c r="C11" s="100">
        <v>46</v>
      </c>
      <c r="D11" t="e">
        <f ca="1">IF(C11&lt;$K$10,"Low",IF(C11&gt;$K$9,"High",""))</f>
        <v>#NAME?</v>
      </c>
      <c r="E11" s="185"/>
      <c r="F11" s="185"/>
      <c r="G11" s="185"/>
      <c r="H11" s="185"/>
      <c r="I11" s="185"/>
      <c r="J11" s="210"/>
    </row>
    <row r="12" spans="2:11" ht="15" customHeight="1">
      <c r="B12" s="185" t="s">
        <v>920</v>
      </c>
      <c r="C12" s="100">
        <v>46</v>
      </c>
      <c r="D12" t="e">
        <f ca="1">IF(C12&lt;$K$10,"Low",IF(C12&gt;$K$9,"High",""))</f>
        <v>#NAME?</v>
      </c>
      <c r="E12" s="185"/>
      <c r="F12" s="185"/>
      <c r="G12" s="185"/>
      <c r="H12" s="185"/>
      <c r="I12" s="185"/>
      <c r="J12" s="196" t="s">
        <v>959</v>
      </c>
      <c r="K12" s="195">
        <v>1</v>
      </c>
    </row>
    <row r="13" spans="2:11" ht="15" customHeight="1">
      <c r="B13" t="s">
        <v>932</v>
      </c>
      <c r="C13" s="100">
        <v>47</v>
      </c>
      <c r="D13" t="e">
        <f ca="1">IF(C13&lt;$K$10,"Low",IF(C13&gt;$K$9,"High",""))</f>
        <v>#NAME?</v>
      </c>
      <c r="E13" s="185"/>
      <c r="F13" s="185"/>
      <c r="G13" s="185"/>
      <c r="H13" s="185"/>
      <c r="I13" s="185"/>
      <c r="J13" s="194" t="s">
        <v>958</v>
      </c>
      <c r="K13" s="193" t="e">
        <f ca="1">K4+(K6*K12)</f>
        <v>#NAME?</v>
      </c>
    </row>
    <row r="14" spans="2:11" ht="15" customHeight="1">
      <c r="B14" s="185" t="s">
        <v>929</v>
      </c>
      <c r="C14" s="100">
        <v>52</v>
      </c>
      <c r="D14" t="e">
        <f ca="1">IF(C14&lt;$K$10,"Low",IF(C14&gt;$K$9,"High",""))</f>
        <v>#NAME?</v>
      </c>
      <c r="E14" s="185"/>
      <c r="F14" s="185"/>
      <c r="G14" s="185"/>
      <c r="H14" s="185"/>
      <c r="I14" s="185"/>
      <c r="J14" s="192" t="s">
        <v>957</v>
      </c>
      <c r="K14" s="191" t="e">
        <f ca="1">K5-(K6*K12)</f>
        <v>#NAME?</v>
      </c>
    </row>
    <row r="15" spans="2:11" ht="15" customHeight="1" thickBot="1">
      <c r="B15" s="185" t="s">
        <v>914</v>
      </c>
      <c r="C15" s="100">
        <v>52</v>
      </c>
      <c r="D15" t="e">
        <f ca="1">IF(C15&lt;$K$10,"Low",IF(C15&gt;$K$9,"High",""))</f>
        <v>#NAME?</v>
      </c>
      <c r="E15" s="185"/>
      <c r="F15" s="185"/>
      <c r="G15" s="185"/>
      <c r="H15" s="185"/>
      <c r="I15" s="185"/>
      <c r="J15" s="186"/>
    </row>
    <row r="16" spans="2:11" ht="21.95" customHeight="1" thickBot="1">
      <c r="B16" s="185" t="s">
        <v>938</v>
      </c>
      <c r="C16" s="100">
        <v>56</v>
      </c>
      <c r="D16" t="e">
        <f ca="1">IF(C16&lt;$K$10,"Low",IF(C16&gt;$K$9,"High",""))</f>
        <v>#NAME?</v>
      </c>
      <c r="E16" s="209"/>
      <c r="F16" s="201" t="s">
        <v>944</v>
      </c>
      <c r="G16" s="199"/>
      <c r="H16" s="185"/>
      <c r="I16" s="185"/>
      <c r="J16" s="186"/>
    </row>
    <row r="17" spans="2:10" ht="21.95" customHeight="1" thickBot="1">
      <c r="B17" s="190" t="s">
        <v>637</v>
      </c>
      <c r="C17" s="203">
        <v>64</v>
      </c>
      <c r="D17" s="190" t="e">
        <f ca="1">IF(C17&lt;$K$10,"Low",IF(C17&gt;$K$9,"High",""))</f>
        <v>#NAME?</v>
      </c>
      <c r="E17" s="208"/>
      <c r="F17" s="200"/>
      <c r="G17" s="199"/>
      <c r="H17" s="185"/>
      <c r="I17" s="185"/>
      <c r="J17" s="186"/>
    </row>
    <row r="18" spans="2:10" ht="21.95" customHeight="1" thickBot="1">
      <c r="B18" s="206" t="s">
        <v>935</v>
      </c>
      <c r="C18" s="207">
        <v>66</v>
      </c>
      <c r="D18" s="206" t="e">
        <f ca="1">IF(C18&lt;$K$10,"Low",IF(C18&gt;$K$9,"High",""))</f>
        <v>#NAME?</v>
      </c>
      <c r="E18" s="205"/>
      <c r="F18" s="205"/>
      <c r="G18" s="204"/>
      <c r="H18" s="201" t="s">
        <v>963</v>
      </c>
      <c r="I18" s="185"/>
      <c r="J18" s="187"/>
    </row>
    <row r="19" spans="2:10" ht="21.95" customHeight="1" thickBot="1">
      <c r="B19" s="190" t="s">
        <v>917</v>
      </c>
      <c r="C19" s="203">
        <v>90</v>
      </c>
      <c r="D19" s="190" t="e">
        <f ca="1">IF(C19&lt;$K$10,"Low",IF(C19&gt;$K$9,"High",""))</f>
        <v>#NAME?</v>
      </c>
      <c r="E19" s="185"/>
      <c r="F19" s="185"/>
      <c r="G19" s="185"/>
      <c r="H19" s="200"/>
      <c r="I19" s="185"/>
      <c r="J19" s="187"/>
    </row>
    <row r="20" spans="2:10" ht="21.95" customHeight="1" thickBot="1">
      <c r="B20" s="185" t="s">
        <v>916</v>
      </c>
      <c r="C20" s="100">
        <v>101</v>
      </c>
      <c r="D20" t="e">
        <f ca="1">IF(C20&lt;$K$10,"Low",IF(C20&gt;$K$9,"High",""))</f>
        <v>#NAME?</v>
      </c>
      <c r="E20" s="202"/>
      <c r="F20" s="201" t="s">
        <v>962</v>
      </c>
      <c r="G20" s="199"/>
      <c r="H20" s="185"/>
      <c r="I20" s="185"/>
      <c r="J20" s="186"/>
    </row>
    <row r="21" spans="2:10" ht="21.95" customHeight="1" thickBot="1">
      <c r="B21" s="185" t="s">
        <v>941</v>
      </c>
      <c r="C21" s="100">
        <v>104</v>
      </c>
      <c r="D21" t="e">
        <f ca="1">IF(C21&lt;$K$10,"Low",IF(C21&gt;$K$9,"High",""))</f>
        <v>#NAME?</v>
      </c>
      <c r="E21" s="185"/>
      <c r="F21" s="200"/>
      <c r="G21" s="199"/>
      <c r="H21" s="185"/>
      <c r="I21" s="185"/>
      <c r="J21" s="186"/>
    </row>
    <row r="22" spans="2:10" ht="15" customHeight="1">
      <c r="B22" s="185" t="s">
        <v>919</v>
      </c>
      <c r="C22" s="100">
        <v>110</v>
      </c>
      <c r="D22" t="e">
        <f ca="1">IF(C22&lt;$K$10,"Low",IF(C22&gt;$K$9,"High",""))</f>
        <v>#NAME?</v>
      </c>
      <c r="E22" s="185"/>
      <c r="F22" s="185"/>
      <c r="G22" s="185"/>
      <c r="H22" s="185"/>
      <c r="I22" s="185"/>
      <c r="J22" s="186"/>
    </row>
    <row r="23" spans="2:10" ht="15" customHeight="1">
      <c r="J23" s="186"/>
    </row>
    <row r="24" spans="2:10" ht="15" customHeight="1">
      <c r="J24" s="55"/>
    </row>
    <row r="25" spans="2:10" ht="15" customHeight="1">
      <c r="J25" s="55"/>
    </row>
    <row r="26" spans="2:10" ht="15" customHeight="1">
      <c r="J26" s="55"/>
    </row>
    <row r="27" spans="2:10" ht="15" customHeight="1">
      <c r="J27" s="55"/>
    </row>
    <row r="28" spans="2:10" ht="15" customHeight="1">
      <c r="J28" s="55"/>
    </row>
    <row r="29" spans="2:10" ht="15" customHeight="1">
      <c r="J29" s="55"/>
    </row>
    <row r="30" spans="2:10" ht="15" customHeight="1">
      <c r="J30" s="55"/>
    </row>
    <row r="31" spans="2:10" ht="15" customHeight="1">
      <c r="J31" s="55"/>
    </row>
    <row r="32" spans="2:10" ht="15" customHeight="1">
      <c r="J32" s="55"/>
    </row>
    <row r="33" spans="10:10" ht="15" customHeight="1">
      <c r="J33" s="55"/>
    </row>
    <row r="34" spans="10:10" ht="15" customHeight="1">
      <c r="J34" s="55"/>
    </row>
    <row r="35" spans="10:10" ht="15" customHeight="1">
      <c r="J35" s="55"/>
    </row>
    <row r="36" spans="10:10" ht="15" customHeight="1">
      <c r="J36" s="55"/>
    </row>
    <row r="37" spans="10:10" ht="15" customHeight="1">
      <c r="J37" s="55"/>
    </row>
    <row r="38" spans="10:10" ht="15" customHeight="1">
      <c r="J38" s="55"/>
    </row>
    <row r="39" spans="10:10" ht="15" customHeight="1">
      <c r="J39" s="55"/>
    </row>
    <row r="40" spans="10:10" ht="15" customHeight="1">
      <c r="J40" s="55"/>
    </row>
    <row r="41" spans="10:10">
      <c r="J41" s="55"/>
    </row>
  </sheetData>
  <mergeCells count="6">
    <mergeCell ref="F4:F5"/>
    <mergeCell ref="H6:H7"/>
    <mergeCell ref="F8:F9"/>
    <mergeCell ref="F20:F21"/>
    <mergeCell ref="H18:H19"/>
    <mergeCell ref="F16:F1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G52"/>
  <sheetViews>
    <sheetView workbookViewId="0">
      <selection activeCell="D8" sqref="D8"/>
    </sheetView>
  </sheetViews>
  <sheetFormatPr defaultRowHeight="15"/>
  <cols>
    <col min="2" max="2" width="8.85546875" bestFit="1" customWidth="1"/>
    <col min="3" max="3" width="9.5703125" bestFit="1" customWidth="1"/>
    <col min="4" max="4" width="3.5703125" customWidth="1"/>
    <col min="5" max="5" width="9.28515625" bestFit="1" customWidth="1"/>
    <col min="6" max="6" width="9.5703125" bestFit="1" customWidth="1"/>
    <col min="7" max="7" width="10.28515625" bestFit="1" customWidth="1"/>
  </cols>
  <sheetData>
    <row r="2" spans="2:7">
      <c r="B2" s="97" t="s">
        <v>669</v>
      </c>
      <c r="C2" s="97" t="s">
        <v>1018</v>
      </c>
      <c r="E2" s="213" t="s">
        <v>1017</v>
      </c>
      <c r="F2" s="213"/>
      <c r="G2" s="97" t="s">
        <v>450</v>
      </c>
    </row>
    <row r="3" spans="2:7">
      <c r="B3" t="s">
        <v>1016</v>
      </c>
      <c r="C3" s="102">
        <v>263.66000000000003</v>
      </c>
      <c r="E3" s="100">
        <f>F3-100</f>
        <v>0</v>
      </c>
      <c r="F3" s="100">
        <v>100</v>
      </c>
      <c r="G3">
        <f t="array" ref="G3:G12">FREQUENCY(C3:C52,F3:F12)</f>
        <v>4</v>
      </c>
    </row>
    <row r="4" spans="2:7">
      <c r="B4" t="s">
        <v>1015</v>
      </c>
      <c r="C4" s="102">
        <v>273.37</v>
      </c>
      <c r="E4" s="100">
        <f>F4-100</f>
        <v>100</v>
      </c>
      <c r="F4" s="100">
        <v>200</v>
      </c>
      <c r="G4">
        <v>2</v>
      </c>
    </row>
    <row r="5" spans="2:7">
      <c r="B5" t="s">
        <v>1014</v>
      </c>
      <c r="C5" s="102">
        <v>232.24</v>
      </c>
      <c r="E5" s="100">
        <f>F5-100</f>
        <v>200</v>
      </c>
      <c r="F5" s="100">
        <v>300</v>
      </c>
      <c r="G5">
        <v>20</v>
      </c>
    </row>
    <row r="6" spans="2:7">
      <c r="B6" t="s">
        <v>1013</v>
      </c>
      <c r="C6" s="102">
        <v>725.03</v>
      </c>
      <c r="E6" s="100">
        <f>F6-100</f>
        <v>300</v>
      </c>
      <c r="F6" s="100">
        <v>400</v>
      </c>
      <c r="G6">
        <v>3</v>
      </c>
    </row>
    <row r="7" spans="2:7">
      <c r="B7" t="s">
        <v>1012</v>
      </c>
      <c r="C7" s="102">
        <v>969.66</v>
      </c>
      <c r="E7" s="100">
        <f>F7-100</f>
        <v>400</v>
      </c>
      <c r="F7" s="100">
        <v>500</v>
      </c>
      <c r="G7">
        <v>2</v>
      </c>
    </row>
    <row r="8" spans="2:7">
      <c r="B8" t="s">
        <v>1011</v>
      </c>
      <c r="C8" s="102">
        <v>264.95</v>
      </c>
      <c r="E8" s="100">
        <f>F8-100</f>
        <v>500</v>
      </c>
      <c r="F8" s="100">
        <v>600</v>
      </c>
      <c r="G8">
        <v>2</v>
      </c>
    </row>
    <row r="9" spans="2:7">
      <c r="B9" t="s">
        <v>1010</v>
      </c>
      <c r="C9" s="102">
        <v>204.54</v>
      </c>
      <c r="E9" s="100">
        <f>F9-100</f>
        <v>600</v>
      </c>
      <c r="F9" s="100">
        <v>700</v>
      </c>
      <c r="G9">
        <v>3</v>
      </c>
    </row>
    <row r="10" spans="2:7">
      <c r="B10" t="s">
        <v>1009</v>
      </c>
      <c r="C10" s="102">
        <v>246.78</v>
      </c>
      <c r="E10" s="100">
        <f>F10-100</f>
        <v>700</v>
      </c>
      <c r="F10" s="100">
        <v>800</v>
      </c>
      <c r="G10">
        <v>4</v>
      </c>
    </row>
    <row r="11" spans="2:7">
      <c r="B11" t="s">
        <v>1008</v>
      </c>
      <c r="C11" s="102">
        <v>202.64</v>
      </c>
      <c r="E11" s="100">
        <f>F11-100</f>
        <v>800</v>
      </c>
      <c r="F11" s="100">
        <v>900</v>
      </c>
      <c r="G11">
        <v>4</v>
      </c>
    </row>
    <row r="12" spans="2:7">
      <c r="B12" t="s">
        <v>1007</v>
      </c>
      <c r="C12" s="102">
        <v>376.77</v>
      </c>
      <c r="E12" s="100">
        <f>F12-100</f>
        <v>900</v>
      </c>
      <c r="F12" s="100">
        <v>1000</v>
      </c>
      <c r="G12">
        <v>6</v>
      </c>
    </row>
    <row r="13" spans="2:7">
      <c r="B13" t="s">
        <v>1006</v>
      </c>
      <c r="C13" s="102">
        <v>243.42</v>
      </c>
    </row>
    <row r="14" spans="2:7">
      <c r="B14" t="s">
        <v>1005</v>
      </c>
      <c r="C14" s="102">
        <v>277.74</v>
      </c>
    </row>
    <row r="15" spans="2:7">
      <c r="B15" t="s">
        <v>1004</v>
      </c>
      <c r="C15" s="102">
        <v>689.93</v>
      </c>
    </row>
    <row r="16" spans="2:7">
      <c r="B16" t="s">
        <v>1003</v>
      </c>
      <c r="C16" s="102">
        <v>795.39</v>
      </c>
    </row>
    <row r="17" spans="2:3">
      <c r="B17" t="s">
        <v>1002</v>
      </c>
      <c r="C17" s="102">
        <v>716.55</v>
      </c>
    </row>
    <row r="18" spans="2:3">
      <c r="B18" t="s">
        <v>1001</v>
      </c>
      <c r="C18" s="102">
        <v>41.68</v>
      </c>
    </row>
    <row r="19" spans="2:3">
      <c r="B19" t="s">
        <v>1000</v>
      </c>
      <c r="C19" s="102">
        <v>249.15</v>
      </c>
    </row>
    <row r="20" spans="2:3">
      <c r="B20" t="s">
        <v>999</v>
      </c>
      <c r="C20" s="102">
        <v>631.66999999999996</v>
      </c>
    </row>
    <row r="21" spans="2:3">
      <c r="B21" t="s">
        <v>998</v>
      </c>
      <c r="C21" s="102">
        <v>982.17</v>
      </c>
    </row>
    <row r="22" spans="2:3">
      <c r="B22" t="s">
        <v>997</v>
      </c>
      <c r="C22" s="102">
        <v>892.17</v>
      </c>
    </row>
    <row r="23" spans="2:3">
      <c r="B23" t="s">
        <v>996</v>
      </c>
      <c r="C23" s="102">
        <v>266.52</v>
      </c>
    </row>
    <row r="24" spans="2:3">
      <c r="B24" t="s">
        <v>995</v>
      </c>
      <c r="C24" s="102">
        <v>239.63</v>
      </c>
    </row>
    <row r="25" spans="2:3">
      <c r="B25" t="s">
        <v>994</v>
      </c>
      <c r="C25" s="102">
        <v>954.96</v>
      </c>
    </row>
    <row r="26" spans="2:3">
      <c r="B26" t="s">
        <v>993</v>
      </c>
      <c r="C26" s="102">
        <v>195.77</v>
      </c>
    </row>
    <row r="27" spans="2:3">
      <c r="B27" t="s">
        <v>992</v>
      </c>
      <c r="C27" s="102">
        <v>225.34</v>
      </c>
    </row>
    <row r="28" spans="2:3">
      <c r="B28" t="s">
        <v>991</v>
      </c>
      <c r="C28" s="102">
        <v>237.69</v>
      </c>
    </row>
    <row r="29" spans="2:3">
      <c r="B29" t="s">
        <v>990</v>
      </c>
      <c r="C29" s="102">
        <v>874.01</v>
      </c>
    </row>
    <row r="30" spans="2:3">
      <c r="B30" t="s">
        <v>989</v>
      </c>
      <c r="C30" s="102">
        <v>833.64</v>
      </c>
    </row>
    <row r="31" spans="2:3">
      <c r="B31" t="s">
        <v>988</v>
      </c>
      <c r="C31" s="102">
        <v>320.93</v>
      </c>
    </row>
    <row r="32" spans="2:3">
      <c r="B32" t="s">
        <v>987</v>
      </c>
      <c r="C32" s="102">
        <v>922.06</v>
      </c>
    </row>
    <row r="33" spans="2:3">
      <c r="B33" t="s">
        <v>986</v>
      </c>
      <c r="C33" s="102">
        <v>994.66</v>
      </c>
    </row>
    <row r="34" spans="2:3">
      <c r="B34" t="s">
        <v>985</v>
      </c>
      <c r="C34" s="102">
        <v>405.31</v>
      </c>
    </row>
    <row r="35" spans="2:3">
      <c r="B35" t="s">
        <v>984</v>
      </c>
      <c r="C35" s="102">
        <v>691.57</v>
      </c>
    </row>
    <row r="36" spans="2:3">
      <c r="B36" t="s">
        <v>983</v>
      </c>
      <c r="C36" s="102">
        <v>510.22</v>
      </c>
    </row>
    <row r="37" spans="2:3">
      <c r="B37" t="s">
        <v>982</v>
      </c>
      <c r="C37" s="102">
        <v>225.95</v>
      </c>
    </row>
    <row r="38" spans="2:3">
      <c r="B38" t="s">
        <v>981</v>
      </c>
      <c r="C38" s="102">
        <v>84.36</v>
      </c>
    </row>
    <row r="39" spans="2:3">
      <c r="B39" t="s">
        <v>980</v>
      </c>
      <c r="C39" s="102">
        <v>373.7</v>
      </c>
    </row>
    <row r="40" spans="2:3">
      <c r="B40" t="s">
        <v>979</v>
      </c>
      <c r="C40" s="102">
        <v>291.69</v>
      </c>
    </row>
    <row r="41" spans="2:3">
      <c r="B41" t="s">
        <v>978</v>
      </c>
      <c r="C41" s="102">
        <v>272.98</v>
      </c>
    </row>
    <row r="42" spans="2:3">
      <c r="B42" t="s">
        <v>977</v>
      </c>
      <c r="C42" s="102">
        <v>208.28</v>
      </c>
    </row>
    <row r="43" spans="2:3">
      <c r="B43" t="s">
        <v>976</v>
      </c>
      <c r="C43" s="102">
        <v>57.13</v>
      </c>
    </row>
    <row r="44" spans="2:3">
      <c r="B44" t="s">
        <v>975</v>
      </c>
      <c r="C44" s="102">
        <v>775.01</v>
      </c>
    </row>
    <row r="45" spans="2:3">
      <c r="B45" t="s">
        <v>974</v>
      </c>
      <c r="C45" s="102">
        <v>807.92</v>
      </c>
    </row>
    <row r="46" spans="2:3">
      <c r="B46" t="s">
        <v>973</v>
      </c>
      <c r="C46" s="102">
        <v>402.48</v>
      </c>
    </row>
    <row r="47" spans="2:3">
      <c r="B47" t="s">
        <v>972</v>
      </c>
      <c r="C47" s="102">
        <v>187.26</v>
      </c>
    </row>
    <row r="48" spans="2:3">
      <c r="B48" t="s">
        <v>971</v>
      </c>
      <c r="C48" s="102">
        <v>967.88</v>
      </c>
    </row>
    <row r="49" spans="2:3">
      <c r="B49" t="s">
        <v>970</v>
      </c>
      <c r="C49" s="102">
        <v>34.92</v>
      </c>
    </row>
    <row r="50" spans="2:3">
      <c r="B50" t="s">
        <v>969</v>
      </c>
      <c r="C50" s="102">
        <v>250.41</v>
      </c>
    </row>
    <row r="51" spans="2:3">
      <c r="B51" t="s">
        <v>968</v>
      </c>
      <c r="C51" s="102">
        <v>297.04000000000002</v>
      </c>
    </row>
    <row r="52" spans="2:3">
      <c r="B52" t="s">
        <v>967</v>
      </c>
      <c r="C52" s="102">
        <v>521.86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G52"/>
  <sheetViews>
    <sheetView workbookViewId="0">
      <selection activeCell="D8" sqref="D8"/>
    </sheetView>
  </sheetViews>
  <sheetFormatPr defaultRowHeight="15"/>
  <cols>
    <col min="2" max="2" width="8.85546875" bestFit="1" customWidth="1"/>
    <col min="3" max="3" width="9.5703125" bestFit="1" customWidth="1"/>
    <col min="4" max="4" width="4.140625" customWidth="1"/>
    <col min="5" max="5" width="9.28515625" bestFit="1" customWidth="1"/>
    <col min="6" max="6" width="9.5703125" bestFit="1" customWidth="1"/>
    <col min="7" max="7" width="10.28515625" bestFit="1" customWidth="1"/>
  </cols>
  <sheetData>
    <row r="2" spans="2:7">
      <c r="B2" s="97" t="s">
        <v>669</v>
      </c>
      <c r="C2" s="97" t="s">
        <v>1018</v>
      </c>
      <c r="E2" s="213" t="s">
        <v>1017</v>
      </c>
      <c r="F2" s="213"/>
      <c r="G2" s="97" t="s">
        <v>450</v>
      </c>
    </row>
    <row r="3" spans="2:7">
      <c r="B3" t="s">
        <v>1016</v>
      </c>
      <c r="C3" s="102">
        <v>263.66000000000003</v>
      </c>
      <c r="E3" s="100">
        <f>F3-100</f>
        <v>0</v>
      </c>
      <c r="F3" s="100">
        <v>100</v>
      </c>
      <c r="G3">
        <f>COUNTIFS($C$3:$C$52,"&gt;"&amp;E3,$C$3:$C$52,"&lt;="&amp;F3)</f>
        <v>4</v>
      </c>
    </row>
    <row r="4" spans="2:7">
      <c r="B4" t="s">
        <v>1015</v>
      </c>
      <c r="C4" s="102">
        <v>273.37</v>
      </c>
      <c r="E4" s="100">
        <f>F4-100</f>
        <v>100</v>
      </c>
      <c r="F4" s="100">
        <v>200</v>
      </c>
      <c r="G4">
        <f>COUNTIFS($C$3:$C$52,"&gt;"&amp;E4,$C$3:$C$52,"&lt;="&amp;F4)</f>
        <v>2</v>
      </c>
    </row>
    <row r="5" spans="2:7">
      <c r="B5" t="s">
        <v>1014</v>
      </c>
      <c r="C5" s="102">
        <v>232.24</v>
      </c>
      <c r="E5" s="100">
        <f>F5-100</f>
        <v>200</v>
      </c>
      <c r="F5" s="100">
        <v>300</v>
      </c>
      <c r="G5">
        <f>COUNTIFS($C$3:$C$52,"&gt;"&amp;E5,$C$3:$C$52,"&lt;="&amp;F5)</f>
        <v>20</v>
      </c>
    </row>
    <row r="6" spans="2:7">
      <c r="B6" t="s">
        <v>1013</v>
      </c>
      <c r="C6" s="102">
        <v>725.03</v>
      </c>
      <c r="E6" s="100">
        <f>F6-100</f>
        <v>300</v>
      </c>
      <c r="F6" s="100">
        <v>400</v>
      </c>
      <c r="G6">
        <f>COUNTIFS($C$3:$C$52,"&gt;"&amp;E6,$C$3:$C$52,"&lt;="&amp;F6)</f>
        <v>3</v>
      </c>
    </row>
    <row r="7" spans="2:7">
      <c r="B7" t="s">
        <v>1012</v>
      </c>
      <c r="C7" s="102">
        <v>969.66</v>
      </c>
      <c r="E7" s="100">
        <f>F7-100</f>
        <v>400</v>
      </c>
      <c r="F7" s="100">
        <v>500</v>
      </c>
      <c r="G7">
        <f>COUNTIFS($C$3:$C$52,"&gt;"&amp;E7,$C$3:$C$52,"&lt;="&amp;F7)</f>
        <v>2</v>
      </c>
    </row>
    <row r="8" spans="2:7">
      <c r="B8" t="s">
        <v>1011</v>
      </c>
      <c r="C8" s="102">
        <v>264.95</v>
      </c>
      <c r="E8" s="100">
        <f>F8-100</f>
        <v>500</v>
      </c>
      <c r="F8" s="100">
        <v>600</v>
      </c>
      <c r="G8">
        <f>COUNTIFS($C$3:$C$52,"&gt;"&amp;E8,$C$3:$C$52,"&lt;="&amp;F8)</f>
        <v>2</v>
      </c>
    </row>
    <row r="9" spans="2:7">
      <c r="B9" t="s">
        <v>1010</v>
      </c>
      <c r="C9" s="102">
        <v>204.54</v>
      </c>
      <c r="E9" s="100">
        <f>F9-100</f>
        <v>600</v>
      </c>
      <c r="F9" s="100">
        <v>700</v>
      </c>
      <c r="G9">
        <f>COUNTIFS($C$3:$C$52,"&gt;"&amp;E9,$C$3:$C$52,"&lt;="&amp;F9)</f>
        <v>3</v>
      </c>
    </row>
    <row r="10" spans="2:7">
      <c r="B10" t="s">
        <v>1009</v>
      </c>
      <c r="C10" s="102">
        <v>246.78</v>
      </c>
      <c r="E10" s="100">
        <f>F10-100</f>
        <v>700</v>
      </c>
      <c r="F10" s="100">
        <v>800</v>
      </c>
      <c r="G10">
        <f>COUNTIFS($C$3:$C$52,"&gt;"&amp;E10,$C$3:$C$52,"&lt;="&amp;F10)</f>
        <v>4</v>
      </c>
    </row>
    <row r="11" spans="2:7">
      <c r="B11" t="s">
        <v>1008</v>
      </c>
      <c r="C11" s="102">
        <v>202.64</v>
      </c>
      <c r="E11" s="100">
        <f>F11-100</f>
        <v>800</v>
      </c>
      <c r="F11" s="100">
        <v>900</v>
      </c>
      <c r="G11">
        <f>COUNTIFS($C$3:$C$52,"&gt;"&amp;E11,$C$3:$C$52,"&lt;="&amp;F11)</f>
        <v>4</v>
      </c>
    </row>
    <row r="12" spans="2:7">
      <c r="B12" t="s">
        <v>1007</v>
      </c>
      <c r="C12" s="102">
        <v>376.77</v>
      </c>
      <c r="E12" s="100">
        <f>F12-100</f>
        <v>900</v>
      </c>
      <c r="F12" s="100">
        <v>1000</v>
      </c>
      <c r="G12">
        <f>COUNTIFS($C$3:$C$52,"&gt;"&amp;E12,$C$3:$C$52,"&lt;="&amp;F12)</f>
        <v>6</v>
      </c>
    </row>
    <row r="13" spans="2:7">
      <c r="B13" t="s">
        <v>1006</v>
      </c>
      <c r="C13" s="102">
        <v>243.42</v>
      </c>
    </row>
    <row r="14" spans="2:7">
      <c r="B14" t="s">
        <v>1005</v>
      </c>
      <c r="C14" s="102">
        <v>277.74</v>
      </c>
    </row>
    <row r="15" spans="2:7">
      <c r="B15" t="s">
        <v>1004</v>
      </c>
      <c r="C15" s="102">
        <v>689.93</v>
      </c>
    </row>
    <row r="16" spans="2:7">
      <c r="B16" t="s">
        <v>1003</v>
      </c>
      <c r="C16" s="102">
        <v>795.39</v>
      </c>
    </row>
    <row r="17" spans="2:3">
      <c r="B17" t="s">
        <v>1002</v>
      </c>
      <c r="C17" s="102">
        <v>716.55</v>
      </c>
    </row>
    <row r="18" spans="2:3">
      <c r="B18" t="s">
        <v>1001</v>
      </c>
      <c r="C18" s="102">
        <v>41.68</v>
      </c>
    </row>
    <row r="19" spans="2:3">
      <c r="B19" t="s">
        <v>1000</v>
      </c>
      <c r="C19" s="102">
        <v>249.15</v>
      </c>
    </row>
    <row r="20" spans="2:3">
      <c r="B20" t="s">
        <v>999</v>
      </c>
      <c r="C20" s="102">
        <v>631.66999999999996</v>
      </c>
    </row>
    <row r="21" spans="2:3">
      <c r="B21" t="s">
        <v>998</v>
      </c>
      <c r="C21" s="102">
        <v>982.17</v>
      </c>
    </row>
    <row r="22" spans="2:3">
      <c r="B22" t="s">
        <v>997</v>
      </c>
      <c r="C22" s="102">
        <v>892.17</v>
      </c>
    </row>
    <row r="23" spans="2:3">
      <c r="B23" t="s">
        <v>996</v>
      </c>
      <c r="C23" s="102">
        <v>266.52</v>
      </c>
    </row>
    <row r="24" spans="2:3">
      <c r="B24" t="s">
        <v>995</v>
      </c>
      <c r="C24" s="102">
        <v>239.63</v>
      </c>
    </row>
    <row r="25" spans="2:3">
      <c r="B25" t="s">
        <v>994</v>
      </c>
      <c r="C25" s="102">
        <v>954.96</v>
      </c>
    </row>
    <row r="26" spans="2:3">
      <c r="B26" t="s">
        <v>993</v>
      </c>
      <c r="C26" s="102">
        <v>195.77</v>
      </c>
    </row>
    <row r="27" spans="2:3">
      <c r="B27" t="s">
        <v>992</v>
      </c>
      <c r="C27" s="102">
        <v>225.34</v>
      </c>
    </row>
    <row r="28" spans="2:3">
      <c r="B28" t="s">
        <v>991</v>
      </c>
      <c r="C28" s="102">
        <v>237.69</v>
      </c>
    </row>
    <row r="29" spans="2:3">
      <c r="B29" t="s">
        <v>990</v>
      </c>
      <c r="C29" s="102">
        <v>874.01</v>
      </c>
    </row>
    <row r="30" spans="2:3">
      <c r="B30" t="s">
        <v>989</v>
      </c>
      <c r="C30" s="102">
        <v>833.64</v>
      </c>
    </row>
    <row r="31" spans="2:3">
      <c r="B31" t="s">
        <v>988</v>
      </c>
      <c r="C31" s="102">
        <v>320.93</v>
      </c>
    </row>
    <row r="32" spans="2:3">
      <c r="B32" t="s">
        <v>987</v>
      </c>
      <c r="C32" s="102">
        <v>922.06</v>
      </c>
    </row>
    <row r="33" spans="2:3">
      <c r="B33" t="s">
        <v>986</v>
      </c>
      <c r="C33" s="102">
        <v>994.66</v>
      </c>
    </row>
    <row r="34" spans="2:3">
      <c r="B34" t="s">
        <v>985</v>
      </c>
      <c r="C34" s="102">
        <v>405.31</v>
      </c>
    </row>
    <row r="35" spans="2:3">
      <c r="B35" t="s">
        <v>984</v>
      </c>
      <c r="C35" s="102">
        <v>691.57</v>
      </c>
    </row>
    <row r="36" spans="2:3">
      <c r="B36" t="s">
        <v>983</v>
      </c>
      <c r="C36" s="102">
        <v>510.22</v>
      </c>
    </row>
    <row r="37" spans="2:3">
      <c r="B37" t="s">
        <v>982</v>
      </c>
      <c r="C37" s="102">
        <v>225.95</v>
      </c>
    </row>
    <row r="38" spans="2:3">
      <c r="B38" t="s">
        <v>981</v>
      </c>
      <c r="C38" s="102">
        <v>84.36</v>
      </c>
    </row>
    <row r="39" spans="2:3">
      <c r="B39" t="s">
        <v>980</v>
      </c>
      <c r="C39" s="102">
        <v>373.7</v>
      </c>
    </row>
    <row r="40" spans="2:3">
      <c r="B40" t="s">
        <v>979</v>
      </c>
      <c r="C40" s="102">
        <v>291.69</v>
      </c>
    </row>
    <row r="41" spans="2:3">
      <c r="B41" t="s">
        <v>978</v>
      </c>
      <c r="C41" s="102">
        <v>272.98</v>
      </c>
    </row>
    <row r="42" spans="2:3">
      <c r="B42" t="s">
        <v>977</v>
      </c>
      <c r="C42" s="102">
        <v>208.28</v>
      </c>
    </row>
    <row r="43" spans="2:3">
      <c r="B43" t="s">
        <v>976</v>
      </c>
      <c r="C43" s="102">
        <v>57.13</v>
      </c>
    </row>
    <row r="44" spans="2:3">
      <c r="B44" t="s">
        <v>975</v>
      </c>
      <c r="C44" s="102">
        <v>775.01</v>
      </c>
    </row>
    <row r="45" spans="2:3">
      <c r="B45" t="s">
        <v>974</v>
      </c>
      <c r="C45" s="102">
        <v>807.92</v>
      </c>
    </row>
    <row r="46" spans="2:3">
      <c r="B46" t="s">
        <v>973</v>
      </c>
      <c r="C46" s="102">
        <v>402.48</v>
      </c>
    </row>
    <row r="47" spans="2:3">
      <c r="B47" t="s">
        <v>972</v>
      </c>
      <c r="C47" s="102">
        <v>187.26</v>
      </c>
    </row>
    <row r="48" spans="2:3">
      <c r="B48" t="s">
        <v>971</v>
      </c>
      <c r="C48" s="102">
        <v>967.88</v>
      </c>
    </row>
    <row r="49" spans="2:3">
      <c r="B49" t="s">
        <v>970</v>
      </c>
      <c r="C49" s="102">
        <v>34.92</v>
      </c>
    </row>
    <row r="50" spans="2:3">
      <c r="B50" t="s">
        <v>969</v>
      </c>
      <c r="C50" s="102">
        <v>250.41</v>
      </c>
    </row>
    <row r="51" spans="2:3">
      <c r="B51" t="s">
        <v>968</v>
      </c>
      <c r="C51" s="102">
        <v>297.04000000000002</v>
      </c>
    </row>
    <row r="52" spans="2:3">
      <c r="B52" t="s">
        <v>967</v>
      </c>
      <c r="C52" s="102">
        <v>521.86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B2:I63"/>
  <sheetViews>
    <sheetView workbookViewId="0">
      <selection activeCell="D8" sqref="D8"/>
    </sheetView>
  </sheetViews>
  <sheetFormatPr defaultRowHeight="15"/>
  <cols>
    <col min="2" max="2" width="10.7109375" bestFit="1" customWidth="1"/>
    <col min="3" max="3" width="10.5703125" bestFit="1" customWidth="1"/>
    <col min="4" max="4" width="11.5703125" bestFit="1" customWidth="1"/>
    <col min="7" max="7" width="7" customWidth="1"/>
    <col min="8" max="8" width="14.85546875" bestFit="1" customWidth="1"/>
  </cols>
  <sheetData>
    <row r="2" spans="2:9">
      <c r="B2" s="97" t="s">
        <v>779</v>
      </c>
      <c r="C2" s="97" t="s">
        <v>601</v>
      </c>
      <c r="D2" s="97" t="s">
        <v>1020</v>
      </c>
    </row>
    <row r="3" spans="2:9">
      <c r="B3" s="214">
        <v>39478</v>
      </c>
      <c r="C3" s="102">
        <v>6938.24</v>
      </c>
      <c r="D3" s="110">
        <f>C3/VLOOKUP(MONTH(B3),$G$4:$H$15,2,FALSE)</f>
        <v>13507.711775793101</v>
      </c>
      <c r="G3" s="97" t="s">
        <v>779</v>
      </c>
      <c r="H3" s="97" t="s">
        <v>1019</v>
      </c>
    </row>
    <row r="4" spans="2:9">
      <c r="B4" s="214">
        <v>39507</v>
      </c>
      <c r="C4" s="102">
        <v>6246.32</v>
      </c>
      <c r="D4" s="110">
        <f>C4/VLOOKUP(MONTH(B4),$G$4:$H$15,2,FALSE)</f>
        <v>9354.6536817949418</v>
      </c>
      <c r="G4" s="100">
        <v>1</v>
      </c>
      <c r="H4" s="163">
        <f>SUMPRODUCT((MONTH($B$3:$B$62)=G4)*($C$3:$C$62))/SUMPRODUCT(--(MONTH($B$3:$B$62)=G4))/AVERAGE($C$3:$C$62)</f>
        <v>0.51365028475317931</v>
      </c>
      <c r="I4" s="163"/>
    </row>
    <row r="5" spans="2:9">
      <c r="B5" s="214">
        <v>39538</v>
      </c>
      <c r="C5" s="102">
        <v>8205.83</v>
      </c>
      <c r="D5" s="110">
        <f>C5/VLOOKUP(MONTH(B5),$G$4:$H$15,2,FALSE)</f>
        <v>14791.731191837469</v>
      </c>
      <c r="G5" s="100">
        <v>2</v>
      </c>
      <c r="H5" s="163">
        <f>SUMPRODUCT((MONTH($B$3:$B$62)=G5)*($C$3:$C$62))/SUMPRODUCT(--(MONTH($B$3:$B$62)=G5))/AVERAGE($C$3:$C$62)</f>
        <v>0.66772327575909529</v>
      </c>
      <c r="I5" s="163"/>
    </row>
    <row r="6" spans="2:9">
      <c r="B6" s="214">
        <v>39568</v>
      </c>
      <c r="C6" s="102">
        <v>23612.639999999999</v>
      </c>
      <c r="D6" s="110">
        <f>C6/VLOOKUP(MONTH(B6),$G$4:$H$15,2,FALSE)</f>
        <v>10869.20021486308</v>
      </c>
      <c r="G6" s="100">
        <v>3</v>
      </c>
      <c r="H6" s="163">
        <f>SUMPRODUCT((MONTH($B$3:$B$62)=G6)*($C$3:$C$62))/SUMPRODUCT(--(MONTH($B$3:$B$62)=G6))/AVERAGE($C$3:$C$62)</f>
        <v>0.55475791802708185</v>
      </c>
      <c r="I6" s="163"/>
    </row>
    <row r="7" spans="2:9">
      <c r="B7" s="214">
        <v>39599</v>
      </c>
      <c r="C7" s="102">
        <v>28427.85</v>
      </c>
      <c r="D7" s="110">
        <f>C7/VLOOKUP(MONTH(B7),$G$4:$H$15,2,FALSE)</f>
        <v>14270.700026968982</v>
      </c>
      <c r="G7" s="100">
        <v>4</v>
      </c>
      <c r="H7" s="163">
        <f>SUMPRODUCT((MONTH($B$3:$B$62)=G7)*($C$3:$C$62))/SUMPRODUCT(--(MONTH($B$3:$B$62)=G7))/AVERAGE($C$3:$C$62)</f>
        <v>2.1724358309005027</v>
      </c>
      <c r="I7" s="163"/>
    </row>
    <row r="8" spans="2:9">
      <c r="B8" s="214">
        <v>39629</v>
      </c>
      <c r="C8" s="102">
        <v>22472.73</v>
      </c>
      <c r="D8" s="110">
        <f>C8/VLOOKUP(MONTH(B8),$G$4:$H$15,2,FALSE)</f>
        <v>11449.359446746788</v>
      </c>
      <c r="G8" s="100">
        <v>5</v>
      </c>
      <c r="H8" s="163">
        <f>SUMPRODUCT((MONTH($B$3:$B$62)=G8)*($C$3:$C$62))/SUMPRODUCT(--(MONTH($B$3:$B$62)=G8))/AVERAGE($C$3:$C$62)</f>
        <v>1.9920431335727486</v>
      </c>
      <c r="I8" s="163"/>
    </row>
    <row r="9" spans="2:9">
      <c r="B9" s="214">
        <v>39660</v>
      </c>
      <c r="C9" s="102">
        <v>7542.89</v>
      </c>
      <c r="D9" s="110">
        <f>C9/VLOOKUP(MONTH(B9),$G$4:$H$15,2,FALSE)</f>
        <v>11749.534820220069</v>
      </c>
      <c r="G9" s="100">
        <v>6</v>
      </c>
      <c r="H9" s="163">
        <f>SUMPRODUCT((MONTH($B$3:$B$62)=G9)*($C$3:$C$62))/SUMPRODUCT(--(MONTH($B$3:$B$62)=G9))/AVERAGE($C$3:$C$62)</f>
        <v>1.9627936483717769</v>
      </c>
      <c r="I9" s="163"/>
    </row>
    <row r="10" spans="2:9">
      <c r="B10" s="214">
        <v>39691</v>
      </c>
      <c r="C10" s="102">
        <v>9248.89</v>
      </c>
      <c r="D10" s="110">
        <f>C10/VLOOKUP(MONTH(B10),$G$4:$H$15,2,FALSE)</f>
        <v>13111.832594686244</v>
      </c>
      <c r="G10" s="100">
        <v>7</v>
      </c>
      <c r="H10" s="163">
        <f>SUMPRODUCT((MONTH($B$3:$B$62)=G10)*($C$3:$C$62))/SUMPRODUCT(--(MONTH($B$3:$B$62)=G10))/AVERAGE($C$3:$C$62)</f>
        <v>0.64197350068866144</v>
      </c>
      <c r="I10" s="163"/>
    </row>
    <row r="11" spans="2:9">
      <c r="B11" s="214">
        <v>39721</v>
      </c>
      <c r="C11" s="102">
        <v>10591.71</v>
      </c>
      <c r="D11" s="110">
        <f>C11/VLOOKUP(MONTH(B11),$G$4:$H$15,2,FALSE)</f>
        <v>13880.470761248167</v>
      </c>
      <c r="G11" s="100">
        <v>8</v>
      </c>
      <c r="H11" s="163">
        <f>SUMPRODUCT((MONTH($B$3:$B$62)=G11)*($C$3:$C$62))/SUMPRODUCT(--(MONTH($B$3:$B$62)=G11))/AVERAGE($C$3:$C$62)</f>
        <v>0.70538499734569848</v>
      </c>
      <c r="I11" s="163"/>
    </row>
    <row r="12" spans="2:9">
      <c r="B12" s="214">
        <v>39752</v>
      </c>
      <c r="C12" s="102">
        <v>8096.57</v>
      </c>
      <c r="D12" s="110">
        <f>C12/VLOOKUP(MONTH(B12),$G$4:$H$15,2,FALSE)</f>
        <v>12166.026016502257</v>
      </c>
      <c r="G12" s="100">
        <v>9</v>
      </c>
      <c r="H12" s="163">
        <f>SUMPRODUCT((MONTH($B$3:$B$62)=G12)*($C$3:$C$62))/SUMPRODUCT(--(MONTH($B$3:$B$62)=G12))/AVERAGE($C$3:$C$62)</f>
        <v>0.76306561803150008</v>
      </c>
      <c r="I12" s="163"/>
    </row>
    <row r="13" spans="2:9">
      <c r="B13" s="214">
        <v>39782</v>
      </c>
      <c r="C13" s="102">
        <v>8147.39</v>
      </c>
      <c r="D13" s="110">
        <f>C13/VLOOKUP(MONTH(B13),$G$4:$H$15,2,FALSE)</f>
        <v>11278.592443641042</v>
      </c>
      <c r="G13" s="100">
        <v>10</v>
      </c>
      <c r="H13" s="163">
        <f>SUMPRODUCT((MONTH($B$3:$B$62)=G13)*($C$3:$C$62))/SUMPRODUCT(--(MONTH($B$3:$B$62)=G13))/AVERAGE($C$3:$C$62)</f>
        <v>0.66550654988059699</v>
      </c>
      <c r="I13" s="163"/>
    </row>
    <row r="14" spans="2:9">
      <c r="B14" s="214">
        <v>39813</v>
      </c>
      <c r="C14" s="102">
        <v>9755.07</v>
      </c>
      <c r="D14" s="110">
        <f>C14/VLOOKUP(MONTH(B14),$G$4:$H$15,2,FALSE)</f>
        <v>15283.161312129479</v>
      </c>
      <c r="G14" s="100">
        <v>11</v>
      </c>
      <c r="H14" s="163">
        <f>SUMPRODUCT((MONTH($B$3:$B$62)=G14)*($C$3:$C$62))/SUMPRODUCT(--(MONTH($B$3:$B$62)=G14))/AVERAGE($C$3:$C$62)</f>
        <v>0.72237648808682342</v>
      </c>
      <c r="I14" s="163"/>
    </row>
    <row r="15" spans="2:9">
      <c r="B15" s="214">
        <v>39844</v>
      </c>
      <c r="C15" s="102">
        <v>7947.75</v>
      </c>
      <c r="D15" s="110">
        <f>C15/VLOOKUP(MONTH(B15),$G$4:$H$15,2,FALSE)</f>
        <v>15473.076207519433</v>
      </c>
      <c r="G15" s="100">
        <v>12</v>
      </c>
      <c r="H15" s="163">
        <f>SUMPRODUCT((MONTH($B$3:$B$62)=G15)*($C$3:$C$62))/SUMPRODUCT(--(MONTH($B$3:$B$62)=G15))/AVERAGE($C$3:$C$62)</f>
        <v>0.6382887545823317</v>
      </c>
      <c r="I15" s="163"/>
    </row>
    <row r="16" spans="2:9">
      <c r="B16" s="214">
        <v>39872</v>
      </c>
      <c r="C16" s="102">
        <v>9984.2199999999993</v>
      </c>
      <c r="D16" s="110">
        <f>C16/VLOOKUP(MONTH(B16),$G$4:$H$15,2,FALSE)</f>
        <v>14952.631370607123</v>
      </c>
    </row>
    <row r="17" spans="2:4">
      <c r="B17" s="214">
        <v>39903</v>
      </c>
      <c r="C17" s="102">
        <v>7943.24</v>
      </c>
      <c r="D17" s="110">
        <f>C17/VLOOKUP(MONTH(B17),$G$4:$H$15,2,FALSE)</f>
        <v>14318.389592795738</v>
      </c>
    </row>
    <row r="18" spans="2:4">
      <c r="B18" s="214">
        <v>39933</v>
      </c>
      <c r="C18" s="102">
        <v>35029.589999999997</v>
      </c>
      <c r="D18" s="110">
        <f>C18/VLOOKUP(MONTH(B18),$G$4:$H$15,2,FALSE)</f>
        <v>16124.568330968736</v>
      </c>
    </row>
    <row r="19" spans="2:4">
      <c r="B19" s="214">
        <v>39964</v>
      </c>
      <c r="C19" s="102">
        <v>26306.25</v>
      </c>
      <c r="D19" s="110">
        <f>C19/VLOOKUP(MONTH(B19),$G$4:$H$15,2,FALSE)</f>
        <v>13205.662847681157</v>
      </c>
    </row>
    <row r="20" spans="2:4">
      <c r="B20" s="214">
        <v>39994</v>
      </c>
      <c r="C20" s="102">
        <v>26650.91</v>
      </c>
      <c r="D20" s="110">
        <f>C20/VLOOKUP(MONTH(B20),$G$4:$H$15,2,FALSE)</f>
        <v>13578.049848545257</v>
      </c>
    </row>
    <row r="21" spans="2:4">
      <c r="B21" s="214">
        <v>40025</v>
      </c>
      <c r="C21" s="102">
        <v>8928.7000000000007</v>
      </c>
      <c r="D21" s="110">
        <f>C21/VLOOKUP(MONTH(B21),$G$4:$H$15,2,FALSE)</f>
        <v>13908.206476469753</v>
      </c>
    </row>
    <row r="22" spans="2:4">
      <c r="B22" s="214">
        <v>40056</v>
      </c>
      <c r="C22" s="102">
        <v>8458.3700000000008</v>
      </c>
      <c r="D22" s="110">
        <f>C22/VLOOKUP(MONTH(B22),$G$4:$H$15,2,FALSE)</f>
        <v>11991.139635558029</v>
      </c>
    </row>
    <row r="23" spans="2:4">
      <c r="B23" s="214">
        <v>40086</v>
      </c>
      <c r="C23" s="102">
        <v>9905.2999999999993</v>
      </c>
      <c r="D23" s="110">
        <f>C23/VLOOKUP(MONTH(B23),$G$4:$H$15,2,FALSE)</f>
        <v>12980.928200582481</v>
      </c>
    </row>
    <row r="24" spans="2:4">
      <c r="B24" s="214">
        <v>40117</v>
      </c>
      <c r="C24" s="102">
        <v>10339.23</v>
      </c>
      <c r="D24" s="110">
        <f>C24/VLOOKUP(MONTH(B24),$G$4:$H$15,2,FALSE)</f>
        <v>15535.880153027842</v>
      </c>
    </row>
    <row r="25" spans="2:4">
      <c r="B25" s="214">
        <v>40147</v>
      </c>
      <c r="C25" s="102">
        <v>11062.61</v>
      </c>
      <c r="D25" s="110">
        <f>C25/VLOOKUP(MONTH(B25),$G$4:$H$15,2,FALSE)</f>
        <v>15314.18890625683</v>
      </c>
    </row>
    <row r="26" spans="2:4">
      <c r="B26" s="214">
        <v>40178</v>
      </c>
      <c r="C26" s="102">
        <v>6681.89</v>
      </c>
      <c r="D26" s="110">
        <f>C26/VLOOKUP(MONTH(B26),$G$4:$H$15,2,FALSE)</f>
        <v>10468.443869690824</v>
      </c>
    </row>
    <row r="27" spans="2:4">
      <c r="B27" s="214">
        <v>40209</v>
      </c>
      <c r="C27" s="102">
        <v>7710.3</v>
      </c>
      <c r="D27" s="110">
        <f>C27/VLOOKUP(MONTH(B27),$G$4:$H$15,2,FALSE)</f>
        <v>15010.796701310066</v>
      </c>
    </row>
    <row r="28" spans="2:4">
      <c r="B28" s="214">
        <v>40237</v>
      </c>
      <c r="C28" s="102">
        <v>8325.25</v>
      </c>
      <c r="D28" s="110">
        <f>C28/VLOOKUP(MONTH(B28),$G$4:$H$15,2,FALSE)</f>
        <v>12468.11411588957</v>
      </c>
    </row>
    <row r="29" spans="2:4">
      <c r="B29" s="214">
        <v>40268</v>
      </c>
      <c r="C29" s="102">
        <v>9858.31</v>
      </c>
      <c r="D29" s="110">
        <f>C29/VLOOKUP(MONTH(B29),$G$4:$H$15,2,FALSE)</f>
        <v>17770.471911531586</v>
      </c>
    </row>
    <row r="30" spans="2:4">
      <c r="B30" s="214">
        <v>40298</v>
      </c>
      <c r="C30" s="102">
        <v>26274.43</v>
      </c>
      <c r="D30" s="110">
        <f>C30/VLOOKUP(MONTH(B30),$G$4:$H$15,2,FALSE)</f>
        <v>12094.456198095808</v>
      </c>
    </row>
    <row r="31" spans="2:4">
      <c r="B31" s="214">
        <v>40329</v>
      </c>
      <c r="C31" s="102">
        <v>26713.65</v>
      </c>
      <c r="D31" s="110">
        <f>C31/VLOOKUP(MONTH(B31),$G$4:$H$15,2,FALSE)</f>
        <v>13410.176491554585</v>
      </c>
    </row>
    <row r="32" spans="2:4">
      <c r="B32" s="214">
        <v>40359</v>
      </c>
      <c r="C32" s="102">
        <v>35178.129999999997</v>
      </c>
      <c r="D32" s="110">
        <f>C32/VLOOKUP(MONTH(B32),$G$4:$H$15,2,FALSE)</f>
        <v>17922.480047345674</v>
      </c>
    </row>
    <row r="33" spans="2:4">
      <c r="B33" s="214">
        <v>40390</v>
      </c>
      <c r="C33" s="102">
        <v>11632.31</v>
      </c>
      <c r="D33" s="110">
        <f>C33/VLOOKUP(MONTH(B33),$G$4:$H$15,2,FALSE)</f>
        <v>18119.610836773983</v>
      </c>
    </row>
    <row r="34" spans="2:4">
      <c r="B34" s="214">
        <v>40421</v>
      </c>
      <c r="C34" s="102">
        <v>13022.25</v>
      </c>
      <c r="D34" s="110">
        <f>C34/VLOOKUP(MONTH(B34),$G$4:$H$15,2,FALSE)</f>
        <v>18461.195019743231</v>
      </c>
    </row>
    <row r="35" spans="2:4">
      <c r="B35" s="214">
        <v>40451</v>
      </c>
      <c r="C35" s="102">
        <v>11089.04</v>
      </c>
      <c r="D35" s="110">
        <f>C35/VLOOKUP(MONTH(B35),$G$4:$H$15,2,FALSE)</f>
        <v>14532.223360563252</v>
      </c>
    </row>
    <row r="36" spans="2:4">
      <c r="B36" s="214">
        <v>40482</v>
      </c>
      <c r="C36" s="102">
        <v>9778.5400000000009</v>
      </c>
      <c r="D36" s="110">
        <f>C36/VLOOKUP(MONTH(B36),$G$4:$H$15,2,FALSE)</f>
        <v>14693.379053526121</v>
      </c>
    </row>
    <row r="37" spans="2:4">
      <c r="B37" s="214">
        <v>40512</v>
      </c>
      <c r="C37" s="102">
        <v>11645.14</v>
      </c>
      <c r="D37" s="110">
        <f>C37/VLOOKUP(MONTH(B37),$G$4:$H$15,2,FALSE)</f>
        <v>16120.596658456518</v>
      </c>
    </row>
    <row r="38" spans="2:4">
      <c r="B38" s="214">
        <v>40543</v>
      </c>
      <c r="C38" s="102">
        <v>10420.52</v>
      </c>
      <c r="D38" s="110">
        <f>C38/VLOOKUP(MONTH(B38),$G$4:$H$15,2,FALSE)</f>
        <v>16325.714537801521</v>
      </c>
    </row>
    <row r="39" spans="2:4">
      <c r="B39" s="214">
        <v>40574</v>
      </c>
      <c r="C39" s="102">
        <v>9549.4500000000007</v>
      </c>
      <c r="D39" s="110">
        <f>C39/VLOOKUP(MONTH(B39),$G$4:$H$15,2,FALSE)</f>
        <v>18591.345675178061</v>
      </c>
    </row>
    <row r="40" spans="2:4">
      <c r="B40" s="214">
        <v>40602</v>
      </c>
      <c r="C40" s="102">
        <v>14001.55</v>
      </c>
      <c r="D40" s="110">
        <f>C40/VLOOKUP(MONTH(B40),$G$4:$H$15,2,FALSE)</f>
        <v>20969.090801997969</v>
      </c>
    </row>
    <row r="41" spans="2:4">
      <c r="B41" s="214">
        <v>40633</v>
      </c>
      <c r="C41" s="102">
        <v>8651.92</v>
      </c>
      <c r="D41" s="110">
        <f>C41/VLOOKUP(MONTH(B41),$G$4:$H$15,2,FALSE)</f>
        <v>15595.847700145194</v>
      </c>
    </row>
    <row r="42" spans="2:4">
      <c r="B42" s="214">
        <v>40663</v>
      </c>
      <c r="C42" s="102">
        <v>39520.18</v>
      </c>
      <c r="D42" s="110">
        <f>C42/VLOOKUP(MONTH(B42),$G$4:$H$15,2,FALSE)</f>
        <v>18191.644345885408</v>
      </c>
    </row>
    <row r="43" spans="2:4">
      <c r="B43" s="214">
        <v>40694</v>
      </c>
      <c r="C43" s="102">
        <v>40130.25</v>
      </c>
      <c r="D43" s="110">
        <f>C43/VLOOKUP(MONTH(B43),$G$4:$H$15,2,FALSE)</f>
        <v>20145.271617701375</v>
      </c>
    </row>
    <row r="44" spans="2:4">
      <c r="B44" s="214">
        <v>40724</v>
      </c>
      <c r="C44" s="102">
        <v>34224.639999999999</v>
      </c>
      <c r="D44" s="110">
        <f>C44/VLOOKUP(MONTH(B44),$G$4:$H$15,2,FALSE)</f>
        <v>17436.697957725119</v>
      </c>
    </row>
    <row r="45" spans="2:4">
      <c r="B45" s="214">
        <v>40755</v>
      </c>
      <c r="C45" s="102">
        <v>11463.86</v>
      </c>
      <c r="D45" s="110">
        <f>C45/VLOOKUP(MONTH(B45),$G$4:$H$15,2,FALSE)</f>
        <v>17857.216828580033</v>
      </c>
    </row>
    <row r="46" spans="2:4">
      <c r="B46" s="214">
        <v>40786</v>
      </c>
      <c r="C46" s="102">
        <v>13852.64</v>
      </c>
      <c r="D46" s="110">
        <f>C46/VLOOKUP(MONTH(B46),$G$4:$H$15,2,FALSE)</f>
        <v>19638.410303772071</v>
      </c>
    </row>
    <row r="47" spans="2:4">
      <c r="B47" s="214">
        <v>40816</v>
      </c>
      <c r="C47" s="102">
        <v>13164.01</v>
      </c>
      <c r="D47" s="110">
        <f>C47/VLOOKUP(MONTH(B47),$G$4:$H$15,2,FALSE)</f>
        <v>17251.478364284758</v>
      </c>
    </row>
    <row r="48" spans="2:4">
      <c r="B48" s="214">
        <v>40847</v>
      </c>
      <c r="C48" s="102">
        <v>14063.12</v>
      </c>
      <c r="D48" s="110">
        <f>C48/VLOOKUP(MONTH(B48),$G$4:$H$15,2,FALSE)</f>
        <v>21131.4524290154</v>
      </c>
    </row>
    <row r="49" spans="2:4">
      <c r="B49" s="214">
        <v>40877</v>
      </c>
      <c r="C49" s="102">
        <v>13940.6</v>
      </c>
      <c r="D49" s="110">
        <f>C49/VLOOKUP(MONTH(B49),$G$4:$H$15,2,FALSE)</f>
        <v>19298.247146610425</v>
      </c>
    </row>
    <row r="50" spans="2:4">
      <c r="B50" s="214">
        <v>40908</v>
      </c>
      <c r="C50" s="102">
        <v>12352.67</v>
      </c>
      <c r="D50" s="110">
        <f>C50/VLOOKUP(MONTH(B50),$G$4:$H$15,2,FALSE)</f>
        <v>19352.792778063351</v>
      </c>
    </row>
    <row r="51" spans="2:4">
      <c r="B51" s="214">
        <v>40939</v>
      </c>
      <c r="C51" s="102">
        <v>8049.99</v>
      </c>
      <c r="D51" s="110">
        <f>C51/VLOOKUP(MONTH(B51),$G$4:$H$15,2,FALSE)</f>
        <v>15672.122140199346</v>
      </c>
    </row>
    <row r="52" spans="2:4">
      <c r="B52" s="214">
        <v>40968</v>
      </c>
      <c r="C52" s="102">
        <v>13695.38</v>
      </c>
      <c r="D52" s="110">
        <f>C52/VLOOKUP(MONTH(B52),$G$4:$H$15,2,FALSE)</f>
        <v>20510.562529710423</v>
      </c>
    </row>
    <row r="53" spans="2:4">
      <c r="B53" s="214">
        <v>40999</v>
      </c>
      <c r="C53" s="102">
        <v>8753.31</v>
      </c>
      <c r="D53" s="110">
        <f>C53/VLOOKUP(MONTH(B53),$G$4:$H$15,2,FALSE)</f>
        <v>15778.612103690039</v>
      </c>
    </row>
    <row r="54" spans="2:4">
      <c r="B54" s="214">
        <v>41029</v>
      </c>
      <c r="C54" s="102">
        <v>45567.24</v>
      </c>
      <c r="D54" s="110">
        <f>C54/VLOOKUP(MONTH(B54),$G$4:$H$15,2,FALSE)</f>
        <v>20975.183410186983</v>
      </c>
    </row>
    <row r="55" spans="2:4">
      <c r="B55" s="214">
        <v>41060</v>
      </c>
      <c r="C55" s="102">
        <v>34309.440000000002</v>
      </c>
      <c r="D55" s="110">
        <f>C55/VLOOKUP(MONTH(B55),$G$4:$H$15,2,FALSE)</f>
        <v>17223.241516093927</v>
      </c>
    </row>
    <row r="56" spans="2:4">
      <c r="B56" s="214">
        <v>41090</v>
      </c>
      <c r="C56" s="102">
        <v>35072.11</v>
      </c>
      <c r="D56" s="110">
        <f>C56/VLOOKUP(MONTH(B56),$G$4:$H$15,2,FALSE)</f>
        <v>17868.465199637183</v>
      </c>
    </row>
    <row r="57" spans="2:4">
      <c r="B57" s="214">
        <v>41121</v>
      </c>
      <c r="C57" s="102">
        <v>10669.91</v>
      </c>
      <c r="D57" s="110">
        <f>C57/VLOOKUP(MONTH(B57),$G$4:$H$15,2,FALSE)</f>
        <v>16620.483537956185</v>
      </c>
    </row>
    <row r="58" spans="2:4">
      <c r="B58" s="214">
        <v>41152</v>
      </c>
      <c r="C58" s="102">
        <v>10617.79</v>
      </c>
      <c r="D58" s="110">
        <f>C58/VLOOKUP(MONTH(B58),$G$4:$H$15,2,FALSE)</f>
        <v>15052.474946240432</v>
      </c>
    </row>
    <row r="59" spans="2:4">
      <c r="B59" s="214">
        <v>41182</v>
      </c>
      <c r="C59" s="102">
        <v>14963.68</v>
      </c>
      <c r="D59" s="110">
        <f>C59/VLOOKUP(MONTH(B59),$G$4:$H$15,2,FALSE)</f>
        <v>19609.951813321361</v>
      </c>
    </row>
    <row r="60" spans="2:4">
      <c r="B60" s="214">
        <v>41213</v>
      </c>
      <c r="C60" s="102">
        <v>9801.7900000000009</v>
      </c>
      <c r="D60" s="110">
        <f>C60/VLOOKUP(MONTH(B60),$G$4:$H$15,2,FALSE)</f>
        <v>14728.314847928403</v>
      </c>
    </row>
    <row r="61" spans="2:4">
      <c r="B61" s="214">
        <v>41243</v>
      </c>
      <c r="C61" s="102">
        <v>11733.87</v>
      </c>
      <c r="D61" s="110">
        <f>C61/VLOOKUP(MONTH(B61),$G$4:$H$15,2,FALSE)</f>
        <v>16243.427345035199</v>
      </c>
    </row>
    <row r="62" spans="2:4">
      <c r="B62" s="214">
        <v>41274</v>
      </c>
      <c r="C62" s="102">
        <v>10739.17</v>
      </c>
      <c r="D62" s="110">
        <f>C62/VLOOKUP(MONTH(B62),$G$4:$H$15,2,FALSE)</f>
        <v>16824.940002314852</v>
      </c>
    </row>
    <row r="63" spans="2:4">
      <c r="B63" s="70"/>
    </row>
  </sheetData>
  <pageMargins left="0.7" right="0.7" top="0.75" bottom="0.75" header="0.3" footer="0.3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B2:I74"/>
  <sheetViews>
    <sheetView workbookViewId="0">
      <pane ySplit="2" topLeftCell="A14" activePane="bottomLeft" state="frozenSplit"/>
      <selection activeCell="D8" sqref="D8"/>
      <selection pane="bottomLeft" activeCell="D8" sqref="D8"/>
    </sheetView>
  </sheetViews>
  <sheetFormatPr defaultRowHeight="15"/>
  <cols>
    <col min="1" max="1" width="4.42578125" customWidth="1"/>
    <col min="2" max="2" width="10.7109375" bestFit="1" customWidth="1"/>
    <col min="3" max="3" width="10.5703125" bestFit="1" customWidth="1"/>
    <col min="4" max="4" width="11.5703125" bestFit="1" customWidth="1"/>
    <col min="5" max="5" width="11.7109375" bestFit="1" customWidth="1"/>
    <col min="7" max="7" width="7" customWidth="1"/>
    <col min="8" max="8" width="14.85546875" bestFit="1" customWidth="1"/>
  </cols>
  <sheetData>
    <row r="2" spans="2:9">
      <c r="B2" s="97" t="s">
        <v>779</v>
      </c>
      <c r="C2" s="97" t="s">
        <v>601</v>
      </c>
      <c r="D2" s="97" t="s">
        <v>1020</v>
      </c>
      <c r="E2" s="151" t="s">
        <v>1021</v>
      </c>
    </row>
    <row r="3" spans="2:9">
      <c r="B3" s="214">
        <v>39478</v>
      </c>
      <c r="C3" s="102">
        <v>6938.24</v>
      </c>
      <c r="D3" s="110">
        <f>C3/VLOOKUP(MONTH(B3),$G$4:$H$15,2,FALSE)</f>
        <v>13507.711775793101</v>
      </c>
      <c r="G3" s="97" t="s">
        <v>779</v>
      </c>
      <c r="H3" s="97" t="s">
        <v>1019</v>
      </c>
    </row>
    <row r="4" spans="2:9">
      <c r="B4" s="214">
        <v>39507</v>
      </c>
      <c r="C4" s="102">
        <v>6246.32</v>
      </c>
      <c r="D4" s="110">
        <f>C4/VLOOKUP(MONTH(B4),$G$4:$H$15,2,FALSE)</f>
        <v>9354.6536817949418</v>
      </c>
      <c r="G4" s="100">
        <v>1</v>
      </c>
      <c r="H4" s="163">
        <f>SUMPRODUCT((MONTH($B$3:$B$62)=G4)*($C$3:$C$62))/SUMPRODUCT(--(MONTH($B$3:$B$62)=G4))/AVERAGE($C$3:$C$62)</f>
        <v>0.51365028475317931</v>
      </c>
      <c r="I4" s="163"/>
    </row>
    <row r="5" spans="2:9">
      <c r="B5" s="214">
        <v>39538</v>
      </c>
      <c r="C5" s="102">
        <v>8205.83</v>
      </c>
      <c r="D5" s="110">
        <f>C5/VLOOKUP(MONTH(B5),$G$4:$H$15,2,FALSE)</f>
        <v>14791.731191837469</v>
      </c>
      <c r="G5" s="100">
        <v>2</v>
      </c>
      <c r="H5" s="163">
        <f>SUMPRODUCT((MONTH($B$3:$B$62)=G5)*($C$3:$C$62))/SUMPRODUCT(--(MONTH($B$3:$B$62)=G5))/AVERAGE($C$3:$C$62)</f>
        <v>0.66772327575909529</v>
      </c>
      <c r="I5" s="163"/>
    </row>
    <row r="6" spans="2:9">
      <c r="B6" s="214">
        <v>39568</v>
      </c>
      <c r="C6" s="102">
        <v>23612.639999999999</v>
      </c>
      <c r="D6" s="110">
        <f>C6/VLOOKUP(MONTH(B6),$G$4:$H$15,2,FALSE)</f>
        <v>10869.20021486308</v>
      </c>
      <c r="G6" s="100">
        <v>3</v>
      </c>
      <c r="H6" s="163">
        <f>SUMPRODUCT((MONTH($B$3:$B$62)=G6)*($C$3:$C$62))/SUMPRODUCT(--(MONTH($B$3:$B$62)=G6))/AVERAGE($C$3:$C$62)</f>
        <v>0.55475791802708185</v>
      </c>
      <c r="I6" s="163"/>
    </row>
    <row r="7" spans="2:9">
      <c r="B7" s="214">
        <v>39599</v>
      </c>
      <c r="C7" s="102">
        <v>28427.85</v>
      </c>
      <c r="D7" s="110">
        <f>C7/VLOOKUP(MONTH(B7),$G$4:$H$15,2,FALSE)</f>
        <v>14270.700026968982</v>
      </c>
      <c r="G7" s="100">
        <v>4</v>
      </c>
      <c r="H7" s="163">
        <f>SUMPRODUCT((MONTH($B$3:$B$62)=G7)*($C$3:$C$62))/SUMPRODUCT(--(MONTH($B$3:$B$62)=G7))/AVERAGE($C$3:$C$62)</f>
        <v>2.1724358309005027</v>
      </c>
      <c r="I7" s="163"/>
    </row>
    <row r="8" spans="2:9">
      <c r="B8" s="214">
        <v>39629</v>
      </c>
      <c r="C8" s="102">
        <v>22472.73</v>
      </c>
      <c r="D8" s="110">
        <f>C8/VLOOKUP(MONTH(B8),$G$4:$H$15,2,FALSE)</f>
        <v>11449.359446746788</v>
      </c>
      <c r="G8" s="100">
        <v>5</v>
      </c>
      <c r="H8" s="163">
        <f>SUMPRODUCT((MONTH($B$3:$B$62)=G8)*($C$3:$C$62))/SUMPRODUCT(--(MONTH($B$3:$B$62)=G8))/AVERAGE($C$3:$C$62)</f>
        <v>1.9920431335727486</v>
      </c>
      <c r="I8" s="163"/>
    </row>
    <row r="9" spans="2:9">
      <c r="B9" s="214">
        <v>39660</v>
      </c>
      <c r="C9" s="102">
        <v>7542.89</v>
      </c>
      <c r="D9" s="110">
        <f>C9/VLOOKUP(MONTH(B9),$G$4:$H$15,2,FALSE)</f>
        <v>11749.534820220069</v>
      </c>
      <c r="G9" s="100">
        <v>6</v>
      </c>
      <c r="H9" s="163">
        <f>SUMPRODUCT((MONTH($B$3:$B$62)=G9)*($C$3:$C$62))/SUMPRODUCT(--(MONTH($B$3:$B$62)=G9))/AVERAGE($C$3:$C$62)</f>
        <v>1.9627936483717769</v>
      </c>
      <c r="I9" s="163"/>
    </row>
    <row r="10" spans="2:9">
      <c r="B10" s="214">
        <v>39691</v>
      </c>
      <c r="C10" s="102">
        <v>9248.89</v>
      </c>
      <c r="D10" s="110">
        <f>C10/VLOOKUP(MONTH(B10),$G$4:$H$15,2,FALSE)</f>
        <v>13111.832594686244</v>
      </c>
      <c r="G10" s="100">
        <v>7</v>
      </c>
      <c r="H10" s="163">
        <f>SUMPRODUCT((MONTH($B$3:$B$62)=G10)*($C$3:$C$62))/SUMPRODUCT(--(MONTH($B$3:$B$62)=G10))/AVERAGE($C$3:$C$62)</f>
        <v>0.64197350068866144</v>
      </c>
      <c r="I10" s="163"/>
    </row>
    <row r="11" spans="2:9">
      <c r="B11" s="214">
        <v>39721</v>
      </c>
      <c r="C11" s="102">
        <v>10591.71</v>
      </c>
      <c r="D11" s="110">
        <f>C11/VLOOKUP(MONTH(B11),$G$4:$H$15,2,FALSE)</f>
        <v>13880.470761248167</v>
      </c>
      <c r="G11" s="100">
        <v>8</v>
      </c>
      <c r="H11" s="163">
        <f>SUMPRODUCT((MONTH($B$3:$B$62)=G11)*($C$3:$C$62))/SUMPRODUCT(--(MONTH($B$3:$B$62)=G11))/AVERAGE($C$3:$C$62)</f>
        <v>0.70538499734569848</v>
      </c>
      <c r="I11" s="163"/>
    </row>
    <row r="12" spans="2:9">
      <c r="B12" s="214">
        <v>39752</v>
      </c>
      <c r="C12" s="102">
        <v>8096.57</v>
      </c>
      <c r="D12" s="110">
        <f>C12/VLOOKUP(MONTH(B12),$G$4:$H$15,2,FALSE)</f>
        <v>12166.026016502257</v>
      </c>
      <c r="G12" s="100">
        <v>9</v>
      </c>
      <c r="H12" s="163">
        <f>SUMPRODUCT((MONTH($B$3:$B$62)=G12)*($C$3:$C$62))/SUMPRODUCT(--(MONTH($B$3:$B$62)=G12))/AVERAGE($C$3:$C$62)</f>
        <v>0.76306561803150008</v>
      </c>
      <c r="I12" s="163"/>
    </row>
    <row r="13" spans="2:9">
      <c r="B13" s="214">
        <v>39782</v>
      </c>
      <c r="C13" s="102">
        <v>8147.39</v>
      </c>
      <c r="D13" s="110">
        <f>C13/VLOOKUP(MONTH(B13),$G$4:$H$15,2,FALSE)</f>
        <v>11278.592443641042</v>
      </c>
      <c r="G13" s="100">
        <v>10</v>
      </c>
      <c r="H13" s="163">
        <f>SUMPRODUCT((MONTH($B$3:$B$62)=G13)*($C$3:$C$62))/SUMPRODUCT(--(MONTH($B$3:$B$62)=G13))/AVERAGE($C$3:$C$62)</f>
        <v>0.66550654988059699</v>
      </c>
      <c r="I13" s="163"/>
    </row>
    <row r="14" spans="2:9">
      <c r="B14" s="214">
        <v>39813</v>
      </c>
      <c r="C14" s="102">
        <v>9755.07</v>
      </c>
      <c r="D14" s="110">
        <f>C14/VLOOKUP(MONTH(B14),$G$4:$H$15,2,FALSE)</f>
        <v>15283.161312129479</v>
      </c>
      <c r="G14" s="100">
        <v>11</v>
      </c>
      <c r="H14" s="163">
        <f>SUMPRODUCT((MONTH($B$3:$B$62)=G14)*($C$3:$C$62))/SUMPRODUCT(--(MONTH($B$3:$B$62)=G14))/AVERAGE($C$3:$C$62)</f>
        <v>0.72237648808682342</v>
      </c>
      <c r="I14" s="163"/>
    </row>
    <row r="15" spans="2:9">
      <c r="B15" s="214">
        <v>39844</v>
      </c>
      <c r="C15" s="102">
        <v>7947.75</v>
      </c>
      <c r="D15" s="110">
        <f>C15/VLOOKUP(MONTH(B15),$G$4:$H$15,2,FALSE)</f>
        <v>15473.076207519433</v>
      </c>
      <c r="G15" s="100">
        <v>12</v>
      </c>
      <c r="H15" s="163">
        <f>SUMPRODUCT((MONTH($B$3:$B$62)=G15)*($C$3:$C$62))/SUMPRODUCT(--(MONTH($B$3:$B$62)=G15))/AVERAGE($C$3:$C$62)</f>
        <v>0.6382887545823317</v>
      </c>
      <c r="I15" s="163"/>
    </row>
    <row r="16" spans="2:9">
      <c r="B16" s="214">
        <v>39872</v>
      </c>
      <c r="C16" s="102">
        <v>9984.2199999999993</v>
      </c>
      <c r="D16" s="110">
        <f>C16/VLOOKUP(MONTH(B16),$G$4:$H$15,2,FALSE)</f>
        <v>14952.631370607123</v>
      </c>
    </row>
    <row r="17" spans="2:4">
      <c r="B17" s="214">
        <v>39903</v>
      </c>
      <c r="C17" s="102">
        <v>7943.24</v>
      </c>
      <c r="D17" s="110">
        <f>C17/VLOOKUP(MONTH(B17),$G$4:$H$15,2,FALSE)</f>
        <v>14318.389592795738</v>
      </c>
    </row>
    <row r="18" spans="2:4">
      <c r="B18" s="214">
        <v>39933</v>
      </c>
      <c r="C18" s="102">
        <v>35029.589999999997</v>
      </c>
      <c r="D18" s="110">
        <f>C18/VLOOKUP(MONTH(B18),$G$4:$H$15,2,FALSE)</f>
        <v>16124.568330968736</v>
      </c>
    </row>
    <row r="19" spans="2:4">
      <c r="B19" s="214">
        <v>39964</v>
      </c>
      <c r="C19" s="102">
        <v>26306.25</v>
      </c>
      <c r="D19" s="110">
        <f>C19/VLOOKUP(MONTH(B19),$G$4:$H$15,2,FALSE)</f>
        <v>13205.662847681157</v>
      </c>
    </row>
    <row r="20" spans="2:4">
      <c r="B20" s="214">
        <v>39994</v>
      </c>
      <c r="C20" s="102">
        <v>26650.91</v>
      </c>
      <c r="D20" s="110">
        <f>C20/VLOOKUP(MONTH(B20),$G$4:$H$15,2,FALSE)</f>
        <v>13578.049848545257</v>
      </c>
    </row>
    <row r="21" spans="2:4">
      <c r="B21" s="214">
        <v>40025</v>
      </c>
      <c r="C21" s="102">
        <v>8928.7000000000007</v>
      </c>
      <c r="D21" s="110">
        <f>C21/VLOOKUP(MONTH(B21),$G$4:$H$15,2,FALSE)</f>
        <v>13908.206476469753</v>
      </c>
    </row>
    <row r="22" spans="2:4">
      <c r="B22" s="214">
        <v>40056</v>
      </c>
      <c r="C22" s="102">
        <v>8458.3700000000008</v>
      </c>
      <c r="D22" s="110">
        <f>C22/VLOOKUP(MONTH(B22),$G$4:$H$15,2,FALSE)</f>
        <v>11991.139635558029</v>
      </c>
    </row>
    <row r="23" spans="2:4">
      <c r="B23" s="214">
        <v>40086</v>
      </c>
      <c r="C23" s="102">
        <v>9905.2999999999993</v>
      </c>
      <c r="D23" s="110">
        <f>C23/VLOOKUP(MONTH(B23),$G$4:$H$15,2,FALSE)</f>
        <v>12980.928200582481</v>
      </c>
    </row>
    <row r="24" spans="2:4">
      <c r="B24" s="214">
        <v>40117</v>
      </c>
      <c r="C24" s="102">
        <v>10339.23</v>
      </c>
      <c r="D24" s="110">
        <f>C24/VLOOKUP(MONTH(B24),$G$4:$H$15,2,FALSE)</f>
        <v>15535.880153027842</v>
      </c>
    </row>
    <row r="25" spans="2:4">
      <c r="B25" s="214">
        <v>40147</v>
      </c>
      <c r="C25" s="102">
        <v>11062.61</v>
      </c>
      <c r="D25" s="110">
        <f>C25/VLOOKUP(MONTH(B25),$G$4:$H$15,2,FALSE)</f>
        <v>15314.18890625683</v>
      </c>
    </row>
    <row r="26" spans="2:4">
      <c r="B26" s="214">
        <v>40178</v>
      </c>
      <c r="C26" s="102">
        <v>6681.89</v>
      </c>
      <c r="D26" s="110">
        <f>C26/VLOOKUP(MONTH(B26),$G$4:$H$15,2,FALSE)</f>
        <v>10468.443869690824</v>
      </c>
    </row>
    <row r="27" spans="2:4">
      <c r="B27" s="214">
        <v>40209</v>
      </c>
      <c r="C27" s="102">
        <v>7710.3</v>
      </c>
      <c r="D27" s="110">
        <f>C27/VLOOKUP(MONTH(B27),$G$4:$H$15,2,FALSE)</f>
        <v>15010.796701310066</v>
      </c>
    </row>
    <row r="28" spans="2:4">
      <c r="B28" s="214">
        <v>40237</v>
      </c>
      <c r="C28" s="102">
        <v>8325.25</v>
      </c>
      <c r="D28" s="110">
        <f>C28/VLOOKUP(MONTH(B28),$G$4:$H$15,2,FALSE)</f>
        <v>12468.11411588957</v>
      </c>
    </row>
    <row r="29" spans="2:4">
      <c r="B29" s="214">
        <v>40268</v>
      </c>
      <c r="C29" s="102">
        <v>9858.31</v>
      </c>
      <c r="D29" s="110">
        <f>C29/VLOOKUP(MONTH(B29),$G$4:$H$15,2,FALSE)</f>
        <v>17770.471911531586</v>
      </c>
    </row>
    <row r="30" spans="2:4">
      <c r="B30" s="214">
        <v>40298</v>
      </c>
      <c r="C30" s="102">
        <v>26274.43</v>
      </c>
      <c r="D30" s="110">
        <f>C30/VLOOKUP(MONTH(B30),$G$4:$H$15,2,FALSE)</f>
        <v>12094.456198095808</v>
      </c>
    </row>
    <row r="31" spans="2:4">
      <c r="B31" s="214">
        <v>40329</v>
      </c>
      <c r="C31" s="102">
        <v>26713.65</v>
      </c>
      <c r="D31" s="110">
        <f>C31/VLOOKUP(MONTH(B31),$G$4:$H$15,2,FALSE)</f>
        <v>13410.176491554585</v>
      </c>
    </row>
    <row r="32" spans="2:4">
      <c r="B32" s="214">
        <v>40359</v>
      </c>
      <c r="C32" s="102">
        <v>35178.129999999997</v>
      </c>
      <c r="D32" s="110">
        <f>C32/VLOOKUP(MONTH(B32),$G$4:$H$15,2,FALSE)</f>
        <v>17922.480047345674</v>
      </c>
    </row>
    <row r="33" spans="2:4">
      <c r="B33" s="214">
        <v>40390</v>
      </c>
      <c r="C33" s="102">
        <v>11632.31</v>
      </c>
      <c r="D33" s="110">
        <f>C33/VLOOKUP(MONTH(B33),$G$4:$H$15,2,FALSE)</f>
        <v>18119.610836773983</v>
      </c>
    </row>
    <row r="34" spans="2:4">
      <c r="B34" s="214">
        <v>40421</v>
      </c>
      <c r="C34" s="102">
        <v>13022.25</v>
      </c>
      <c r="D34" s="110">
        <f>C34/VLOOKUP(MONTH(B34),$G$4:$H$15,2,FALSE)</f>
        <v>18461.195019743231</v>
      </c>
    </row>
    <row r="35" spans="2:4">
      <c r="B35" s="214">
        <v>40451</v>
      </c>
      <c r="C35" s="102">
        <v>11089.04</v>
      </c>
      <c r="D35" s="110">
        <f>C35/VLOOKUP(MONTH(B35),$G$4:$H$15,2,FALSE)</f>
        <v>14532.223360563252</v>
      </c>
    </row>
    <row r="36" spans="2:4">
      <c r="B36" s="214">
        <v>40482</v>
      </c>
      <c r="C36" s="102">
        <v>9778.5400000000009</v>
      </c>
      <c r="D36" s="110">
        <f>C36/VLOOKUP(MONTH(B36),$G$4:$H$15,2,FALSE)</f>
        <v>14693.379053526121</v>
      </c>
    </row>
    <row r="37" spans="2:4">
      <c r="B37" s="214">
        <v>40512</v>
      </c>
      <c r="C37" s="102">
        <v>11645.14</v>
      </c>
      <c r="D37" s="110">
        <f>C37/VLOOKUP(MONTH(B37),$G$4:$H$15,2,FALSE)</f>
        <v>16120.596658456518</v>
      </c>
    </row>
    <row r="38" spans="2:4">
      <c r="B38" s="214">
        <v>40543</v>
      </c>
      <c r="C38" s="102">
        <v>10420.52</v>
      </c>
      <c r="D38" s="110">
        <f>C38/VLOOKUP(MONTH(B38),$G$4:$H$15,2,FALSE)</f>
        <v>16325.714537801521</v>
      </c>
    </row>
    <row r="39" spans="2:4">
      <c r="B39" s="214">
        <v>40574</v>
      </c>
      <c r="C39" s="102">
        <v>9549.4500000000007</v>
      </c>
      <c r="D39" s="110">
        <f>C39/VLOOKUP(MONTH(B39),$G$4:$H$15,2,FALSE)</f>
        <v>18591.345675178061</v>
      </c>
    </row>
    <row r="40" spans="2:4">
      <c r="B40" s="214">
        <v>40602</v>
      </c>
      <c r="C40" s="102">
        <v>14001.55</v>
      </c>
      <c r="D40" s="110">
        <f>C40/VLOOKUP(MONTH(B40),$G$4:$H$15,2,FALSE)</f>
        <v>20969.090801997969</v>
      </c>
    </row>
    <row r="41" spans="2:4">
      <c r="B41" s="214">
        <v>40633</v>
      </c>
      <c r="C41" s="102">
        <v>8651.92</v>
      </c>
      <c r="D41" s="110">
        <f>C41/VLOOKUP(MONTH(B41),$G$4:$H$15,2,FALSE)</f>
        <v>15595.847700145194</v>
      </c>
    </row>
    <row r="42" spans="2:4">
      <c r="B42" s="214">
        <v>40663</v>
      </c>
      <c r="C42" s="102">
        <v>39520.18</v>
      </c>
      <c r="D42" s="110">
        <f>C42/VLOOKUP(MONTH(B42),$G$4:$H$15,2,FALSE)</f>
        <v>18191.644345885408</v>
      </c>
    </row>
    <row r="43" spans="2:4">
      <c r="B43" s="214">
        <v>40694</v>
      </c>
      <c r="C43" s="102">
        <v>40130.25</v>
      </c>
      <c r="D43" s="110">
        <f>C43/VLOOKUP(MONTH(B43),$G$4:$H$15,2,FALSE)</f>
        <v>20145.271617701375</v>
      </c>
    </row>
    <row r="44" spans="2:4">
      <c r="B44" s="214">
        <v>40724</v>
      </c>
      <c r="C44" s="102">
        <v>34224.639999999999</v>
      </c>
      <c r="D44" s="110">
        <f>C44/VLOOKUP(MONTH(B44),$G$4:$H$15,2,FALSE)</f>
        <v>17436.697957725119</v>
      </c>
    </row>
    <row r="45" spans="2:4">
      <c r="B45" s="214">
        <v>40755</v>
      </c>
      <c r="C45" s="102">
        <v>11463.86</v>
      </c>
      <c r="D45" s="110">
        <f>C45/VLOOKUP(MONTH(B45),$G$4:$H$15,2,FALSE)</f>
        <v>17857.216828580033</v>
      </c>
    </row>
    <row r="46" spans="2:4">
      <c r="B46" s="214">
        <v>40786</v>
      </c>
      <c r="C46" s="102">
        <v>13852.64</v>
      </c>
      <c r="D46" s="110">
        <f>C46/VLOOKUP(MONTH(B46),$G$4:$H$15,2,FALSE)</f>
        <v>19638.410303772071</v>
      </c>
    </row>
    <row r="47" spans="2:4">
      <c r="B47" s="214">
        <v>40816</v>
      </c>
      <c r="C47" s="102">
        <v>13164.01</v>
      </c>
      <c r="D47" s="110">
        <f>C47/VLOOKUP(MONTH(B47),$G$4:$H$15,2,FALSE)</f>
        <v>17251.478364284758</v>
      </c>
    </row>
    <row r="48" spans="2:4">
      <c r="B48" s="214">
        <v>40847</v>
      </c>
      <c r="C48" s="102">
        <v>14063.12</v>
      </c>
      <c r="D48" s="110">
        <f>C48/VLOOKUP(MONTH(B48),$G$4:$H$15,2,FALSE)</f>
        <v>21131.4524290154</v>
      </c>
    </row>
    <row r="49" spans="2:5">
      <c r="B49" s="214">
        <v>40877</v>
      </c>
      <c r="C49" s="102">
        <v>13940.6</v>
      </c>
      <c r="D49" s="110">
        <f>C49/VLOOKUP(MONTH(B49),$G$4:$H$15,2,FALSE)</f>
        <v>19298.247146610425</v>
      </c>
    </row>
    <row r="50" spans="2:5">
      <c r="B50" s="214">
        <v>40908</v>
      </c>
      <c r="C50" s="102">
        <v>12352.67</v>
      </c>
      <c r="D50" s="110">
        <f>C50/VLOOKUP(MONTH(B50),$G$4:$H$15,2,FALSE)</f>
        <v>19352.792778063351</v>
      </c>
    </row>
    <row r="51" spans="2:5">
      <c r="B51" s="214">
        <v>40939</v>
      </c>
      <c r="C51" s="102">
        <v>8049.99</v>
      </c>
      <c r="D51" s="110">
        <f>C51/VLOOKUP(MONTH(B51),$G$4:$H$15,2,FALSE)</f>
        <v>15672.122140199346</v>
      </c>
    </row>
    <row r="52" spans="2:5">
      <c r="B52" s="214">
        <v>40968</v>
      </c>
      <c r="C52" s="102">
        <v>13695.38</v>
      </c>
      <c r="D52" s="110">
        <f>C52/VLOOKUP(MONTH(B52),$G$4:$H$15,2,FALSE)</f>
        <v>20510.562529710423</v>
      </c>
    </row>
    <row r="53" spans="2:5">
      <c r="B53" s="214">
        <v>40999</v>
      </c>
      <c r="C53" s="102">
        <v>8753.31</v>
      </c>
      <c r="D53" s="110">
        <f>C53/VLOOKUP(MONTH(B53),$G$4:$H$15,2,FALSE)</f>
        <v>15778.612103690039</v>
      </c>
    </row>
    <row r="54" spans="2:5">
      <c r="B54" s="214">
        <v>41029</v>
      </c>
      <c r="C54" s="102">
        <v>45567.24</v>
      </c>
      <c r="D54" s="110">
        <f>C54/VLOOKUP(MONTH(B54),$G$4:$H$15,2,FALSE)</f>
        <v>20975.183410186983</v>
      </c>
    </row>
    <row r="55" spans="2:5">
      <c r="B55" s="214">
        <v>41060</v>
      </c>
      <c r="C55" s="102">
        <v>34309.440000000002</v>
      </c>
      <c r="D55" s="110">
        <f>C55/VLOOKUP(MONTH(B55),$G$4:$H$15,2,FALSE)</f>
        <v>17223.241516093927</v>
      </c>
    </row>
    <row r="56" spans="2:5">
      <c r="B56" s="214">
        <v>41090</v>
      </c>
      <c r="C56" s="102">
        <v>35072.11</v>
      </c>
      <c r="D56" s="110">
        <f>C56/VLOOKUP(MONTH(B56),$G$4:$H$15,2,FALSE)</f>
        <v>17868.465199637183</v>
      </c>
    </row>
    <row r="57" spans="2:5">
      <c r="B57" s="214">
        <v>41121</v>
      </c>
      <c r="C57" s="102">
        <v>10669.91</v>
      </c>
      <c r="D57" s="110">
        <f>C57/VLOOKUP(MONTH(B57),$G$4:$H$15,2,FALSE)</f>
        <v>16620.483537956185</v>
      </c>
    </row>
    <row r="58" spans="2:5">
      <c r="B58" s="214">
        <v>41152</v>
      </c>
      <c r="C58" s="102">
        <v>10617.79</v>
      </c>
      <c r="D58" s="110">
        <f>C58/VLOOKUP(MONTH(B58),$G$4:$H$15,2,FALSE)</f>
        <v>15052.474946240432</v>
      </c>
    </row>
    <row r="59" spans="2:5">
      <c r="B59" s="214">
        <v>41182</v>
      </c>
      <c r="C59" s="102">
        <v>14963.68</v>
      </c>
      <c r="D59" s="110">
        <f>C59/VLOOKUP(MONTH(B59),$G$4:$H$15,2,FALSE)</f>
        <v>19609.951813321361</v>
      </c>
    </row>
    <row r="60" spans="2:5">
      <c r="B60" s="214">
        <v>41213</v>
      </c>
      <c r="C60" s="102">
        <v>9801.7900000000009</v>
      </c>
      <c r="D60" s="110">
        <f>C60/VLOOKUP(MONTH(B60),$G$4:$H$15,2,FALSE)</f>
        <v>14728.314847928403</v>
      </c>
    </row>
    <row r="61" spans="2:5">
      <c r="B61" s="214">
        <v>41243</v>
      </c>
      <c r="C61" s="102">
        <v>11733.87</v>
      </c>
      <c r="D61" s="110">
        <f>C61/VLOOKUP(MONTH(B61),$G$4:$H$15,2,FALSE)</f>
        <v>16243.427345035199</v>
      </c>
    </row>
    <row r="62" spans="2:5">
      <c r="B62" s="214">
        <v>41274</v>
      </c>
      <c r="C62" s="102">
        <v>10739.17</v>
      </c>
      <c r="D62" s="110">
        <f>C62/VLOOKUP(MONTH(B62),$G$4:$H$15,2,FALSE)</f>
        <v>16824.940002314852</v>
      </c>
    </row>
    <row r="63" spans="2:5">
      <c r="B63" s="214">
        <v>41305</v>
      </c>
      <c r="D63" s="110">
        <f>FORECAST(B63,$D$3:$D$62,$B$3:$B$62)</f>
        <v>19081.026837371377</v>
      </c>
      <c r="E63" s="110">
        <f>D63*VLOOKUP(MONTH(B63),$G$4:$H$15,2,FALSE)</f>
        <v>9800.9748683988637</v>
      </c>
    </row>
    <row r="64" spans="2:5">
      <c r="B64" s="214">
        <v>41333</v>
      </c>
      <c r="D64" s="110">
        <f>FORECAST(B64,$D$3:$D$62,$B$3:$B$62)</f>
        <v>19184.305400805082</v>
      </c>
      <c r="E64" s="110">
        <f>D64*VLOOKUP(MONTH(B64),$G$4:$H$15,2,FALSE)</f>
        <v>12809.807245388472</v>
      </c>
    </row>
    <row r="65" spans="2:5">
      <c r="B65" s="214">
        <v>41364</v>
      </c>
      <c r="D65" s="110">
        <f>FORECAST(B65,$D$3:$D$62,$B$3:$B$62)</f>
        <v>19298.649524606677</v>
      </c>
      <c r="E65" s="110">
        <f>D65*VLOOKUP(MONTH(B65),$G$4:$H$15,2,FALSE)</f>
        <v>10706.078631005134</v>
      </c>
    </row>
    <row r="66" spans="2:5">
      <c r="B66" s="214">
        <v>41394</v>
      </c>
      <c r="D66" s="110">
        <f>FORECAST(B66,$D$3:$D$62,$B$3:$B$62)</f>
        <v>19409.305128285661</v>
      </c>
      <c r="E66" s="110">
        <f>D66*VLOOKUP(MONTH(B66),$G$4:$H$15,2,FALSE)</f>
        <v>42165.469913568646</v>
      </c>
    </row>
    <row r="67" spans="2:5">
      <c r="B67" s="214">
        <v>41425</v>
      </c>
      <c r="D67" s="110">
        <f>FORECAST(B67,$D$3:$D$62,$B$3:$B$62)</f>
        <v>19523.649252087256</v>
      </c>
      <c r="E67" s="110">
        <f>D67*VLOOKUP(MONTH(B67),$G$4:$H$15,2,FALSE)</f>
        <v>38891.951434903145</v>
      </c>
    </row>
    <row r="68" spans="2:5">
      <c r="B68" s="214">
        <v>41455</v>
      </c>
      <c r="D68" s="110">
        <f>FORECAST(B68,$D$3:$D$62,$B$3:$B$62)</f>
        <v>19634.304855766241</v>
      </c>
      <c r="E68" s="110">
        <f>D68*VLOOKUP(MONTH(B68),$G$4:$H$15,2,FALSE)</f>
        <v>38538.088861093114</v>
      </c>
    </row>
    <row r="69" spans="2:5">
      <c r="B69" s="214">
        <v>41486</v>
      </c>
      <c r="D69" s="110">
        <f>FORECAST(B69,$D$3:$D$62,$B$3:$B$62)</f>
        <v>19748.648979567864</v>
      </c>
      <c r="E69" s="110">
        <f>D69*VLOOKUP(MONTH(B69),$G$4:$H$15,2,FALSE)</f>
        <v>12678.109319284744</v>
      </c>
    </row>
    <row r="70" spans="2:5">
      <c r="B70" s="214">
        <v>41517</v>
      </c>
      <c r="D70" s="110">
        <f>FORECAST(B70,$D$3:$D$62,$B$3:$B$62)</f>
        <v>19862.993103369459</v>
      </c>
      <c r="E70" s="110">
        <f>D70*VLOOKUP(MONTH(B70),$G$4:$H$15,2,FALSE)</f>
        <v>14011.057337497894</v>
      </c>
    </row>
    <row r="71" spans="2:5">
      <c r="B71" s="214">
        <v>41547</v>
      </c>
      <c r="D71" s="110">
        <f>FORECAST(B71,$D$3:$D$62,$B$3:$B$62)</f>
        <v>19973.648707048444</v>
      </c>
      <c r="E71" s="110">
        <f>D71*VLOOKUP(MONTH(B71),$G$4:$H$15,2,FALSE)</f>
        <v>15241.204594987994</v>
      </c>
    </row>
    <row r="72" spans="2:5">
      <c r="B72" s="214">
        <v>41578</v>
      </c>
      <c r="D72" s="110">
        <f>FORECAST(B72,$D$3:$D$62,$B$3:$B$62)</f>
        <v>20087.992830850038</v>
      </c>
      <c r="E72" s="110">
        <f>D72*VLOOKUP(MONTH(B72),$G$4:$H$15,2,FALSE)</f>
        <v>13368.690802885176</v>
      </c>
    </row>
    <row r="73" spans="2:5">
      <c r="B73" s="214">
        <v>41608</v>
      </c>
      <c r="D73" s="110">
        <f>FORECAST(B73,$D$3:$D$62,$B$3:$B$62)</f>
        <v>20198.648434529023</v>
      </c>
      <c r="E73" s="110">
        <f>D73*VLOOKUP(MONTH(B73),$G$4:$H$15,2,FALSE)</f>
        <v>14591.028720235488</v>
      </c>
    </row>
    <row r="74" spans="2:5">
      <c r="B74" s="214">
        <v>41639</v>
      </c>
      <c r="D74" s="110">
        <f>FORECAST(B74,$D$3:$D$62,$B$3:$B$62)</f>
        <v>20312.992558330647</v>
      </c>
      <c r="E74" s="110">
        <f>D74*VLOOKUP(MONTH(B74),$G$4:$H$15,2,FALSE)</f>
        <v>12965.554721897041</v>
      </c>
    </row>
  </sheetData>
  <pageMargins left="0.7" right="0.7" top="0.75" bottom="0.75" header="0.3" footer="0.3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4"/>
  <sheetViews>
    <sheetView showGridLines="0" workbookViewId="0">
      <selection activeCell="J14" sqref="J14"/>
    </sheetView>
  </sheetViews>
  <sheetFormatPr defaultRowHeight="15"/>
  <cols>
    <col min="2" max="2" width="10.85546875" bestFit="1" customWidth="1"/>
    <col min="3" max="3" width="12" customWidth="1"/>
  </cols>
  <sheetData>
    <row r="1" spans="1:3">
      <c r="A1" t="s">
        <v>1083</v>
      </c>
    </row>
    <row r="2" spans="1:3">
      <c r="B2" s="217"/>
      <c r="C2" s="216" t="s">
        <v>8</v>
      </c>
    </row>
    <row r="3" spans="1:3">
      <c r="B3" s="215" t="s">
        <v>20</v>
      </c>
      <c r="C3" s="113">
        <v>2661</v>
      </c>
    </row>
    <row r="4" spans="1:3">
      <c r="B4" s="215" t="s">
        <v>21</v>
      </c>
      <c r="C4" s="113">
        <v>3804</v>
      </c>
    </row>
    <row r="5" spans="1:3">
      <c r="B5" s="215" t="s">
        <v>22</v>
      </c>
      <c r="C5" s="113">
        <v>5021</v>
      </c>
    </row>
    <row r="6" spans="1:3">
      <c r="B6" s="215" t="s">
        <v>23</v>
      </c>
      <c r="C6" s="113">
        <v>1001</v>
      </c>
    </row>
    <row r="7" spans="1:3">
      <c r="B7" s="215" t="s">
        <v>24</v>
      </c>
      <c r="C7" s="113">
        <v>4375</v>
      </c>
    </row>
    <row r="8" spans="1:3">
      <c r="B8" s="215" t="s">
        <v>25</v>
      </c>
      <c r="C8" s="113">
        <v>2859</v>
      </c>
    </row>
    <row r="9" spans="1:3">
      <c r="B9" s="215" t="s">
        <v>26</v>
      </c>
      <c r="C9" s="113">
        <v>7659</v>
      </c>
    </row>
    <row r="10" spans="1:3">
      <c r="B10" s="215" t="s">
        <v>27</v>
      </c>
      <c r="C10" s="113">
        <v>3061</v>
      </c>
    </row>
    <row r="11" spans="1:3">
      <c r="B11" s="215" t="s">
        <v>28</v>
      </c>
      <c r="C11" s="113">
        <v>2003</v>
      </c>
    </row>
    <row r="12" spans="1:3">
      <c r="B12" s="215" t="s">
        <v>29</v>
      </c>
      <c r="C12" s="113">
        <v>5147</v>
      </c>
    </row>
    <row r="13" spans="1:3">
      <c r="B13" s="215" t="s">
        <v>30</v>
      </c>
      <c r="C13" s="113">
        <v>4045</v>
      </c>
    </row>
    <row r="14" spans="1:3">
      <c r="B14" s="215" t="s">
        <v>31</v>
      </c>
      <c r="C14" s="113">
        <v>1701</v>
      </c>
    </row>
  </sheetData>
  <conditionalFormatting sqref="C3:C14">
    <cfRule type="expression" dxfId="9" priority="1">
      <formula>C3&lt;4000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B2:E14"/>
  <sheetViews>
    <sheetView workbookViewId="0"/>
  </sheetViews>
  <sheetFormatPr defaultRowHeight="15"/>
  <cols>
    <col min="2" max="2" width="17.7109375" bestFit="1" customWidth="1"/>
    <col min="3" max="3" width="4.28515625" customWidth="1"/>
    <col min="4" max="4" width="12.85546875" customWidth="1"/>
    <col min="5" max="5" width="13.7109375" customWidth="1"/>
  </cols>
  <sheetData>
    <row r="2" spans="2:5">
      <c r="B2" s="219" t="s">
        <v>1022</v>
      </c>
      <c r="D2" s="217" t="s">
        <v>779</v>
      </c>
      <c r="E2" s="216" t="s">
        <v>8</v>
      </c>
    </row>
    <row r="3" spans="2:5">
      <c r="B3" s="218">
        <v>3500</v>
      </c>
      <c r="D3" s="215" t="s">
        <v>20</v>
      </c>
      <c r="E3" s="113">
        <v>2661</v>
      </c>
    </row>
    <row r="4" spans="2:5">
      <c r="D4" s="215" t="s">
        <v>21</v>
      </c>
      <c r="E4" s="113">
        <v>3804</v>
      </c>
    </row>
    <row r="5" spans="2:5">
      <c r="D5" s="215" t="s">
        <v>22</v>
      </c>
      <c r="E5" s="113">
        <v>5021</v>
      </c>
    </row>
    <row r="6" spans="2:5">
      <c r="D6" s="215" t="s">
        <v>23</v>
      </c>
      <c r="E6" s="113">
        <v>1001</v>
      </c>
    </row>
    <row r="7" spans="2:5">
      <c r="D7" s="215" t="s">
        <v>24</v>
      </c>
      <c r="E7" s="113">
        <v>4375</v>
      </c>
    </row>
    <row r="8" spans="2:5">
      <c r="D8" s="215" t="s">
        <v>25</v>
      </c>
      <c r="E8" s="113">
        <v>2859</v>
      </c>
    </row>
    <row r="9" spans="2:5">
      <c r="D9" s="215" t="s">
        <v>26</v>
      </c>
      <c r="E9" s="113">
        <v>7659</v>
      </c>
    </row>
    <row r="10" spans="2:5">
      <c r="D10" s="215" t="s">
        <v>27</v>
      </c>
      <c r="E10" s="113">
        <v>3061</v>
      </c>
    </row>
    <row r="11" spans="2:5">
      <c r="D11" s="215" t="s">
        <v>28</v>
      </c>
      <c r="E11" s="113">
        <v>2003</v>
      </c>
    </row>
    <row r="12" spans="2:5">
      <c r="D12" s="215" t="s">
        <v>29</v>
      </c>
      <c r="E12" s="113">
        <v>5147</v>
      </c>
    </row>
    <row r="13" spans="2:5">
      <c r="D13" s="215" t="s">
        <v>30</v>
      </c>
      <c r="E13" s="113">
        <v>4045</v>
      </c>
    </row>
    <row r="14" spans="2:5">
      <c r="D14" s="215" t="s">
        <v>31</v>
      </c>
      <c r="E14" s="113">
        <v>1701</v>
      </c>
    </row>
  </sheetData>
  <conditionalFormatting sqref="E3:E14">
    <cfRule type="expression" dxfId="8" priority="1">
      <formula>E3&lt;$B$3</formula>
    </cfRule>
  </conditionalFormatting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B2:F28"/>
  <sheetViews>
    <sheetView workbookViewId="0"/>
  </sheetViews>
  <sheetFormatPr defaultRowHeight="15"/>
  <cols>
    <col min="1" max="1" width="9.140625" style="53"/>
    <col min="2" max="2" width="16" style="53" bestFit="1" customWidth="1"/>
    <col min="3" max="3" width="9.140625" style="53" bestFit="1" customWidth="1"/>
    <col min="4" max="4" width="5.140625" style="53" customWidth="1"/>
    <col min="5" max="5" width="16" style="53" bestFit="1" customWidth="1"/>
    <col min="6" max="6" width="10.140625" style="53" bestFit="1" customWidth="1"/>
    <col min="7" max="16384" width="9.140625" style="53"/>
  </cols>
  <sheetData>
    <row r="2" spans="2:6">
      <c r="B2" s="222">
        <v>2013</v>
      </c>
      <c r="E2" s="222">
        <v>2014</v>
      </c>
    </row>
    <row r="3" spans="2:6">
      <c r="B3" s="50" t="s">
        <v>1049</v>
      </c>
      <c r="C3" s="50" t="s">
        <v>1</v>
      </c>
      <c r="E3" s="50" t="s">
        <v>1049</v>
      </c>
      <c r="F3" s="50" t="s">
        <v>1</v>
      </c>
    </row>
    <row r="4" spans="2:6">
      <c r="B4" s="221" t="s">
        <v>1048</v>
      </c>
      <c r="C4" s="220">
        <v>2333.6</v>
      </c>
      <c r="E4" s="221" t="s">
        <v>1047</v>
      </c>
      <c r="F4" s="220">
        <v>2324.357</v>
      </c>
    </row>
    <row r="5" spans="2:6">
      <c r="B5" s="221" t="s">
        <v>1047</v>
      </c>
      <c r="C5" s="220">
        <v>2324.36</v>
      </c>
      <c r="E5" s="221" t="s">
        <v>1046</v>
      </c>
      <c r="F5" s="220">
        <v>2328.5328</v>
      </c>
    </row>
    <row r="6" spans="2:6">
      <c r="B6" s="221" t="s">
        <v>1046</v>
      </c>
      <c r="C6" s="220">
        <v>2328.5300000000002</v>
      </c>
      <c r="E6" s="221" t="s">
        <v>1045</v>
      </c>
      <c r="F6" s="220">
        <v>2328.5328</v>
      </c>
    </row>
    <row r="7" spans="2:6">
      <c r="B7" s="221" t="s">
        <v>1045</v>
      </c>
      <c r="C7" s="220">
        <v>2328.5300000000002</v>
      </c>
      <c r="E7" s="221" t="s">
        <v>1044</v>
      </c>
      <c r="F7" s="220">
        <v>3801.86</v>
      </c>
    </row>
    <row r="8" spans="2:6">
      <c r="B8" s="221" t="s">
        <v>1043</v>
      </c>
      <c r="C8" s="220">
        <v>2334.0100000000002</v>
      </c>
      <c r="E8" s="221" t="s">
        <v>1043</v>
      </c>
      <c r="F8" s="220">
        <v>2334.0126</v>
      </c>
    </row>
    <row r="9" spans="2:6">
      <c r="B9" s="221" t="s">
        <v>1041</v>
      </c>
      <c r="C9" s="220">
        <v>2311.6999999999998</v>
      </c>
      <c r="E9" s="221" t="s">
        <v>1042</v>
      </c>
      <c r="F9" s="220">
        <v>3099.4459999999999</v>
      </c>
    </row>
    <row r="10" spans="2:6">
      <c r="B10" s="221" t="s">
        <v>1040</v>
      </c>
      <c r="C10" s="220">
        <v>2311.79</v>
      </c>
      <c r="E10" s="221" t="s">
        <v>1041</v>
      </c>
      <c r="F10" s="220">
        <v>2311.7039</v>
      </c>
    </row>
    <row r="11" spans="2:6">
      <c r="B11" s="221" t="s">
        <v>1039</v>
      </c>
      <c r="C11" s="220">
        <v>2311.5</v>
      </c>
      <c r="E11" s="221" t="s">
        <v>1040</v>
      </c>
      <c r="F11" s="220">
        <v>2311.7928000000002</v>
      </c>
    </row>
    <row r="12" spans="2:6">
      <c r="B12" s="221" t="s">
        <v>1036</v>
      </c>
      <c r="C12" s="220">
        <v>2315.14</v>
      </c>
      <c r="E12" s="221" t="s">
        <v>1039</v>
      </c>
      <c r="F12" s="220">
        <v>2311.5</v>
      </c>
    </row>
    <row r="13" spans="2:6">
      <c r="B13" s="221" t="s">
        <v>1035</v>
      </c>
      <c r="C13" s="220">
        <v>2332.94</v>
      </c>
      <c r="E13" s="221" t="s">
        <v>1038</v>
      </c>
      <c r="F13" s="220">
        <v>7220.8032999999996</v>
      </c>
    </row>
    <row r="14" spans="2:6">
      <c r="B14" s="221" t="s">
        <v>1032</v>
      </c>
      <c r="C14" s="220">
        <v>2336.59</v>
      </c>
      <c r="E14" s="221" t="s">
        <v>1037</v>
      </c>
      <c r="F14" s="220">
        <v>14224.8379</v>
      </c>
    </row>
    <row r="15" spans="2:6">
      <c r="B15" s="221" t="s">
        <v>1031</v>
      </c>
      <c r="C15" s="220">
        <v>2333.6</v>
      </c>
      <c r="E15" s="221" t="s">
        <v>1036</v>
      </c>
      <c r="F15" s="220">
        <v>2315.1372000000001</v>
      </c>
    </row>
    <row r="16" spans="2:6">
      <c r="B16" s="221" t="s">
        <v>1029</v>
      </c>
      <c r="C16" s="220">
        <v>2321.61</v>
      </c>
      <c r="E16" s="221" t="s">
        <v>1035</v>
      </c>
      <c r="F16" s="220">
        <v>2332.9413</v>
      </c>
    </row>
    <row r="17" spans="2:6">
      <c r="B17" s="221" t="s">
        <v>1027</v>
      </c>
      <c r="C17" s="220">
        <v>2311.96</v>
      </c>
      <c r="E17" s="221" t="s">
        <v>1034</v>
      </c>
      <c r="F17" s="220">
        <v>4175.7452000000003</v>
      </c>
    </row>
    <row r="18" spans="2:6">
      <c r="B18" s="221" t="s">
        <v>1026</v>
      </c>
      <c r="C18" s="220">
        <v>2328.58</v>
      </c>
      <c r="E18" s="221" t="s">
        <v>1033</v>
      </c>
      <c r="F18" s="220">
        <v>5931.4562999999998</v>
      </c>
    </row>
    <row r="19" spans="2:6">
      <c r="B19" s="221" t="s">
        <v>1025</v>
      </c>
      <c r="C19" s="220">
        <v>2330.56</v>
      </c>
      <c r="E19" s="221" t="s">
        <v>1032</v>
      </c>
      <c r="F19" s="220">
        <v>2336.5888</v>
      </c>
    </row>
    <row r="20" spans="2:6">
      <c r="B20" s="221" t="s">
        <v>1024</v>
      </c>
      <c r="C20" s="220">
        <v>2311.5</v>
      </c>
      <c r="E20" s="221" t="s">
        <v>1031</v>
      </c>
      <c r="F20" s="220">
        <v>2333.5956000000001</v>
      </c>
    </row>
    <row r="21" spans="2:6">
      <c r="B21" s="221" t="s">
        <v>1023</v>
      </c>
      <c r="C21" s="220">
        <v>2311.0500000000002</v>
      </c>
      <c r="E21" s="221" t="s">
        <v>1030</v>
      </c>
      <c r="F21" s="220">
        <v>47587.212</v>
      </c>
    </row>
    <row r="22" spans="2:6">
      <c r="E22" s="221" t="s">
        <v>1029</v>
      </c>
      <c r="F22" s="220">
        <v>2321.605</v>
      </c>
    </row>
    <row r="23" spans="2:6">
      <c r="E23" s="221" t="s">
        <v>1028</v>
      </c>
      <c r="F23" s="220">
        <v>2921.2656000000002</v>
      </c>
    </row>
    <row r="24" spans="2:6">
      <c r="E24" s="221" t="s">
        <v>1027</v>
      </c>
      <c r="F24" s="220">
        <v>2311.9632000000001</v>
      </c>
    </row>
    <row r="25" spans="2:6">
      <c r="E25" s="221" t="s">
        <v>1026</v>
      </c>
      <c r="F25" s="220">
        <v>2328.576</v>
      </c>
    </row>
    <row r="26" spans="2:6">
      <c r="E26" s="221" t="s">
        <v>1025</v>
      </c>
      <c r="F26" s="220">
        <v>2330.5632000000001</v>
      </c>
    </row>
    <row r="27" spans="2:6">
      <c r="E27" s="221" t="s">
        <v>1024</v>
      </c>
      <c r="F27" s="220">
        <v>2311.5</v>
      </c>
    </row>
    <row r="28" spans="2:6">
      <c r="E28" s="221" t="s">
        <v>1023</v>
      </c>
      <c r="F28" s="220">
        <v>2311.0531999999998</v>
      </c>
    </row>
  </sheetData>
  <conditionalFormatting sqref="E4:E28">
    <cfRule type="expression" dxfId="7" priority="1">
      <formula>COUNTIF($B$4:$B$21,E4)=0</formula>
    </cfRule>
  </conditionalFormatting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B2:F28"/>
  <sheetViews>
    <sheetView workbookViewId="0"/>
  </sheetViews>
  <sheetFormatPr defaultRowHeight="15"/>
  <cols>
    <col min="2" max="2" width="16" style="53" bestFit="1" customWidth="1"/>
    <col min="3" max="3" width="10.140625" style="53" bestFit="1" customWidth="1"/>
    <col min="4" max="4" width="6.7109375" style="53" customWidth="1"/>
    <col min="5" max="5" width="16" style="53" bestFit="1" customWidth="1"/>
    <col min="6" max="6" width="10.140625" style="53" bestFit="1" customWidth="1"/>
  </cols>
  <sheetData>
    <row r="2" spans="2:6" s="53" customFormat="1">
      <c r="B2" s="222">
        <v>2013</v>
      </c>
      <c r="E2" s="222">
        <v>2014</v>
      </c>
    </row>
    <row r="3" spans="2:6">
      <c r="B3" s="223" t="s">
        <v>1049</v>
      </c>
      <c r="C3" s="223" t="s">
        <v>1</v>
      </c>
      <c r="E3" s="223" t="s">
        <v>1049</v>
      </c>
      <c r="F3" s="223" t="s">
        <v>1</v>
      </c>
    </row>
    <row r="4" spans="2:6">
      <c r="B4" s="221" t="s">
        <v>1048</v>
      </c>
      <c r="C4" s="220">
        <v>2333.6</v>
      </c>
      <c r="E4" s="221" t="s">
        <v>1047</v>
      </c>
      <c r="F4" s="220">
        <v>2324.357</v>
      </c>
    </row>
    <row r="5" spans="2:6">
      <c r="B5" s="221" t="s">
        <v>1047</v>
      </c>
      <c r="C5" s="220">
        <v>2324.36</v>
      </c>
      <c r="E5" s="221" t="s">
        <v>1046</v>
      </c>
      <c r="F5" s="220">
        <v>2328.5328</v>
      </c>
    </row>
    <row r="6" spans="2:6">
      <c r="B6" s="221" t="s">
        <v>1046</v>
      </c>
      <c r="C6" s="220">
        <v>2328.5300000000002</v>
      </c>
      <c r="E6" s="221" t="s">
        <v>1045</v>
      </c>
      <c r="F6" s="220">
        <v>2328.5328</v>
      </c>
    </row>
    <row r="7" spans="2:6">
      <c r="B7" s="221" t="s">
        <v>1045</v>
      </c>
      <c r="C7" s="220">
        <v>2328.5300000000002</v>
      </c>
      <c r="E7" s="221" t="s">
        <v>1044</v>
      </c>
      <c r="F7" s="220">
        <v>3801.86</v>
      </c>
    </row>
    <row r="8" spans="2:6">
      <c r="B8" s="221" t="s">
        <v>1043</v>
      </c>
      <c r="C8" s="220">
        <v>2334.0100000000002</v>
      </c>
      <c r="E8" s="221" t="s">
        <v>1043</v>
      </c>
      <c r="F8" s="220">
        <v>2334.0126</v>
      </c>
    </row>
    <row r="9" spans="2:6">
      <c r="B9" s="221" t="s">
        <v>1041</v>
      </c>
      <c r="C9" s="220">
        <v>2311.6999999999998</v>
      </c>
      <c r="E9" s="221" t="s">
        <v>1042</v>
      </c>
      <c r="F9" s="220">
        <v>3099.4459999999999</v>
      </c>
    </row>
    <row r="10" spans="2:6">
      <c r="B10" s="221" t="s">
        <v>1040</v>
      </c>
      <c r="C10" s="220">
        <v>2311.79</v>
      </c>
      <c r="E10" s="221" t="s">
        <v>1041</v>
      </c>
      <c r="F10" s="220">
        <v>2311.7039</v>
      </c>
    </row>
    <row r="11" spans="2:6">
      <c r="B11" s="221" t="s">
        <v>1039</v>
      </c>
      <c r="C11" s="220">
        <v>2311.5</v>
      </c>
      <c r="E11" s="221" t="s">
        <v>1040</v>
      </c>
      <c r="F11" s="220">
        <v>2311.7928000000002</v>
      </c>
    </row>
    <row r="12" spans="2:6">
      <c r="B12" s="221" t="s">
        <v>1036</v>
      </c>
      <c r="C12" s="220">
        <v>2315.14</v>
      </c>
      <c r="E12" s="221" t="s">
        <v>1039</v>
      </c>
      <c r="F12" s="220">
        <v>2311.5</v>
      </c>
    </row>
    <row r="13" spans="2:6">
      <c r="B13" s="221" t="s">
        <v>1035</v>
      </c>
      <c r="C13" s="220">
        <v>2332.94</v>
      </c>
      <c r="E13" s="221" t="s">
        <v>1038</v>
      </c>
      <c r="F13" s="220">
        <v>7220.8032999999996</v>
      </c>
    </row>
    <row r="14" spans="2:6">
      <c r="B14" s="221" t="s">
        <v>1032</v>
      </c>
      <c r="C14" s="220">
        <v>2336.59</v>
      </c>
      <c r="E14" s="221" t="s">
        <v>1037</v>
      </c>
      <c r="F14" s="220">
        <v>14224.8379</v>
      </c>
    </row>
    <row r="15" spans="2:6">
      <c r="B15" s="221" t="s">
        <v>1031</v>
      </c>
      <c r="C15" s="220">
        <v>2333.6</v>
      </c>
      <c r="E15" s="221" t="s">
        <v>1036</v>
      </c>
      <c r="F15" s="220">
        <v>2315.1372000000001</v>
      </c>
    </row>
    <row r="16" spans="2:6">
      <c r="B16" s="221" t="s">
        <v>1029</v>
      </c>
      <c r="C16" s="220">
        <v>2321.61</v>
      </c>
      <c r="E16" s="221" t="s">
        <v>1035</v>
      </c>
      <c r="F16" s="220">
        <v>2332.9413</v>
      </c>
    </row>
    <row r="17" spans="2:6">
      <c r="B17" s="221" t="s">
        <v>1027</v>
      </c>
      <c r="C17" s="220">
        <v>2311.96</v>
      </c>
      <c r="E17" s="221" t="s">
        <v>1034</v>
      </c>
      <c r="F17" s="220">
        <v>4175.7452000000003</v>
      </c>
    </row>
    <row r="18" spans="2:6">
      <c r="B18" s="221" t="s">
        <v>1026</v>
      </c>
      <c r="C18" s="220">
        <v>2328.58</v>
      </c>
      <c r="E18" s="221" t="s">
        <v>1033</v>
      </c>
      <c r="F18" s="220">
        <v>5931.4562999999998</v>
      </c>
    </row>
    <row r="19" spans="2:6">
      <c r="B19" s="221" t="s">
        <v>1025</v>
      </c>
      <c r="C19" s="220">
        <v>2330.56</v>
      </c>
      <c r="E19" s="221" t="s">
        <v>1032</v>
      </c>
      <c r="F19" s="220">
        <v>2336.5888</v>
      </c>
    </row>
    <row r="20" spans="2:6">
      <c r="B20" s="221" t="s">
        <v>1024</v>
      </c>
      <c r="C20" s="220">
        <v>2311.5</v>
      </c>
      <c r="E20" s="221" t="s">
        <v>1031</v>
      </c>
      <c r="F20" s="220">
        <v>2333.5956000000001</v>
      </c>
    </row>
    <row r="21" spans="2:6">
      <c r="B21" s="221" t="s">
        <v>1023</v>
      </c>
      <c r="C21" s="220">
        <v>2311.0500000000002</v>
      </c>
      <c r="E21" s="221" t="s">
        <v>1030</v>
      </c>
      <c r="F21" s="220">
        <v>47587.212</v>
      </c>
    </row>
    <row r="22" spans="2:6">
      <c r="E22" s="221" t="s">
        <v>1029</v>
      </c>
      <c r="F22" s="220">
        <v>2321.605</v>
      </c>
    </row>
    <row r="23" spans="2:6">
      <c r="E23" s="221" t="s">
        <v>1028</v>
      </c>
      <c r="F23" s="220">
        <v>2921.2656000000002</v>
      </c>
    </row>
    <row r="24" spans="2:6">
      <c r="E24" s="221" t="s">
        <v>1027</v>
      </c>
      <c r="F24" s="220">
        <v>2311.9632000000001</v>
      </c>
    </row>
    <row r="25" spans="2:6">
      <c r="E25" s="221" t="s">
        <v>1026</v>
      </c>
      <c r="F25" s="220">
        <v>2328.576</v>
      </c>
    </row>
    <row r="26" spans="2:6">
      <c r="E26" s="221" t="s">
        <v>1025</v>
      </c>
      <c r="F26" s="220">
        <v>2330.5632000000001</v>
      </c>
    </row>
    <row r="27" spans="2:6">
      <c r="E27" s="221" t="s">
        <v>1024</v>
      </c>
      <c r="F27" s="220">
        <v>2311.5</v>
      </c>
    </row>
    <row r="28" spans="2:6">
      <c r="E28" s="221" t="s">
        <v>1023</v>
      </c>
      <c r="F28" s="220">
        <v>2311.0531999999998</v>
      </c>
    </row>
  </sheetData>
  <conditionalFormatting sqref="E4:E28">
    <cfRule type="expression" dxfId="6" priority="1">
      <formula>COUNTIF($B$4:$B$21,E4)&gt;0</formula>
    </cfRule>
  </conditionalFormatting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B2:B18"/>
  <sheetViews>
    <sheetView workbookViewId="0"/>
  </sheetViews>
  <sheetFormatPr defaultRowHeight="15"/>
  <cols>
    <col min="2" max="2" width="19.28515625" bestFit="1" customWidth="1"/>
  </cols>
  <sheetData>
    <row r="2" spans="2:2">
      <c r="B2" s="219" t="s">
        <v>1050</v>
      </c>
    </row>
    <row r="3" spans="2:2">
      <c r="B3" s="224">
        <v>40931</v>
      </c>
    </row>
    <row r="4" spans="2:2">
      <c r="B4" s="224">
        <v>40175</v>
      </c>
    </row>
    <row r="5" spans="2:2">
      <c r="B5" s="224">
        <v>40447</v>
      </c>
    </row>
    <row r="6" spans="2:2">
      <c r="B6" s="224">
        <v>41981</v>
      </c>
    </row>
    <row r="7" spans="2:2">
      <c r="B7" s="224">
        <v>40293</v>
      </c>
    </row>
    <row r="8" spans="2:2">
      <c r="B8" s="224">
        <v>41220</v>
      </c>
    </row>
    <row r="9" spans="2:2">
      <c r="B9" s="224">
        <v>41851</v>
      </c>
    </row>
    <row r="10" spans="2:2">
      <c r="B10" s="224">
        <v>41967</v>
      </c>
    </row>
    <row r="11" spans="2:2">
      <c r="B11" s="224">
        <v>40540</v>
      </c>
    </row>
    <row r="12" spans="2:2">
      <c r="B12" s="224">
        <v>40752</v>
      </c>
    </row>
    <row r="13" spans="2:2">
      <c r="B13" s="224">
        <v>41990</v>
      </c>
    </row>
    <row r="14" spans="2:2">
      <c r="B14" s="224">
        <v>41854</v>
      </c>
    </row>
    <row r="15" spans="2:2">
      <c r="B15" s="224">
        <v>40664</v>
      </c>
    </row>
    <row r="16" spans="2:2">
      <c r="B16" s="224">
        <v>40635</v>
      </c>
    </row>
    <row r="17" spans="2:2">
      <c r="B17" s="224">
        <v>40011</v>
      </c>
    </row>
    <row r="18" spans="2:2">
      <c r="B18" s="224">
        <v>40037</v>
      </c>
    </row>
  </sheetData>
  <conditionalFormatting sqref="B3:B18">
    <cfRule type="expression" dxfId="5" priority="1">
      <formula>OR(WEEKDAY(B3)=1,WEEKDAY(B3)=7)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B2:E18"/>
  <sheetViews>
    <sheetView workbookViewId="0"/>
  </sheetViews>
  <sheetFormatPr defaultRowHeight="15"/>
  <cols>
    <col min="3" max="3" width="10.7109375" bestFit="1" customWidth="1"/>
    <col min="4" max="4" width="4.140625" customWidth="1"/>
    <col min="5" max="5" width="33" style="12" bestFit="1" customWidth="1"/>
  </cols>
  <sheetData>
    <row r="2" spans="2:5">
      <c r="B2" s="219" t="s">
        <v>1053</v>
      </c>
      <c r="C2" s="219" t="s">
        <v>1052</v>
      </c>
      <c r="E2" s="225" t="s">
        <v>1051</v>
      </c>
    </row>
    <row r="3" spans="2:5">
      <c r="B3" s="224">
        <v>40179</v>
      </c>
      <c r="C3" s="224">
        <v>41274</v>
      </c>
      <c r="E3" s="81">
        <v>40931</v>
      </c>
    </row>
    <row r="4" spans="2:5">
      <c r="E4" s="81">
        <v>40175</v>
      </c>
    </row>
    <row r="5" spans="2:5">
      <c r="E5" s="81">
        <v>40447</v>
      </c>
    </row>
    <row r="6" spans="2:5">
      <c r="E6" s="81">
        <v>41981</v>
      </c>
    </row>
    <row r="7" spans="2:5">
      <c r="E7" s="81">
        <v>40293</v>
      </c>
    </row>
    <row r="8" spans="2:5">
      <c r="E8" s="81">
        <v>41220</v>
      </c>
    </row>
    <row r="9" spans="2:5">
      <c r="E9" s="81">
        <v>41851</v>
      </c>
    </row>
    <row r="10" spans="2:5">
      <c r="E10" s="81">
        <v>41967</v>
      </c>
    </row>
    <row r="11" spans="2:5">
      <c r="E11" s="81">
        <v>40540</v>
      </c>
    </row>
    <row r="12" spans="2:5">
      <c r="E12" s="81">
        <v>40752</v>
      </c>
    </row>
    <row r="13" spans="2:5">
      <c r="E13" s="81">
        <v>41990</v>
      </c>
    </row>
    <row r="14" spans="2:5">
      <c r="E14" s="81">
        <v>41854</v>
      </c>
    </row>
    <row r="15" spans="2:5">
      <c r="E15" s="81">
        <v>40664</v>
      </c>
    </row>
    <row r="16" spans="2:5">
      <c r="E16" s="81">
        <v>40635</v>
      </c>
    </row>
    <row r="17" spans="5:5">
      <c r="E17" s="81">
        <v>40011</v>
      </c>
    </row>
    <row r="18" spans="5:5">
      <c r="E18" s="81">
        <v>40037</v>
      </c>
    </row>
  </sheetData>
  <conditionalFormatting sqref="E3:E18">
    <cfRule type="expression" dxfId="4" priority="1">
      <formula>AND(E3&gt;=$B$3,E3&lt;=$C$3)</formula>
    </cfRule>
  </conditionalFormatting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C3:C9"/>
  <sheetViews>
    <sheetView workbookViewId="0"/>
  </sheetViews>
  <sheetFormatPr defaultRowHeight="15"/>
  <cols>
    <col min="3" max="3" width="14.42578125" customWidth="1"/>
  </cols>
  <sheetData>
    <row r="3" spans="3:3">
      <c r="C3" s="10" t="s">
        <v>1054</v>
      </c>
    </row>
    <row r="4" spans="3:3">
      <c r="C4" s="226">
        <v>41389</v>
      </c>
    </row>
    <row r="5" spans="3:3">
      <c r="C5" s="226">
        <v>42494</v>
      </c>
    </row>
    <row r="6" spans="3:3">
      <c r="C6" s="226">
        <v>41763</v>
      </c>
    </row>
    <row r="7" spans="3:3">
      <c r="C7" s="226">
        <v>40996</v>
      </c>
    </row>
    <row r="8" spans="3:3">
      <c r="C8" s="226">
        <v>42482</v>
      </c>
    </row>
    <row r="9" spans="3:3">
      <c r="C9" s="226">
        <v>41364</v>
      </c>
    </row>
  </sheetData>
  <conditionalFormatting sqref="C4:C9">
    <cfRule type="expression" dxfId="3" priority="1">
      <formula>TODAY()-C4&gt;90</formula>
    </cfRule>
  </conditionalFormatting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2:D20"/>
  <sheetViews>
    <sheetView workbookViewId="0"/>
  </sheetViews>
  <sheetFormatPr defaultRowHeight="15"/>
  <cols>
    <col min="1" max="1" width="18.42578125" bestFit="1" customWidth="1"/>
    <col min="2" max="2" width="10.140625" bestFit="1" customWidth="1"/>
    <col min="3" max="3" width="5.42578125" customWidth="1"/>
    <col min="4" max="4" width="14.5703125" style="227" bestFit="1" customWidth="1"/>
  </cols>
  <sheetData>
    <row r="2" spans="1:4">
      <c r="A2" s="232" t="s">
        <v>1074</v>
      </c>
      <c r="B2" s="232" t="s">
        <v>1073</v>
      </c>
    </row>
    <row r="3" spans="1:4">
      <c r="A3" s="229" t="s">
        <v>1072</v>
      </c>
      <c r="B3" s="228">
        <v>54332.627200000003</v>
      </c>
    </row>
    <row r="4" spans="1:4">
      <c r="A4" s="229" t="s">
        <v>1071</v>
      </c>
      <c r="B4" s="228">
        <v>54147.731599999999</v>
      </c>
    </row>
    <row r="5" spans="1:4">
      <c r="A5" s="229" t="s">
        <v>1070</v>
      </c>
      <c r="B5" s="228">
        <v>53621.490400000002</v>
      </c>
    </row>
    <row r="6" spans="1:4">
      <c r="A6" s="229" t="s">
        <v>1069</v>
      </c>
      <c r="B6" s="228">
        <v>53433.414499999999</v>
      </c>
      <c r="D6" s="231" t="s">
        <v>944</v>
      </c>
    </row>
    <row r="7" spans="1:4">
      <c r="A7" s="229" t="s">
        <v>1068</v>
      </c>
      <c r="B7" s="228">
        <v>52990.558299999997</v>
      </c>
      <c r="D7" s="230">
        <f>PERCENTILE($B$3:$B$20,0.75)</f>
        <v>52651.023000000001</v>
      </c>
    </row>
    <row r="8" spans="1:4">
      <c r="A8" s="229" t="s">
        <v>1067</v>
      </c>
      <c r="B8" s="228">
        <v>51632.417099999999</v>
      </c>
    </row>
    <row r="9" spans="1:4">
      <c r="A9" s="229" t="s">
        <v>1066</v>
      </c>
      <c r="B9" s="228">
        <v>51181.690300000002</v>
      </c>
    </row>
    <row r="10" spans="1:4">
      <c r="A10" s="229" t="s">
        <v>1065</v>
      </c>
      <c r="B10" s="228">
        <v>36376.824000000001</v>
      </c>
    </row>
    <row r="11" spans="1:4">
      <c r="A11" s="229" t="s">
        <v>1064</v>
      </c>
      <c r="B11" s="228">
        <v>35620.650099999999</v>
      </c>
    </row>
    <row r="12" spans="1:4">
      <c r="A12" s="229" t="s">
        <v>1063</v>
      </c>
      <c r="B12" s="228">
        <v>25733.5147</v>
      </c>
    </row>
    <row r="13" spans="1:4">
      <c r="A13" s="229" t="s">
        <v>1062</v>
      </c>
      <c r="B13" s="228">
        <v>25381.4107</v>
      </c>
    </row>
    <row r="14" spans="1:4">
      <c r="A14" s="229" t="s">
        <v>1061</v>
      </c>
      <c r="B14" s="228">
        <v>25373.868900000001</v>
      </c>
    </row>
    <row r="15" spans="1:4">
      <c r="A15" s="229" t="s">
        <v>1060</v>
      </c>
      <c r="B15" s="228">
        <v>25148.722399999999</v>
      </c>
      <c r="D15" s="231" t="s">
        <v>940</v>
      </c>
    </row>
    <row r="16" spans="1:4">
      <c r="A16" s="229" t="s">
        <v>1059</v>
      </c>
      <c r="B16" s="228">
        <v>24492.318500000001</v>
      </c>
      <c r="D16" s="230">
        <f>PERCENTILE($B$3:$B$20,0.25)</f>
        <v>24656.419475000002</v>
      </c>
    </row>
    <row r="17" spans="1:2" customFormat="1">
      <c r="A17" s="229" t="s">
        <v>1058</v>
      </c>
      <c r="B17" s="228">
        <v>24413.5412</v>
      </c>
    </row>
    <row r="18" spans="1:2" customFormat="1">
      <c r="A18" s="229" t="s">
        <v>1057</v>
      </c>
      <c r="B18" s="228">
        <v>24218.903200000001</v>
      </c>
    </row>
    <row r="19" spans="1:2" customFormat="1">
      <c r="A19" s="229" t="s">
        <v>1056</v>
      </c>
      <c r="B19" s="228">
        <v>23562.846300000001</v>
      </c>
    </row>
    <row r="20" spans="1:2" customFormat="1">
      <c r="A20" s="229" t="s">
        <v>1055</v>
      </c>
      <c r="B20" s="228">
        <v>23525.8946</v>
      </c>
    </row>
  </sheetData>
  <conditionalFormatting sqref="B3:B20">
    <cfRule type="expression" dxfId="2" priority="1">
      <formula>B3&lt;=PERCENTILE($B$3:$B$20,0.25)</formula>
    </cfRule>
    <cfRule type="expression" dxfId="1" priority="2">
      <formula>B3&gt;=PERCENTILE($B$3:$B$20,0.75)</formula>
    </cfRule>
  </conditionalFormatting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2:F20"/>
  <sheetViews>
    <sheetView workbookViewId="0"/>
  </sheetViews>
  <sheetFormatPr defaultRowHeight="15"/>
  <cols>
    <col min="1" max="1" width="18.42578125" bestFit="1" customWidth="1"/>
    <col min="2" max="2" width="11" bestFit="1" customWidth="1"/>
    <col min="3" max="3" width="6" customWidth="1"/>
    <col min="4" max="4" width="12.140625" bestFit="1" customWidth="1"/>
    <col min="6" max="6" width="36.42578125" customWidth="1"/>
  </cols>
  <sheetData>
    <row r="2" spans="1:6">
      <c r="A2" s="2" t="s">
        <v>1074</v>
      </c>
      <c r="B2" s="2" t="s">
        <v>1073</v>
      </c>
    </row>
    <row r="3" spans="1:6">
      <c r="A3" t="s">
        <v>1071</v>
      </c>
      <c r="B3">
        <v>900</v>
      </c>
      <c r="D3" s="40" t="s">
        <v>1082</v>
      </c>
      <c r="E3" s="218">
        <f>QUARTILE(B3:B20,1)</f>
        <v>4350</v>
      </c>
      <c r="F3" s="61" t="s">
        <v>1081</v>
      </c>
    </row>
    <row r="4" spans="1:6">
      <c r="A4" t="s">
        <v>1070</v>
      </c>
      <c r="B4">
        <v>1000</v>
      </c>
      <c r="D4" s="40" t="s">
        <v>1080</v>
      </c>
      <c r="E4" s="218">
        <f>QUARTILE($B$3:$B$20,3)</f>
        <v>6483</v>
      </c>
      <c r="F4" s="61" t="s">
        <v>1079</v>
      </c>
    </row>
    <row r="5" spans="1:6">
      <c r="A5" t="s">
        <v>1069</v>
      </c>
      <c r="B5">
        <v>1300</v>
      </c>
      <c r="D5" s="40" t="s">
        <v>1078</v>
      </c>
      <c r="E5" s="218">
        <f>E4-E3</f>
        <v>2133</v>
      </c>
      <c r="F5" s="61" t="s">
        <v>1077</v>
      </c>
    </row>
    <row r="6" spans="1:6">
      <c r="A6" t="s">
        <v>1072</v>
      </c>
      <c r="B6">
        <v>1500</v>
      </c>
    </row>
    <row r="7" spans="1:6">
      <c r="A7" t="s">
        <v>1068</v>
      </c>
      <c r="B7">
        <v>4300</v>
      </c>
      <c r="D7" s="40" t="s">
        <v>958</v>
      </c>
      <c r="E7" s="218">
        <f>E4+(E5*1.5)</f>
        <v>9682.5</v>
      </c>
      <c r="F7" s="61" t="s">
        <v>1076</v>
      </c>
    </row>
    <row r="8" spans="1:6">
      <c r="A8" t="s">
        <v>1067</v>
      </c>
      <c r="B8">
        <v>4500</v>
      </c>
      <c r="D8" s="40" t="s">
        <v>957</v>
      </c>
      <c r="E8" s="218">
        <f>E3-(E5*1.5)</f>
        <v>1150.5</v>
      </c>
      <c r="F8" s="61" t="s">
        <v>1075</v>
      </c>
    </row>
    <row r="9" spans="1:6">
      <c r="A9" t="s">
        <v>1066</v>
      </c>
      <c r="B9">
        <v>4600</v>
      </c>
    </row>
    <row r="10" spans="1:6">
      <c r="A10" t="s">
        <v>1065</v>
      </c>
      <c r="B10">
        <v>5500</v>
      </c>
    </row>
    <row r="11" spans="1:6">
      <c r="A11" t="s">
        <v>1064</v>
      </c>
      <c r="B11">
        <v>5600</v>
      </c>
    </row>
    <row r="12" spans="1:6">
      <c r="A12" t="s">
        <v>1063</v>
      </c>
      <c r="B12">
        <v>6000</v>
      </c>
    </row>
    <row r="13" spans="1:6">
      <c r="A13" t="s">
        <v>1062</v>
      </c>
      <c r="B13">
        <v>6100</v>
      </c>
    </row>
    <row r="14" spans="1:6">
      <c r="A14" t="s">
        <v>1061</v>
      </c>
      <c r="B14">
        <v>6200</v>
      </c>
    </row>
    <row r="15" spans="1:6">
      <c r="A15" t="s">
        <v>1055</v>
      </c>
      <c r="B15">
        <v>6432</v>
      </c>
    </row>
    <row r="16" spans="1:6">
      <c r="A16" t="s">
        <v>1060</v>
      </c>
      <c r="B16">
        <v>6500</v>
      </c>
    </row>
    <row r="17" spans="1:2">
      <c r="A17" t="s">
        <v>1059</v>
      </c>
      <c r="B17">
        <v>7143</v>
      </c>
    </row>
    <row r="18" spans="1:2">
      <c r="A18" t="s">
        <v>1058</v>
      </c>
      <c r="B18">
        <v>7790</v>
      </c>
    </row>
    <row r="19" spans="1:2">
      <c r="A19" t="s">
        <v>1056</v>
      </c>
      <c r="B19">
        <v>8100</v>
      </c>
    </row>
    <row r="20" spans="1:2">
      <c r="A20" t="s">
        <v>1057</v>
      </c>
      <c r="B20">
        <v>9842</v>
      </c>
    </row>
  </sheetData>
  <conditionalFormatting sqref="B3:B20">
    <cfRule type="expression" dxfId="0" priority="1">
      <formula>OR(B3&lt;$E$8,B3&gt;$E$7)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129</vt:i4>
      </vt:variant>
      <vt:variant>
        <vt:lpstr>Named Ranges</vt:lpstr>
      </vt:variant>
      <vt:variant>
        <vt:i4>4</vt:i4>
      </vt:variant>
    </vt:vector>
  </HeadingPairs>
  <TitlesOfParts>
    <vt:vector size="133" baseType="lpstr">
      <vt:lpstr>1</vt:lpstr>
      <vt:lpstr>1.1</vt:lpstr>
      <vt:lpstr>2</vt:lpstr>
      <vt:lpstr>2.1</vt:lpstr>
      <vt:lpstr>3</vt:lpstr>
      <vt:lpstr>4.0</vt:lpstr>
      <vt:lpstr>4.1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17.1</vt:lpstr>
      <vt:lpstr>18</vt:lpstr>
      <vt:lpstr>19</vt:lpstr>
      <vt:lpstr>20</vt:lpstr>
      <vt:lpstr>21</vt:lpstr>
      <vt:lpstr>22</vt:lpstr>
      <vt:lpstr>23</vt:lpstr>
      <vt:lpstr>23.1</vt:lpstr>
      <vt:lpstr>24</vt:lpstr>
      <vt:lpstr>25</vt:lpstr>
      <vt:lpstr>26</vt:lpstr>
      <vt:lpstr>27</vt:lpstr>
      <vt:lpstr>27.1</vt:lpstr>
      <vt:lpstr>28</vt:lpstr>
      <vt:lpstr>29</vt:lpstr>
      <vt:lpstr>30</vt:lpstr>
      <vt:lpstr>31</vt:lpstr>
      <vt:lpstr>32</vt:lpstr>
      <vt:lpstr>33</vt:lpstr>
      <vt:lpstr>33.1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44</vt:lpstr>
      <vt:lpstr>45</vt:lpstr>
      <vt:lpstr>45.1</vt:lpstr>
      <vt:lpstr>46</vt:lpstr>
      <vt:lpstr>46.1</vt:lpstr>
      <vt:lpstr>47</vt:lpstr>
      <vt:lpstr>48</vt:lpstr>
      <vt:lpstr>48.1</vt:lpstr>
      <vt:lpstr>48.2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58.1</vt:lpstr>
      <vt:lpstr>59</vt:lpstr>
      <vt:lpstr>59.1</vt:lpstr>
      <vt:lpstr>60</vt:lpstr>
      <vt:lpstr>61</vt:lpstr>
      <vt:lpstr>61.1</vt:lpstr>
      <vt:lpstr>62</vt:lpstr>
      <vt:lpstr>63</vt:lpstr>
      <vt:lpstr>64</vt:lpstr>
      <vt:lpstr>65</vt:lpstr>
      <vt:lpstr>66</vt:lpstr>
      <vt:lpstr>67</vt:lpstr>
      <vt:lpstr>67.1</vt:lpstr>
      <vt:lpstr>68</vt:lpstr>
      <vt:lpstr>69</vt:lpstr>
      <vt:lpstr>70</vt:lpstr>
      <vt:lpstr>71</vt:lpstr>
      <vt:lpstr>72</vt:lpstr>
      <vt:lpstr>72.1</vt:lpstr>
      <vt:lpstr>73</vt:lpstr>
      <vt:lpstr>74</vt:lpstr>
      <vt:lpstr>75</vt:lpstr>
      <vt:lpstr>76</vt:lpstr>
      <vt:lpstr>77</vt:lpstr>
      <vt:lpstr>77.1</vt:lpstr>
      <vt:lpstr>78</vt:lpstr>
      <vt:lpstr>78.1</vt:lpstr>
      <vt:lpstr>79</vt:lpstr>
      <vt:lpstr>79.1</vt:lpstr>
      <vt:lpstr>80</vt:lpstr>
      <vt:lpstr>80.1</vt:lpstr>
      <vt:lpstr>81</vt:lpstr>
      <vt:lpstr>81.1</vt:lpstr>
      <vt:lpstr>82</vt:lpstr>
      <vt:lpstr>82.1</vt:lpstr>
      <vt:lpstr>83</vt:lpstr>
      <vt:lpstr>83.1</vt:lpstr>
      <vt:lpstr>84</vt:lpstr>
      <vt:lpstr>85</vt:lpstr>
      <vt:lpstr>86</vt:lpstr>
      <vt:lpstr>86.1</vt:lpstr>
      <vt:lpstr>87</vt:lpstr>
      <vt:lpstr>87.1</vt:lpstr>
      <vt:lpstr>88</vt:lpstr>
      <vt:lpstr>88.1</vt:lpstr>
      <vt:lpstr>88.2</vt:lpstr>
      <vt:lpstr>89</vt:lpstr>
      <vt:lpstr>89.1</vt:lpstr>
      <vt:lpstr>90</vt:lpstr>
      <vt:lpstr>90.1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'45.1'!Car</vt:lpstr>
      <vt:lpstr>Married</vt:lpstr>
      <vt:lpstr>Single</vt:lpstr>
      <vt:lpstr>'45.1'!Truck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Swapnil bandekar</cp:lastModifiedBy>
  <dcterms:created xsi:type="dcterms:W3CDTF">2013-10-28T00:19:55Z</dcterms:created>
  <dcterms:modified xsi:type="dcterms:W3CDTF">2022-09-10T15:53:46Z</dcterms:modified>
</cp:coreProperties>
</file>