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3.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drawings/drawing4.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comments2.xml" ContentType="application/vnd.openxmlformats-officedocument.spreadsheetml.comments+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31f0ff11fcfb78f6/Desktop/Courses/1/Engineering Economy/Econ project/"/>
    </mc:Choice>
  </mc:AlternateContent>
  <xr:revisionPtr revIDLastSave="2" documentId="13_ncr:1_{2E860C4F-F622-1F4B-8478-2FA6C25C1D8A}" xr6:coauthVersionLast="47" xr6:coauthVersionMax="47" xr10:uidLastSave="{C4B17DC8-CFF3-4E7D-BC7C-4AB958D004D1}"/>
  <bookViews>
    <workbookView xWindow="-110" yWindow="-110" windowWidth="19420" windowHeight="10300" xr2:uid="{00000000-000D-0000-FFFF-FFFF00000000}"/>
  </bookViews>
  <sheets>
    <sheet name="Case 50" sheetId="1" r:id="rId1"/>
    <sheet name="Investment Options" sheetId="2" r:id="rId2"/>
    <sheet name="Project 1" sheetId="3" r:id="rId3"/>
    <sheet name="Project 2" sheetId="4" r:id="rId4"/>
    <sheet name="Project 3" sheetId="5" r:id="rId5"/>
    <sheet name="Project 4" sheetId="6" r:id="rId6"/>
  </sheets>
  <definedNames>
    <definedName name="avgR">'Project 2'!$C$16</definedName>
    <definedName name="marr">'Project 2'!$C$15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98" i="6" l="1"/>
  <c r="L98" i="6"/>
  <c r="K98" i="6"/>
  <c r="J98" i="6"/>
  <c r="I98" i="6"/>
  <c r="H98" i="6"/>
  <c r="G98" i="6"/>
  <c r="F98" i="6"/>
  <c r="E98" i="6"/>
  <c r="M97" i="6"/>
  <c r="L97" i="6"/>
  <c r="K97" i="6"/>
  <c r="J97" i="6"/>
  <c r="I97" i="6"/>
  <c r="H97" i="6"/>
  <c r="G97" i="6"/>
  <c r="F97" i="6"/>
  <c r="E97" i="6"/>
  <c r="M95" i="6"/>
  <c r="L95" i="6"/>
  <c r="K95" i="6"/>
  <c r="J95" i="6"/>
  <c r="I95" i="6"/>
  <c r="H95" i="6"/>
  <c r="G95" i="6"/>
  <c r="F95" i="6"/>
  <c r="E95" i="6"/>
  <c r="M94" i="6"/>
  <c r="L94" i="6"/>
  <c r="K94" i="6"/>
  <c r="J94" i="6"/>
  <c r="I94" i="6"/>
  <c r="H94" i="6"/>
  <c r="G94" i="6"/>
  <c r="F94" i="6"/>
  <c r="E94" i="6"/>
  <c r="M72" i="6"/>
  <c r="L72" i="6"/>
  <c r="K72" i="6"/>
  <c r="J72" i="6"/>
  <c r="I72" i="6"/>
  <c r="H72" i="6"/>
  <c r="G72" i="6"/>
  <c r="F72" i="6"/>
  <c r="E72" i="6"/>
  <c r="M71" i="6"/>
  <c r="L71" i="6"/>
  <c r="K71" i="6"/>
  <c r="J71" i="6"/>
  <c r="I71" i="6"/>
  <c r="H71" i="6"/>
  <c r="G71" i="6"/>
  <c r="F71" i="6"/>
  <c r="E71" i="6"/>
  <c r="M69" i="6"/>
  <c r="L69" i="6"/>
  <c r="K69" i="6"/>
  <c r="J69" i="6"/>
  <c r="I69" i="6"/>
  <c r="H69" i="6"/>
  <c r="G69" i="6"/>
  <c r="F69" i="6"/>
  <c r="E69" i="6"/>
  <c r="M68" i="6"/>
  <c r="L68" i="6"/>
  <c r="K68" i="6"/>
  <c r="J68" i="6"/>
  <c r="I68" i="6"/>
  <c r="H68" i="6"/>
  <c r="G68" i="6"/>
  <c r="F68" i="6"/>
  <c r="E68" i="6"/>
  <c r="M51" i="6"/>
  <c r="L51" i="6"/>
  <c r="K51" i="6"/>
  <c r="J51" i="6"/>
  <c r="I51" i="6"/>
  <c r="H51" i="6"/>
  <c r="G51" i="6"/>
  <c r="F51" i="6"/>
  <c r="E51" i="6"/>
  <c r="M50" i="6"/>
  <c r="L50" i="6"/>
  <c r="K50" i="6"/>
  <c r="J50" i="6"/>
  <c r="I50" i="6"/>
  <c r="H50" i="6"/>
  <c r="G50" i="6"/>
  <c r="F50" i="6"/>
  <c r="E50" i="6"/>
  <c r="M48" i="6"/>
  <c r="L48" i="6"/>
  <c r="K48" i="6"/>
  <c r="J48" i="6"/>
  <c r="I48" i="6"/>
  <c r="H48" i="6"/>
  <c r="G48" i="6"/>
  <c r="F48" i="6"/>
  <c r="E48" i="6"/>
  <c r="M47" i="6"/>
  <c r="L47" i="6"/>
  <c r="K47" i="6"/>
  <c r="J47" i="6"/>
  <c r="I47" i="6"/>
  <c r="H47" i="6"/>
  <c r="G47" i="6"/>
  <c r="F47" i="6"/>
  <c r="E47" i="6"/>
  <c r="S37" i="6"/>
  <c r="R37" i="6"/>
  <c r="Q37" i="6"/>
  <c r="S36" i="6"/>
  <c r="R36" i="6"/>
  <c r="Q36" i="6"/>
  <c r="S34" i="6"/>
  <c r="R34" i="6"/>
  <c r="Q34" i="6"/>
  <c r="M34" i="6"/>
  <c r="L34" i="6"/>
  <c r="K34" i="6"/>
  <c r="S33" i="6"/>
  <c r="R33" i="6"/>
  <c r="Q33" i="6"/>
  <c r="M33" i="6"/>
  <c r="L33" i="6"/>
  <c r="K33" i="6"/>
  <c r="G33" i="6"/>
  <c r="F33" i="6"/>
  <c r="E33" i="6"/>
  <c r="G32" i="6"/>
  <c r="F32" i="6"/>
  <c r="E32" i="6"/>
  <c r="M31" i="6"/>
  <c r="L31" i="6"/>
  <c r="K31" i="6"/>
  <c r="M30" i="6"/>
  <c r="L30" i="6"/>
  <c r="K30" i="6"/>
  <c r="G30" i="6"/>
  <c r="F30" i="6"/>
  <c r="E30" i="6"/>
  <c r="G29" i="6"/>
  <c r="F29" i="6"/>
  <c r="E29" i="6"/>
  <c r="Z125" i="5"/>
  <c r="Y125" i="5"/>
  <c r="X125" i="5"/>
  <c r="W125" i="5"/>
  <c r="V125" i="5"/>
  <c r="Z124" i="5"/>
  <c r="Y124" i="5"/>
  <c r="X124" i="5"/>
  <c r="W124" i="5"/>
  <c r="V124" i="5"/>
  <c r="Z123" i="5"/>
  <c r="Y123" i="5"/>
  <c r="X123" i="5"/>
  <c r="W123" i="5"/>
  <c r="V123" i="5"/>
  <c r="Z122" i="5"/>
  <c r="Y122" i="5"/>
  <c r="X122" i="5"/>
  <c r="W122" i="5"/>
  <c r="V122" i="5"/>
  <c r="Z121" i="5"/>
  <c r="Y121" i="5"/>
  <c r="X121" i="5"/>
  <c r="W121" i="5"/>
  <c r="V121" i="5"/>
  <c r="S120" i="5"/>
  <c r="R120" i="5"/>
  <c r="Q120" i="5"/>
  <c r="P120" i="5"/>
  <c r="O120" i="5"/>
  <c r="S119" i="5"/>
  <c r="R119" i="5"/>
  <c r="Q119" i="5"/>
  <c r="P119" i="5"/>
  <c r="O119" i="5"/>
  <c r="S118" i="5"/>
  <c r="R118" i="5"/>
  <c r="Q118" i="5"/>
  <c r="P118" i="5"/>
  <c r="O118" i="5"/>
  <c r="L118" i="5"/>
  <c r="K118" i="5"/>
  <c r="J118" i="5"/>
  <c r="I118" i="5"/>
  <c r="H118" i="5"/>
  <c r="S117" i="5"/>
  <c r="R117" i="5"/>
  <c r="Q117" i="5"/>
  <c r="P117" i="5"/>
  <c r="O117" i="5"/>
  <c r="L117" i="5"/>
  <c r="K117" i="5"/>
  <c r="J117" i="5"/>
  <c r="I117" i="5"/>
  <c r="H117" i="5"/>
  <c r="S116" i="5"/>
  <c r="R116" i="5"/>
  <c r="Q116" i="5"/>
  <c r="P116" i="5"/>
  <c r="O116" i="5"/>
  <c r="L116" i="5"/>
  <c r="K116" i="5"/>
  <c r="J116" i="5"/>
  <c r="I116" i="5"/>
  <c r="H116" i="5"/>
  <c r="L115" i="5"/>
  <c r="K115" i="5"/>
  <c r="J115" i="5"/>
  <c r="I115" i="5"/>
  <c r="H115" i="5"/>
  <c r="L114" i="5"/>
  <c r="K114" i="5"/>
  <c r="J114" i="5"/>
  <c r="I114" i="5"/>
  <c r="H114" i="5"/>
  <c r="Z100" i="5"/>
  <c r="Y100" i="5"/>
  <c r="X100" i="5"/>
  <c r="W100" i="5"/>
  <c r="V100" i="5"/>
  <c r="Z99" i="5"/>
  <c r="Y99" i="5"/>
  <c r="X99" i="5"/>
  <c r="W99" i="5"/>
  <c r="V99" i="5"/>
  <c r="Z98" i="5"/>
  <c r="Y98" i="5"/>
  <c r="X98" i="5"/>
  <c r="W98" i="5"/>
  <c r="V98" i="5"/>
  <c r="Z97" i="5"/>
  <c r="Y97" i="5"/>
  <c r="X97" i="5"/>
  <c r="W97" i="5"/>
  <c r="V97" i="5"/>
  <c r="Z96" i="5"/>
  <c r="Y96" i="5"/>
  <c r="X96" i="5"/>
  <c r="W96" i="5"/>
  <c r="V96" i="5"/>
  <c r="S95" i="5"/>
  <c r="R95" i="5"/>
  <c r="Q95" i="5"/>
  <c r="P95" i="5"/>
  <c r="O95" i="5"/>
  <c r="S94" i="5"/>
  <c r="R94" i="5"/>
  <c r="Q94" i="5"/>
  <c r="P94" i="5"/>
  <c r="O94" i="5"/>
  <c r="S93" i="5"/>
  <c r="R93" i="5"/>
  <c r="Q93" i="5"/>
  <c r="P93" i="5"/>
  <c r="O93" i="5"/>
  <c r="L93" i="5"/>
  <c r="K93" i="5"/>
  <c r="J93" i="5"/>
  <c r="I93" i="5"/>
  <c r="H93" i="5"/>
  <c r="S92" i="5"/>
  <c r="R92" i="5"/>
  <c r="Q92" i="5"/>
  <c r="P92" i="5"/>
  <c r="O92" i="5"/>
  <c r="L92" i="5"/>
  <c r="K92" i="5"/>
  <c r="J92" i="5"/>
  <c r="I92" i="5"/>
  <c r="H92" i="5"/>
  <c r="S91" i="5"/>
  <c r="R91" i="5"/>
  <c r="Q91" i="5"/>
  <c r="P91" i="5"/>
  <c r="O91" i="5"/>
  <c r="L91" i="5"/>
  <c r="K91" i="5"/>
  <c r="J91" i="5"/>
  <c r="I91" i="5"/>
  <c r="H91" i="5"/>
  <c r="L90" i="5"/>
  <c r="K90" i="5"/>
  <c r="J90" i="5"/>
  <c r="I90" i="5"/>
  <c r="H90" i="5"/>
  <c r="L89" i="5"/>
  <c r="K89" i="5"/>
  <c r="J89" i="5"/>
  <c r="I89" i="5"/>
  <c r="H89" i="5"/>
  <c r="Z75" i="5"/>
  <c r="Y75" i="5"/>
  <c r="X75" i="5"/>
  <c r="W75" i="5"/>
  <c r="V75" i="5"/>
  <c r="Z74" i="5"/>
  <c r="Y74" i="5"/>
  <c r="X74" i="5"/>
  <c r="W74" i="5"/>
  <c r="V74" i="5"/>
  <c r="Z73" i="5"/>
  <c r="Y73" i="5"/>
  <c r="X73" i="5"/>
  <c r="W73" i="5"/>
  <c r="V73" i="5"/>
  <c r="Z72" i="5"/>
  <c r="Y72" i="5"/>
  <c r="X72" i="5"/>
  <c r="W72" i="5"/>
  <c r="V72" i="5"/>
  <c r="Z71" i="5"/>
  <c r="Y71" i="5"/>
  <c r="X71" i="5"/>
  <c r="W71" i="5"/>
  <c r="V71" i="5"/>
  <c r="S70" i="5"/>
  <c r="R70" i="5"/>
  <c r="Q70" i="5"/>
  <c r="P70" i="5"/>
  <c r="O70" i="5"/>
  <c r="S69" i="5"/>
  <c r="R69" i="5"/>
  <c r="Q69" i="5"/>
  <c r="P69" i="5"/>
  <c r="O69" i="5"/>
  <c r="S68" i="5"/>
  <c r="R68" i="5"/>
  <c r="Q68" i="5"/>
  <c r="P68" i="5"/>
  <c r="O68" i="5"/>
  <c r="L68" i="5"/>
  <c r="K68" i="5"/>
  <c r="J68" i="5"/>
  <c r="I68" i="5"/>
  <c r="H68" i="5"/>
  <c r="S67" i="5"/>
  <c r="R67" i="5"/>
  <c r="Q67" i="5"/>
  <c r="P67" i="5"/>
  <c r="O67" i="5"/>
  <c r="L67" i="5"/>
  <c r="K67" i="5"/>
  <c r="J67" i="5"/>
  <c r="I67" i="5"/>
  <c r="H67" i="5"/>
  <c r="S66" i="5"/>
  <c r="R66" i="5"/>
  <c r="Q66" i="5"/>
  <c r="P66" i="5"/>
  <c r="O66" i="5"/>
  <c r="L66" i="5"/>
  <c r="K66" i="5"/>
  <c r="J66" i="5"/>
  <c r="I66" i="5"/>
  <c r="H66" i="5"/>
  <c r="L65" i="5"/>
  <c r="K65" i="5"/>
  <c r="J65" i="5"/>
  <c r="I65" i="5"/>
  <c r="H65" i="5"/>
  <c r="L64" i="5"/>
  <c r="K64" i="5"/>
  <c r="J64" i="5"/>
  <c r="I64" i="5"/>
  <c r="H64" i="5"/>
  <c r="Z50" i="5"/>
  <c r="Y50" i="5"/>
  <c r="X50" i="5"/>
  <c r="W50" i="5"/>
  <c r="V50" i="5"/>
  <c r="Z49" i="5"/>
  <c r="Y49" i="5"/>
  <c r="X49" i="5"/>
  <c r="W49" i="5"/>
  <c r="V49" i="5"/>
  <c r="Z48" i="5"/>
  <c r="Y48" i="5"/>
  <c r="X48" i="5"/>
  <c r="W48" i="5"/>
  <c r="V48" i="5"/>
  <c r="Z47" i="5"/>
  <c r="Y47" i="5"/>
  <c r="X47" i="5"/>
  <c r="W47" i="5"/>
  <c r="V47" i="5"/>
  <c r="Z46" i="5"/>
  <c r="Y46" i="5"/>
  <c r="X46" i="5"/>
  <c r="W46" i="5"/>
  <c r="V46" i="5"/>
  <c r="S45" i="5"/>
  <c r="R45" i="5"/>
  <c r="Q45" i="5"/>
  <c r="P45" i="5"/>
  <c r="O45" i="5"/>
  <c r="S44" i="5"/>
  <c r="R44" i="5"/>
  <c r="Q44" i="5"/>
  <c r="P44" i="5"/>
  <c r="O44" i="5"/>
  <c r="S43" i="5"/>
  <c r="R43" i="5"/>
  <c r="Q43" i="5"/>
  <c r="P43" i="5"/>
  <c r="O43" i="5"/>
  <c r="L43" i="5"/>
  <c r="K43" i="5"/>
  <c r="J43" i="5"/>
  <c r="I43" i="5"/>
  <c r="H43" i="5"/>
  <c r="S42" i="5"/>
  <c r="R42" i="5"/>
  <c r="Q42" i="5"/>
  <c r="P42" i="5"/>
  <c r="O42" i="5"/>
  <c r="L42" i="5"/>
  <c r="K42" i="5"/>
  <c r="J42" i="5"/>
  <c r="I42" i="5"/>
  <c r="H42" i="5"/>
  <c r="S41" i="5"/>
  <c r="R41" i="5"/>
  <c r="Q41" i="5"/>
  <c r="P41" i="5"/>
  <c r="O41" i="5"/>
  <c r="L41" i="5"/>
  <c r="K41" i="5"/>
  <c r="J41" i="5"/>
  <c r="I41" i="5"/>
  <c r="H41" i="5"/>
  <c r="L40" i="5"/>
  <c r="K40" i="5"/>
  <c r="J40" i="5"/>
  <c r="I40" i="5"/>
  <c r="H40" i="5"/>
  <c r="L39" i="5"/>
  <c r="K39" i="5"/>
  <c r="J39" i="5"/>
  <c r="I39" i="5"/>
  <c r="H39" i="5"/>
  <c r="Z25" i="5"/>
  <c r="Y25" i="5"/>
  <c r="X25" i="5"/>
  <c r="W25" i="5"/>
  <c r="V25" i="5"/>
  <c r="Z24" i="5"/>
  <c r="Y24" i="5"/>
  <c r="X24" i="5"/>
  <c r="W24" i="5"/>
  <c r="V24" i="5"/>
  <c r="Z23" i="5"/>
  <c r="Y23" i="5"/>
  <c r="X23" i="5"/>
  <c r="W23" i="5"/>
  <c r="V23" i="5"/>
  <c r="Z22" i="5"/>
  <c r="Y22" i="5"/>
  <c r="X22" i="5"/>
  <c r="W22" i="5"/>
  <c r="V22" i="5"/>
  <c r="Z21" i="5"/>
  <c r="Y21" i="5"/>
  <c r="X21" i="5"/>
  <c r="W21" i="5"/>
  <c r="V21" i="5"/>
  <c r="S20" i="5"/>
  <c r="R20" i="5"/>
  <c r="Q20" i="5"/>
  <c r="P20" i="5"/>
  <c r="O20" i="5"/>
  <c r="S19" i="5"/>
  <c r="R19" i="5"/>
  <c r="Q19" i="5"/>
  <c r="P19" i="5"/>
  <c r="O19" i="5"/>
  <c r="S18" i="5"/>
  <c r="R18" i="5"/>
  <c r="Q18" i="5"/>
  <c r="P18" i="5"/>
  <c r="O18" i="5"/>
  <c r="L18" i="5"/>
  <c r="K18" i="5"/>
  <c r="J18" i="5"/>
  <c r="I18" i="5"/>
  <c r="H18" i="5"/>
  <c r="S17" i="5"/>
  <c r="R17" i="5"/>
  <c r="Q17" i="5"/>
  <c r="P17" i="5"/>
  <c r="O17" i="5"/>
  <c r="L17" i="5"/>
  <c r="K17" i="5"/>
  <c r="J17" i="5"/>
  <c r="I17" i="5"/>
  <c r="H17" i="5"/>
  <c r="S16" i="5"/>
  <c r="R16" i="5"/>
  <c r="Q16" i="5"/>
  <c r="P16" i="5"/>
  <c r="O16" i="5"/>
  <c r="L16" i="5"/>
  <c r="K16" i="5"/>
  <c r="J16" i="5"/>
  <c r="I16" i="5"/>
  <c r="H16" i="5"/>
  <c r="L15" i="5"/>
  <c r="K15" i="5"/>
  <c r="J15" i="5"/>
  <c r="I15" i="5"/>
  <c r="H15" i="5"/>
  <c r="L14" i="5"/>
  <c r="K14" i="5"/>
  <c r="J14" i="5"/>
  <c r="I14" i="5"/>
  <c r="H14" i="5"/>
  <c r="X78" i="4"/>
  <c r="Y78" i="4" s="1"/>
  <c r="W78" i="4"/>
  <c r="Y77" i="4"/>
  <c r="X77" i="4"/>
  <c r="W77" i="4"/>
  <c r="X76" i="4"/>
  <c r="Y76" i="4" s="1"/>
  <c r="W76" i="4"/>
  <c r="S76" i="4"/>
  <c r="T76" i="4" s="1"/>
  <c r="S75" i="4"/>
  <c r="T75" i="4" s="1"/>
  <c r="R75" i="4"/>
  <c r="X74" i="4"/>
  <c r="S74" i="4"/>
  <c r="T74" i="4" s="1"/>
  <c r="R74" i="4"/>
  <c r="O74" i="4"/>
  <c r="N74" i="4"/>
  <c r="M74" i="4"/>
  <c r="X73" i="4"/>
  <c r="Y73" i="4" s="1"/>
  <c r="W73" i="4"/>
  <c r="S73" i="4"/>
  <c r="R73" i="4"/>
  <c r="T73" i="4" s="1"/>
  <c r="N73" i="4"/>
  <c r="O73" i="4" s="1"/>
  <c r="M73" i="4"/>
  <c r="I73" i="4"/>
  <c r="X72" i="4"/>
  <c r="Y72" i="4" s="1"/>
  <c r="W72" i="4"/>
  <c r="T72" i="4"/>
  <c r="S72" i="4"/>
  <c r="R72" i="4"/>
  <c r="I72" i="4"/>
  <c r="J72" i="4" s="1"/>
  <c r="H72" i="4"/>
  <c r="X71" i="4"/>
  <c r="W71" i="4"/>
  <c r="Y71" i="4" s="1"/>
  <c r="S71" i="4"/>
  <c r="T71" i="4" s="1"/>
  <c r="R71" i="4"/>
  <c r="O71" i="4"/>
  <c r="N71" i="4"/>
  <c r="M71" i="4"/>
  <c r="I71" i="4"/>
  <c r="C71" i="4"/>
  <c r="Y70" i="4"/>
  <c r="X70" i="4"/>
  <c r="W70" i="4"/>
  <c r="N70" i="4"/>
  <c r="O70" i="4" s="1"/>
  <c r="M70" i="4"/>
  <c r="I70" i="4"/>
  <c r="H70" i="4"/>
  <c r="J70" i="4" s="1"/>
  <c r="D70" i="4"/>
  <c r="E70" i="4" s="1"/>
  <c r="C70" i="4"/>
  <c r="Y69" i="4"/>
  <c r="X69" i="4"/>
  <c r="W69" i="4"/>
  <c r="S69" i="4"/>
  <c r="N69" i="4"/>
  <c r="O69" i="4" s="1"/>
  <c r="M69" i="4"/>
  <c r="J69" i="4"/>
  <c r="I69" i="4"/>
  <c r="H69" i="4"/>
  <c r="X68" i="4"/>
  <c r="Y68" i="4" s="1"/>
  <c r="W68" i="4"/>
  <c r="S68" i="4"/>
  <c r="R68" i="4"/>
  <c r="T68" i="4" s="1"/>
  <c r="N68" i="4"/>
  <c r="O68" i="4" s="1"/>
  <c r="M68" i="4"/>
  <c r="J68" i="4"/>
  <c r="I68" i="4"/>
  <c r="H68" i="4"/>
  <c r="D68" i="4"/>
  <c r="X67" i="4"/>
  <c r="Y67" i="4" s="1"/>
  <c r="W67" i="4"/>
  <c r="T67" i="4"/>
  <c r="S67" i="4"/>
  <c r="R67" i="4"/>
  <c r="I67" i="4"/>
  <c r="J67" i="4" s="1"/>
  <c r="H67" i="4"/>
  <c r="D67" i="4"/>
  <c r="C67" i="4"/>
  <c r="E67" i="4" s="1"/>
  <c r="X66" i="4"/>
  <c r="Y66" i="4" s="1"/>
  <c r="W66" i="4"/>
  <c r="T66" i="4"/>
  <c r="S66" i="4"/>
  <c r="R66" i="4"/>
  <c r="N66" i="4"/>
  <c r="I66" i="4"/>
  <c r="J66" i="4" s="1"/>
  <c r="H66" i="4"/>
  <c r="E66" i="4"/>
  <c r="D66" i="4"/>
  <c r="C66" i="4"/>
  <c r="Y65" i="4"/>
  <c r="X65" i="4"/>
  <c r="W65" i="4"/>
  <c r="S65" i="4"/>
  <c r="R65" i="4"/>
  <c r="N65" i="4"/>
  <c r="M65" i="4"/>
  <c r="I65" i="4"/>
  <c r="J65" i="4" s="1"/>
  <c r="H65" i="4"/>
  <c r="E65" i="4"/>
  <c r="D65" i="4"/>
  <c r="C65" i="4"/>
  <c r="E13" i="4"/>
  <c r="X80" i="4" s="1"/>
  <c r="D13" i="4"/>
  <c r="W80" i="4" s="1"/>
  <c r="E9" i="4"/>
  <c r="X79" i="4" s="1"/>
  <c r="D9" i="4"/>
  <c r="R76" i="4" s="1"/>
  <c r="U34" i="3"/>
  <c r="T34" i="3"/>
  <c r="S34" i="3"/>
  <c r="R34" i="3"/>
  <c r="U33" i="3"/>
  <c r="T33" i="3"/>
  <c r="S33" i="3"/>
  <c r="R33" i="3"/>
  <c r="U32" i="3"/>
  <c r="T32" i="3"/>
  <c r="S32" i="3"/>
  <c r="R32" i="3"/>
  <c r="M32" i="3"/>
  <c r="L32" i="3"/>
  <c r="K32" i="3"/>
  <c r="J32" i="3"/>
  <c r="U31" i="3"/>
  <c r="T31" i="3"/>
  <c r="S31" i="3"/>
  <c r="R31" i="3"/>
  <c r="M31" i="3"/>
  <c r="L31" i="3"/>
  <c r="K31" i="3"/>
  <c r="J31" i="3"/>
  <c r="U30" i="3"/>
  <c r="T30" i="3"/>
  <c r="S30" i="3"/>
  <c r="R30" i="3"/>
  <c r="P30" i="3"/>
  <c r="M30" i="3"/>
  <c r="L30" i="3"/>
  <c r="K30" i="3"/>
  <c r="J30" i="3"/>
  <c r="E30" i="3"/>
  <c r="D30" i="3"/>
  <c r="C30" i="3"/>
  <c r="B30" i="3"/>
  <c r="X29" i="3"/>
  <c r="W29" i="3"/>
  <c r="V29" i="3"/>
  <c r="M29" i="3"/>
  <c r="L29" i="3"/>
  <c r="K29" i="3"/>
  <c r="J29" i="3"/>
  <c r="E29" i="3"/>
  <c r="D29" i="3"/>
  <c r="C29" i="3"/>
  <c r="B29" i="3"/>
  <c r="X28" i="3"/>
  <c r="W28" i="3"/>
  <c r="V28" i="3"/>
  <c r="M28" i="3"/>
  <c r="L28" i="3"/>
  <c r="K28" i="3"/>
  <c r="J28" i="3"/>
  <c r="E28" i="3"/>
  <c r="D28" i="3"/>
  <c r="C28" i="3"/>
  <c r="B28" i="3"/>
  <c r="X27" i="3"/>
  <c r="W27" i="3"/>
  <c r="V27" i="3"/>
  <c r="P27" i="3"/>
  <c r="O27" i="3"/>
  <c r="N27" i="3"/>
  <c r="E27" i="3"/>
  <c r="D27" i="3"/>
  <c r="C27" i="3"/>
  <c r="B27" i="3"/>
  <c r="X26" i="3"/>
  <c r="W26" i="3"/>
  <c r="V26" i="3"/>
  <c r="P26" i="3"/>
  <c r="O26" i="3"/>
  <c r="N26" i="3"/>
  <c r="E26" i="3"/>
  <c r="D26" i="3"/>
  <c r="C26" i="3"/>
  <c r="B26" i="3"/>
  <c r="X25" i="3"/>
  <c r="W25" i="3"/>
  <c r="V25" i="3"/>
  <c r="P25" i="3"/>
  <c r="O25" i="3"/>
  <c r="N25" i="3"/>
  <c r="H25" i="3"/>
  <c r="G25" i="3"/>
  <c r="F25" i="3"/>
  <c r="X24" i="3"/>
  <c r="W24" i="3"/>
  <c r="V24" i="3"/>
  <c r="P24" i="3"/>
  <c r="O24" i="3"/>
  <c r="N24" i="3"/>
  <c r="H24" i="3"/>
  <c r="G24" i="3"/>
  <c r="F24" i="3"/>
  <c r="X23" i="3"/>
  <c r="W23" i="3"/>
  <c r="V23" i="3"/>
  <c r="P23" i="3"/>
  <c r="O23" i="3"/>
  <c r="O30" i="3" s="1"/>
  <c r="N23" i="3"/>
  <c r="H23" i="3"/>
  <c r="G23" i="3"/>
  <c r="F23" i="3"/>
  <c r="X22" i="3"/>
  <c r="W22" i="3"/>
  <c r="V22" i="3"/>
  <c r="P22" i="3"/>
  <c r="P29" i="3" s="1"/>
  <c r="O22" i="3"/>
  <c r="N22" i="3"/>
  <c r="H22" i="3"/>
  <c r="G22" i="3"/>
  <c r="F22" i="3"/>
  <c r="X21" i="3"/>
  <c r="W21" i="3"/>
  <c r="V21" i="3"/>
  <c r="V34" i="3" s="1"/>
  <c r="P21" i="3"/>
  <c r="O21" i="3"/>
  <c r="N21" i="3"/>
  <c r="H21" i="3"/>
  <c r="G21" i="3"/>
  <c r="F21" i="3"/>
  <c r="X20" i="3"/>
  <c r="W20" i="3"/>
  <c r="W34" i="3" s="1"/>
  <c r="V20" i="3"/>
  <c r="P20" i="3"/>
  <c r="O20" i="3"/>
  <c r="N20" i="3"/>
  <c r="H20" i="3"/>
  <c r="G20" i="3"/>
  <c r="F20" i="3"/>
  <c r="X19" i="3"/>
  <c r="X30" i="3" s="1"/>
  <c r="W19" i="3"/>
  <c r="V19" i="3"/>
  <c r="P19" i="3"/>
  <c r="O19" i="3"/>
  <c r="N19" i="3"/>
  <c r="H19" i="3"/>
  <c r="G19" i="3"/>
  <c r="G30" i="3" s="1"/>
  <c r="F19" i="3"/>
  <c r="F26" i="3" s="1"/>
  <c r="X18" i="3"/>
  <c r="W18" i="3"/>
  <c r="V18" i="3"/>
  <c r="V30" i="3" s="1"/>
  <c r="P18" i="3"/>
  <c r="O18" i="3"/>
  <c r="N18" i="3"/>
  <c r="H18" i="3"/>
  <c r="H27" i="3" s="1" a="1"/>
  <c r="H27" i="3" s="1"/>
  <c r="G18" i="3"/>
  <c r="G29" i="3" s="1"/>
  <c r="F18" i="3"/>
  <c r="X17" i="3"/>
  <c r="X32" i="3" s="1"/>
  <c r="W17" i="3"/>
  <c r="W32" i="3" s="1"/>
  <c r="V17" i="3"/>
  <c r="V31" i="3" s="1"/>
  <c r="P17" i="3"/>
  <c r="P31" i="3" s="1"/>
  <c r="O17" i="3"/>
  <c r="O32" i="3" s="1"/>
  <c r="N17" i="3"/>
  <c r="N32" i="3" s="1"/>
  <c r="H17" i="3"/>
  <c r="H30" i="3" s="1"/>
  <c r="G17" i="3"/>
  <c r="G26" i="3" s="1"/>
  <c r="F17" i="3"/>
  <c r="F29" i="3" s="1"/>
  <c r="G42" i="2" a="1"/>
  <c r="G42" i="2" s="1"/>
  <c r="D51" i="2" s="1"/>
  <c r="C42" i="2"/>
  <c r="B42" i="2"/>
  <c r="U41" i="2" a="1"/>
  <c r="U41" i="2" s="1"/>
  <c r="C59" i="2" s="1"/>
  <c r="G41" i="2" a="1"/>
  <c r="G41" i="2" s="1"/>
  <c r="C51" i="2" s="1"/>
  <c r="U40" i="2"/>
  <c r="R40" i="2"/>
  <c r="M40" i="2"/>
  <c r="J40" i="2"/>
  <c r="G40" i="2"/>
  <c r="C40" i="2"/>
  <c r="D40" i="2" s="1"/>
  <c r="B40" i="2"/>
  <c r="U39" i="2"/>
  <c r="R39" i="2"/>
  <c r="M39" i="2"/>
  <c r="J39" i="2"/>
  <c r="G39" i="2"/>
  <c r="C39" i="2"/>
  <c r="D39" i="2" s="1"/>
  <c r="B39" i="2"/>
  <c r="U38" i="2"/>
  <c r="R38" i="2"/>
  <c r="M38" i="2"/>
  <c r="J38" i="2"/>
  <c r="G38" i="2"/>
  <c r="C38" i="2"/>
  <c r="D38" i="2" s="1"/>
  <c r="B38" i="2"/>
  <c r="U37" i="2"/>
  <c r="R37" i="2"/>
  <c r="M37" i="2"/>
  <c r="J37" i="2"/>
  <c r="G37" i="2"/>
  <c r="C37" i="2"/>
  <c r="D37" i="2" s="1"/>
  <c r="B37" i="2"/>
  <c r="U36" i="2"/>
  <c r="R36" i="2"/>
  <c r="M36" i="2"/>
  <c r="J36" i="2"/>
  <c r="G36" i="2"/>
  <c r="C36" i="2"/>
  <c r="D36" i="2" s="1"/>
  <c r="B36" i="2"/>
  <c r="U35" i="2"/>
  <c r="R35" i="2"/>
  <c r="M35" i="2"/>
  <c r="J35" i="2"/>
  <c r="G35" i="2"/>
  <c r="C35" i="2"/>
  <c r="D35" i="2" s="1"/>
  <c r="B35" i="2"/>
  <c r="U34" i="2"/>
  <c r="R34" i="2"/>
  <c r="M34" i="2"/>
  <c r="J34" i="2"/>
  <c r="G34" i="2"/>
  <c r="C34" i="2"/>
  <c r="D34" i="2" s="1"/>
  <c r="B34" i="2"/>
  <c r="U33" i="2"/>
  <c r="R33" i="2"/>
  <c r="M33" i="2"/>
  <c r="J33" i="2"/>
  <c r="G33" i="2"/>
  <c r="C33" i="2"/>
  <c r="D33" i="2" s="1"/>
  <c r="B33" i="2"/>
  <c r="U32" i="2"/>
  <c r="R32" i="2"/>
  <c r="M32" i="2"/>
  <c r="J32" i="2"/>
  <c r="G32" i="2"/>
  <c r="C32" i="2"/>
  <c r="D32" i="2" s="1"/>
  <c r="B32" i="2"/>
  <c r="U31" i="2"/>
  <c r="U42" i="2" s="1" a="1"/>
  <c r="U42" i="2" s="1"/>
  <c r="D59" i="2" s="1"/>
  <c r="R31" i="2"/>
  <c r="R42" i="2" s="1" a="1"/>
  <c r="R42" i="2" s="1"/>
  <c r="D57" i="2" s="1"/>
  <c r="M31" i="2"/>
  <c r="M41" i="2" s="1" a="1"/>
  <c r="M41" i="2" s="1"/>
  <c r="C55" i="2" s="1"/>
  <c r="J31" i="2"/>
  <c r="J41" i="2" s="1" a="1"/>
  <c r="J41" i="2" s="1"/>
  <c r="C53" i="2" s="1"/>
  <c r="G31" i="2"/>
  <c r="C31" i="2"/>
  <c r="C41" i="2" s="1"/>
  <c r="B31" i="2"/>
  <c r="U30" i="2"/>
  <c r="R30" i="2"/>
  <c r="M30" i="2"/>
  <c r="J30" i="2"/>
  <c r="G30" i="2"/>
  <c r="B30" i="2"/>
  <c r="B41" i="2" s="1"/>
  <c r="U24" i="2"/>
  <c r="R24" i="2"/>
  <c r="N24" i="2"/>
  <c r="O24" i="2" s="1"/>
  <c r="M24" i="2"/>
  <c r="J24" i="2"/>
  <c r="G24" i="2"/>
  <c r="C24" i="2"/>
  <c r="D24" i="2" s="1"/>
  <c r="B24" i="2"/>
  <c r="U23" i="2"/>
  <c r="R23" i="2"/>
  <c r="N23" i="2"/>
  <c r="M23" i="2"/>
  <c r="O23" i="2" s="1"/>
  <c r="J23" i="2"/>
  <c r="G23" i="2"/>
  <c r="C23" i="2"/>
  <c r="B23" i="2"/>
  <c r="D23" i="2" s="1"/>
  <c r="U22" i="2"/>
  <c r="R22" i="2"/>
  <c r="N22" i="2"/>
  <c r="M22" i="2"/>
  <c r="O22" i="2" s="1"/>
  <c r="J22" i="2"/>
  <c r="G22" i="2"/>
  <c r="C22" i="2"/>
  <c r="B22" i="2"/>
  <c r="D22" i="2" s="1"/>
  <c r="U21" i="2"/>
  <c r="R21" i="2"/>
  <c r="O21" i="2"/>
  <c r="N21" i="2"/>
  <c r="M21" i="2"/>
  <c r="J21" i="2"/>
  <c r="G21" i="2"/>
  <c r="C21" i="2"/>
  <c r="B21" i="2"/>
  <c r="D21" i="2" s="1"/>
  <c r="U20" i="2"/>
  <c r="R20" i="2"/>
  <c r="N20" i="2"/>
  <c r="O20" i="2" s="1"/>
  <c r="M20" i="2"/>
  <c r="J20" i="2"/>
  <c r="G20" i="2"/>
  <c r="C20" i="2"/>
  <c r="D20" i="2" s="1"/>
  <c r="B20" i="2"/>
  <c r="U19" i="2"/>
  <c r="R19" i="2"/>
  <c r="N19" i="2"/>
  <c r="M19" i="2"/>
  <c r="O19" i="2" s="1"/>
  <c r="J19" i="2"/>
  <c r="G19" i="2"/>
  <c r="C19" i="2"/>
  <c r="B19" i="2"/>
  <c r="D19" i="2" s="1"/>
  <c r="U18" i="2"/>
  <c r="R18" i="2"/>
  <c r="N18" i="2"/>
  <c r="N25" i="2" s="1"/>
  <c r="M18" i="2"/>
  <c r="O18" i="2" s="1"/>
  <c r="J18" i="2"/>
  <c r="G18" i="2"/>
  <c r="C18" i="2"/>
  <c r="B18" i="2"/>
  <c r="D18" i="2" s="1"/>
  <c r="U17" i="2"/>
  <c r="R17" i="2"/>
  <c r="R26" i="2" s="1" a="1"/>
  <c r="R26" i="2" s="1"/>
  <c r="D56" i="2" s="1"/>
  <c r="O17" i="2"/>
  <c r="N17" i="2"/>
  <c r="M17" i="2"/>
  <c r="J17" i="2"/>
  <c r="G17" i="2"/>
  <c r="C17" i="2"/>
  <c r="B17" i="2"/>
  <c r="D17" i="2" s="1"/>
  <c r="U16" i="2"/>
  <c r="R16" i="2"/>
  <c r="N16" i="2"/>
  <c r="O16" i="2" s="1"/>
  <c r="M16" i="2"/>
  <c r="J16" i="2"/>
  <c r="G16" i="2"/>
  <c r="C16" i="2"/>
  <c r="D16" i="2" s="1"/>
  <c r="B16" i="2"/>
  <c r="U15" i="2"/>
  <c r="U26" i="2" s="1" a="1"/>
  <c r="U26" i="2" s="1"/>
  <c r="D58" i="2" s="1"/>
  <c r="R15" i="2"/>
  <c r="R25" i="2" s="1" a="1"/>
  <c r="R25" i="2" s="1"/>
  <c r="C56" i="2" s="1"/>
  <c r="N15" i="2"/>
  <c r="N26" i="2" s="1"/>
  <c r="M15" i="2"/>
  <c r="O15" i="2" s="1"/>
  <c r="J15" i="2"/>
  <c r="J25" i="2" s="1" a="1"/>
  <c r="J25" i="2" s="1"/>
  <c r="C52" i="2" s="1"/>
  <c r="G15" i="2"/>
  <c r="G26" i="2" s="1" a="1"/>
  <c r="G26" i="2" s="1"/>
  <c r="D50" i="2" s="1"/>
  <c r="C15" i="2"/>
  <c r="B15" i="2"/>
  <c r="D15" i="2" s="1"/>
  <c r="U14" i="2"/>
  <c r="R14" i="2"/>
  <c r="M14" i="2"/>
  <c r="O14" i="2" s="1"/>
  <c r="J14" i="2"/>
  <c r="G14" i="2"/>
  <c r="B14" i="2"/>
  <c r="B26" i="2" s="1"/>
  <c r="J71" i="4" l="1"/>
  <c r="J79" i="4" s="1"/>
  <c r="O25" i="2"/>
  <c r="C54" i="2" s="1"/>
  <c r="O26" i="2"/>
  <c r="D54" i="2" s="1"/>
  <c r="Y80" i="4"/>
  <c r="E68" i="4"/>
  <c r="Y74" i="4"/>
  <c r="Y82" i="4" s="1"/>
  <c r="M25" i="2"/>
  <c r="H26" i="3"/>
  <c r="N28" i="3"/>
  <c r="N31" i="3"/>
  <c r="W31" i="3"/>
  <c r="P32" i="3"/>
  <c r="M75" i="4"/>
  <c r="N78" i="4"/>
  <c r="B25" i="2"/>
  <c r="M42" i="2" a="1"/>
  <c r="M42" i="2" s="1"/>
  <c r="D55" i="2" s="1"/>
  <c r="V33" i="3"/>
  <c r="C25" i="2"/>
  <c r="G25" i="2" a="1"/>
  <c r="G25" i="2" s="1"/>
  <c r="C50" i="2" s="1"/>
  <c r="U25" i="2" a="1"/>
  <c r="U25" i="2" s="1"/>
  <c r="C58" i="2" s="1"/>
  <c r="M26" i="2"/>
  <c r="D30" i="2"/>
  <c r="D31" i="2"/>
  <c r="R41" i="2" a="1"/>
  <c r="R41" i="2" s="1"/>
  <c r="C57" i="2" s="1"/>
  <c r="F28" i="3"/>
  <c r="O28" i="3"/>
  <c r="N29" i="3"/>
  <c r="O31" i="3"/>
  <c r="X31" i="3"/>
  <c r="N75" i="4"/>
  <c r="O75" i="4" s="1"/>
  <c r="I77" i="4"/>
  <c r="N79" i="4"/>
  <c r="G27" i="3"/>
  <c r="H29" i="3"/>
  <c r="J26" i="2" a="1"/>
  <c r="J26" i="2" s="1"/>
  <c r="D52" i="2" s="1"/>
  <c r="D14" i="2"/>
  <c r="J42" i="2" a="1"/>
  <c r="J42" i="2" s="1"/>
  <c r="D53" i="2" s="1"/>
  <c r="G28" i="3"/>
  <c r="P28" i="3"/>
  <c r="O29" i="3"/>
  <c r="N30" i="3"/>
  <c r="W30" i="3"/>
  <c r="O65" i="4"/>
  <c r="H73" i="4"/>
  <c r="J73" i="4" s="1"/>
  <c r="J76" i="4" s="1"/>
  <c r="C26" i="2"/>
  <c r="F27" i="3"/>
  <c r="H28" i="3"/>
  <c r="F30" i="3"/>
  <c r="W85" i="4"/>
  <c r="V32" i="3"/>
  <c r="W33" i="3"/>
  <c r="X34" i="3"/>
  <c r="T65" i="4"/>
  <c r="D71" i="4"/>
  <c r="E71" i="4" s="1"/>
  <c r="I76" i="4"/>
  <c r="I78" i="4"/>
  <c r="X33" i="3"/>
  <c r="M67" i="4"/>
  <c r="M79" i="4" s="1"/>
  <c r="C69" i="4"/>
  <c r="C75" i="4" s="1"/>
  <c r="R70" i="4"/>
  <c r="M72" i="4"/>
  <c r="I75" i="4"/>
  <c r="W75" i="4"/>
  <c r="R77" i="4"/>
  <c r="I79" i="4"/>
  <c r="W79" i="4"/>
  <c r="Y79" i="4" s="1"/>
  <c r="M66" i="4"/>
  <c r="N67" i="4"/>
  <c r="N77" i="4" s="1"/>
  <c r="C68" i="4"/>
  <c r="C74" i="4" s="1"/>
  <c r="D69" i="4"/>
  <c r="D73" i="4" s="1"/>
  <c r="R69" i="4"/>
  <c r="R82" i="4" s="1"/>
  <c r="S70" i="4"/>
  <c r="T70" i="4" s="1"/>
  <c r="H71" i="4"/>
  <c r="H79" i="4" s="1"/>
  <c r="N72" i="4"/>
  <c r="O72" i="4" s="1"/>
  <c r="W74" i="4"/>
  <c r="W82" i="4" s="1"/>
  <c r="X75" i="4"/>
  <c r="Y75" i="4" s="1"/>
  <c r="S77" i="4"/>
  <c r="M80" i="4" l="1"/>
  <c r="M81" i="4"/>
  <c r="J77" i="4"/>
  <c r="D25" i="2"/>
  <c r="C48" i="2" s="1"/>
  <c r="D26" i="2"/>
  <c r="D48" i="2" s="1"/>
  <c r="T77" i="4"/>
  <c r="O77" i="4"/>
  <c r="Y85" i="4"/>
  <c r="C73" i="4"/>
  <c r="J75" i="4"/>
  <c r="D77" i="4"/>
  <c r="S83" i="4"/>
  <c r="J78" i="4"/>
  <c r="O67" i="4"/>
  <c r="Y84" i="4"/>
  <c r="R83" i="4"/>
  <c r="Y83" i="4"/>
  <c r="S80" i="4"/>
  <c r="C76" i="4"/>
  <c r="H77" i="4"/>
  <c r="M77" i="4"/>
  <c r="R79" i="4"/>
  <c r="S81" i="4"/>
  <c r="Y86" i="4"/>
  <c r="O66" i="4"/>
  <c r="O79" i="4" s="1"/>
  <c r="W83" i="4"/>
  <c r="X86" i="4"/>
  <c r="W86" i="4"/>
  <c r="C77" i="4"/>
  <c r="X84" i="4"/>
  <c r="D42" i="2"/>
  <c r="D49" i="2" s="1"/>
  <c r="D41" i="2"/>
  <c r="C49" i="2" s="1"/>
  <c r="T69" i="4"/>
  <c r="T79" i="4" s="1"/>
  <c r="X83" i="4"/>
  <c r="S79" i="4"/>
  <c r="D75" i="4"/>
  <c r="R80" i="4"/>
  <c r="W84" i="4"/>
  <c r="H78" i="4"/>
  <c r="M78" i="4"/>
  <c r="E69" i="4"/>
  <c r="E75" i="4" s="1"/>
  <c r="T82" i="4"/>
  <c r="S82" i="4"/>
  <c r="X85" i="4"/>
  <c r="H75" i="4"/>
  <c r="H76" i="4"/>
  <c r="D76" i="4"/>
  <c r="R81" i="4"/>
  <c r="X82" i="4"/>
  <c r="D74" i="4"/>
  <c r="E74" i="4" l="1"/>
  <c r="T81" i="4"/>
  <c r="E77" i="4"/>
  <c r="T80" i="4"/>
  <c r="O78" i="4"/>
  <c r="T83" i="4"/>
  <c r="E76" i="4"/>
  <c r="E7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10"/>
            <color rgb="FF000000"/>
            <rFont val="Arial"/>
            <family val="2"/>
            <scheme val="minor"/>
          </rPr>
          <t>Professor Nowroozi, email 11/10/2022: "Since we did not discuss the statistical approach, you can ignore the probabilities and just do the sensitivity analysis as we discussed (Tornado, spider plot, etc.)"
	-Megan Longstaff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03" authorId="0" shapeId="0" xr:uid="{00000000-0006-0000-0500-000001000000}">
      <text>
        <r>
          <rPr>
            <sz val="10"/>
            <color rgb="FF000000"/>
            <rFont val="Arial"/>
            <family val="2"/>
            <scheme val="minor"/>
          </rPr>
          <t>type her</t>
        </r>
      </text>
    </comment>
  </commentList>
</comments>
</file>

<file path=xl/sharedStrings.xml><?xml version="1.0" encoding="utf-8"?>
<sst xmlns="http://schemas.openxmlformats.org/spreadsheetml/2006/main" count="771" uniqueCount="209">
  <si>
    <t>Case 50 - Capital Planning Consultants</t>
  </si>
  <si>
    <t>Your consulting firm has been hired to assist WWTWDW (We Wish This Were a Deterministic World) with their capital budgeting. You are to write a brief "technical report" giving the recommended projects, and describing your principal assumptions. What is your evaluation criterion, and why did you make this choice? As some estimates may change before project selection is actually made, discuss which circumstances would force changes in the recommended list and what those changes would be. The analysis used in developing the recommendations should be an appendix to your technical report.</t>
  </si>
  <si>
    <t>Table 50-1</t>
  </si>
  <si>
    <t>WWTWDW Capital Projects</t>
  </si>
  <si>
    <t>Project Alternative</t>
  </si>
  <si>
    <t>First Cost</t>
  </si>
  <si>
    <t>Annual Benefit</t>
  </si>
  <si>
    <t>Useful Life</t>
  </si>
  <si>
    <t>Salvage Value</t>
  </si>
  <si>
    <t>1A</t>
  </si>
  <si>
    <t>1. The four numbered projects (Table 50-1) may all be done, but the lettered alternatives within each project are mutually exclusive.</t>
  </si>
  <si>
    <t>1B</t>
  </si>
  <si>
    <t>2. The minimum attractive rate of return is 15%, but the firm averages a 20% return on its investments.</t>
  </si>
  <si>
    <t>1C</t>
  </si>
  <si>
    <t>3. The capital budget, excluding borrowing, is $100,000, and the company may borrow on short notice S10,000 at 18% from an interested venture capitalist. (The borrowing rate includes an increase that reflects the Board of Directors' estimate of the cost of increases in bookkeeping expenses and managerial time used.)</t>
  </si>
  <si>
    <t>1D</t>
  </si>
  <si>
    <t>2E</t>
  </si>
  <si>
    <t>2F</t>
  </si>
  <si>
    <t>4. You may assume that pessimistic estimates have a probability of .25 and that optimistic estimates have a probability of .1.</t>
  </si>
  <si>
    <t>3G</t>
  </si>
  <si>
    <t>3H</t>
  </si>
  <si>
    <t>3I</t>
  </si>
  <si>
    <t>4J</t>
  </si>
  <si>
    <t>4K</t>
  </si>
  <si>
    <t>MARR</t>
  </si>
  <si>
    <t>Average Return</t>
  </si>
  <si>
    <t>Capital Budget</t>
  </si>
  <si>
    <t>Loan Amount</t>
  </si>
  <si>
    <t>Loan rate</t>
  </si>
  <si>
    <t>Pessimistic Probability</t>
  </si>
  <si>
    <t>Optimistic Probablity</t>
  </si>
  <si>
    <t>INVESTMENT OPTIONS</t>
  </si>
  <si>
    <t>Best Options</t>
  </si>
  <si>
    <t>Note on Analysis</t>
  </si>
  <si>
    <t>1C - $35k</t>
  </si>
  <si>
    <t xml:space="preserve">Mutually exclusive alternatives were assessed against each other with sensitivity analysis to determine the best options out of each project. Since we have already weeded out the least lucrative and riskiest alternatives, we will determine the best investment using a 10-year planning horizon and the base cases for each project and eligible alternatives. </t>
  </si>
  <si>
    <t>2F - $25k</t>
  </si>
  <si>
    <t>2E - $24k</t>
  </si>
  <si>
    <t>3I - $50k</t>
  </si>
  <si>
    <t>3H - $35k</t>
  </si>
  <si>
    <t>4K - $25k</t>
  </si>
  <si>
    <t>Options Omitting Project 4</t>
  </si>
  <si>
    <t>Omitting Project 3</t>
  </si>
  <si>
    <t>Omitting Project 2</t>
  </si>
  <si>
    <t>Omitting Project 1</t>
  </si>
  <si>
    <t>Match 1: 1C + 2F + 3I, Loan REQUIRED</t>
  </si>
  <si>
    <t>Match 3: 1C + 2F + 3H, Loan AVOIDED</t>
  </si>
  <si>
    <t>Match 5: 1C + 2F + 4K, Loan AVOIDED</t>
  </si>
  <si>
    <t>Match 7: 1C + 3I + 4K, Loan REQUIRED</t>
  </si>
  <si>
    <t>Match 9: 2F + 3I + 4K, Loan AVOIDED</t>
  </si>
  <si>
    <t>Match 11: 2F + 3H + 4K, Loan AVOIDED</t>
  </si>
  <si>
    <t>EOY</t>
  </si>
  <si>
    <t>Projects CF</t>
  </si>
  <si>
    <t>Loan Payment</t>
  </si>
  <si>
    <t>Total Cash Flow</t>
  </si>
  <si>
    <t>NPV (MARR)</t>
  </si>
  <si>
    <t>NPV (Avg Rtrn)</t>
  </si>
  <si>
    <t>Match 2: 1C + 2E + 3I, Loan REQUIRED</t>
  </si>
  <si>
    <t>Match 4: 1C + 2E + 3H, Loan AVOIDED</t>
  </si>
  <si>
    <t>Match 6: 1C + 2E + 4K, Loan AVOIDED</t>
  </si>
  <si>
    <t>Match 8: 1C + 3H + 4K, Loan AVOIDED</t>
  </si>
  <si>
    <t>Match 10: 2E + 3I + 4K, Loan AVOIDED</t>
  </si>
  <si>
    <t>Match 12: 2E + 3H + 4K, Loan AVOIDED</t>
  </si>
  <si>
    <t>Projects Matched</t>
  </si>
  <si>
    <t>1C+2F+3I*</t>
  </si>
  <si>
    <t>1C+2E+3I*</t>
  </si>
  <si>
    <t>1C+2F+3H</t>
  </si>
  <si>
    <t>1C+2E+3H</t>
  </si>
  <si>
    <t>1C+2F+4K</t>
  </si>
  <si>
    <t>1C+2E+4K</t>
  </si>
  <si>
    <t>1C+3I+4K*</t>
  </si>
  <si>
    <t>1C+3H+4K</t>
  </si>
  <si>
    <t>2F+3I+4K</t>
  </si>
  <si>
    <t>2E+3I+4K</t>
  </si>
  <si>
    <t>2F+3H+4K</t>
  </si>
  <si>
    <t>2E+3H+4K</t>
  </si>
  <si>
    <t>* Loan had to be taken out</t>
  </si>
  <si>
    <t>Base Case Annual Benefit</t>
  </si>
  <si>
    <t>% of Base Benefit</t>
  </si>
  <si>
    <t>Calc Annual Benefit</t>
  </si>
  <si>
    <t>Max Salvage Value</t>
  </si>
  <si>
    <t>% of Max Salvage Value</t>
  </si>
  <si>
    <t>Calc Salvage Value</t>
  </si>
  <si>
    <t>Avg Return</t>
  </si>
  <si>
    <t>Useful life of: 8 years</t>
  </si>
  <si>
    <t>Useful life of: 10 years</t>
  </si>
  <si>
    <t>Useful life of: 12 years</t>
  </si>
  <si>
    <t xml:space="preserve">1A </t>
  </si>
  <si>
    <t xml:space="preserve">1B </t>
  </si>
  <si>
    <t xml:space="preserve">1C </t>
  </si>
  <si>
    <t xml:space="preserve">1D </t>
  </si>
  <si>
    <t xml:space="preserve">1B-1A </t>
  </si>
  <si>
    <t>1C-1B</t>
  </si>
  <si>
    <t>1D-1C</t>
  </si>
  <si>
    <t>1B-1A CF</t>
  </si>
  <si>
    <t>NPV (Average Return)</t>
  </si>
  <si>
    <t>IRR</t>
  </si>
  <si>
    <t>ERR (MARR)</t>
  </si>
  <si>
    <t>ERR (Average Return)</t>
  </si>
  <si>
    <t>Project 2 Alternatives: 2E and 2F</t>
  </si>
  <si>
    <t>Reference Parameters</t>
  </si>
  <si>
    <t>Results</t>
  </si>
  <si>
    <t>NPV from Change in Annual Benefit with MARR over a 10 Year Lifespan with No Salvage Value</t>
  </si>
  <si>
    <t>2F-2E NPV from Change in Annual Benefit with MARR</t>
  </si>
  <si>
    <t>NPV Over Varying Useful Life with MARR and No Salvage Value</t>
  </si>
  <si>
    <t>NPV Over Varying Useful Life with Avg Return and No Salvage Value</t>
  </si>
  <si>
    <t>2E Cash Flow NPV</t>
  </si>
  <si>
    <t>2F Cash Flow NPV</t>
  </si>
  <si>
    <t>Lifespan</t>
  </si>
  <si>
    <t>2E NPV</t>
  </si>
  <si>
    <t>2E ERR</t>
  </si>
  <si>
    <t>2F NPV</t>
  </si>
  <si>
    <t>2F ERR</t>
  </si>
  <si>
    <t>2F-2E NPV</t>
  </si>
  <si>
    <t>2F-2E ERR</t>
  </si>
  <si>
    <t>NPV from Change in Salvage Value with MARR over a 10 Year Lifespan</t>
  </si>
  <si>
    <t>NPV from Change in Salvage Value with Average Return over a 10 Year Lifespan</t>
  </si>
  <si>
    <t>NPV from Change in Annual Benefit with Avg Return over a 10 Year Lifespan with No Salvage Value</t>
  </si>
  <si>
    <t>2F-2E NPV from Change in Annual Benefit with Average Return</t>
  </si>
  <si>
    <t>LEGEND</t>
  </si>
  <si>
    <t>Both NPVs are negative, do not pursue Project 2</t>
  </si>
  <si>
    <t>2E is the better (or only) investment</t>
  </si>
  <si>
    <t>2F is better (or only) investment</t>
  </si>
  <si>
    <t>ERR is lower than comparison</t>
  </si>
  <si>
    <t>*The positive NPV is deceiving here, it is just because a larger negative 2E value is being subtracted from a negative 2F value</t>
  </si>
  <si>
    <t>ERR from Change in Annual Benefit with MARR over a 10 Year Lifespan with No Salvage Value</t>
  </si>
  <si>
    <t>2F-2E ERR from Change in Annual Benefit with MARR</t>
  </si>
  <si>
    <t>2E Cash Flow ERR</t>
  </si>
  <si>
    <t>2F Cash Flow ERR</t>
  </si>
  <si>
    <t>SERIES FOR PLOTTING</t>
  </si>
  <si>
    <t>2F-2E NET PRESENT VALUE WITH MARR</t>
  </si>
  <si>
    <t>2F-2E NET PRESENT VALUE WITH AVERAGE RETURN</t>
  </si>
  <si>
    <t>Very Low</t>
  </si>
  <si>
    <t>Low</t>
  </si>
  <si>
    <t>Base</t>
  </si>
  <si>
    <t>High</t>
  </si>
  <si>
    <t>Very High</t>
  </si>
  <si>
    <t>ERR from Change in Annual Benefit with Avg Return over a 10 Year Lifespan with No Salvage Value</t>
  </si>
  <si>
    <t>2F-2E ERR from Change in Annual Benefit with Average Return</t>
  </si>
  <si>
    <t>2E NET PRESENT VALUE WITH MARR</t>
  </si>
  <si>
    <t>2F NET PRESENT VALUE WITH MARR</t>
  </si>
  <si>
    <t>2E NET PRESENT VALUE WITH AVG RETURN</t>
  </si>
  <si>
    <t>2F NET PRESENT VALUE WITH AVG RETURN</t>
  </si>
  <si>
    <t>Live Tables</t>
  </si>
  <si>
    <t>Useful life of 6 years</t>
  </si>
  <si>
    <t>Useful life of 8 years</t>
  </si>
  <si>
    <t>Useful life of 10 years</t>
  </si>
  <si>
    <t>Useful life of 12 years</t>
  </si>
  <si>
    <t>Useful life of 15 years</t>
  </si>
  <si>
    <t>2E CF</t>
  </si>
  <si>
    <t>2F CF</t>
  </si>
  <si>
    <t>2F-2E CF</t>
  </si>
  <si>
    <t>NPV (Avg Rtn)</t>
  </si>
  <si>
    <t>ERR (Avg Rtn)</t>
  </si>
  <si>
    <t>Useful life of 8 years, base first cost, base annual benefit</t>
  </si>
  <si>
    <t>Useful life of 10 years, base first cost, base annual benefit</t>
  </si>
  <si>
    <t>Useful life of 15 years, base first cost, base annual benefit</t>
  </si>
  <si>
    <t>Base First Cost</t>
  </si>
  <si>
    <t>3H-3G</t>
  </si>
  <si>
    <t>3I-3H</t>
  </si>
  <si>
    <t>$ -</t>
  </si>
  <si>
    <t>Average return</t>
  </si>
  <si>
    <t>Analysis</t>
  </si>
  <si>
    <t>Evaluation criteria NPV and IRR</t>
  </si>
  <si>
    <t>3I and 3H --&gt; Best options</t>
  </si>
  <si>
    <t xml:space="preserve">3I has the maximum NPV and IRR </t>
  </si>
  <si>
    <t xml:space="preserve">Close second is 3H </t>
  </si>
  <si>
    <t>NPV using MARR</t>
  </si>
  <si>
    <t>NPV using average return</t>
  </si>
  <si>
    <t>ERR using MARR</t>
  </si>
  <si>
    <t>ERR using average return</t>
  </si>
  <si>
    <t>Useful life of 8 years, base first cost, min annual benefit</t>
  </si>
  <si>
    <t>Useful life of 10 years, base first cost, min annual benefit</t>
  </si>
  <si>
    <t>Useful life of 8 years, base first cost, max annual benefit</t>
  </si>
  <si>
    <t>Useful life of 10 years, base first cost, max annual benefit</t>
  </si>
  <si>
    <t>Useful life of 15 years, base first cost, max annual benefit</t>
  </si>
  <si>
    <t>Useful life of 8 years, min first cost, base annual benefit</t>
  </si>
  <si>
    <t>Useful life of 10 years, min first cost, base annual benefit</t>
  </si>
  <si>
    <t>Useful life of 15 years, min first cost, base annual benefit</t>
  </si>
  <si>
    <t>Useful life of 8 years, max first cost, base annual benefit</t>
  </si>
  <si>
    <t>Useful life of 10 years, max first cost, base annual benefit</t>
  </si>
  <si>
    <t>Internal Rate of Return (IRR) of cash flows for 8, 10 and 15 years respectively</t>
  </si>
  <si>
    <t>Net Present Value using MARR of cash flows for 8, 10 and 15 years respectively</t>
  </si>
  <si>
    <t>Net Present Value using Average Return of cash flows for 8, 10 and 15 years respectively</t>
  </si>
  <si>
    <t>For AW 4J, we prefer 12 years with $4,500 annual benefits with MARR</t>
  </si>
  <si>
    <t>For AW 4K, since 6579.66 &gt; 5722.36, then we choose the highest one, which is 15 years with MARR, $20,000 first cost, and $10,000annual benifits</t>
  </si>
  <si>
    <t>For FW 4J, we perfer choose the one with highest value,which is 12 years  with $4,500 annual benefits with MARR</t>
  </si>
  <si>
    <t>Max Salvage</t>
  </si>
  <si>
    <t>For 4K, to choose the highest FW , we prefer 15 years with Average Return, $20,000 first cost, and $10,000annual benifits</t>
  </si>
  <si>
    <t>% of Max Slavage Value</t>
  </si>
  <si>
    <t>Overall, to compare the AW for both 4J and 4K, since 1732.79 &lt; 6579.66, we choose 4K</t>
  </si>
  <si>
    <t>To compare the FW for both 4J and 4K, we choose 4K.</t>
  </si>
  <si>
    <t xml:space="preserve">Average Retrun </t>
  </si>
  <si>
    <t>Useful life of 8 year</t>
  </si>
  <si>
    <t>Useful life of 9 years</t>
  </si>
  <si>
    <t>AW using MARR</t>
  </si>
  <si>
    <t>AW using Average Return</t>
  </si>
  <si>
    <t>FW using MARR</t>
  </si>
  <si>
    <t>FW using Average Return</t>
  </si>
  <si>
    <t>Useful life of 7 year</t>
  </si>
  <si>
    <t>Useful life of 10 year</t>
  </si>
  <si>
    <t>Useful life of 15 year</t>
  </si>
  <si>
    <t>8 years</t>
  </si>
  <si>
    <t>9 years</t>
  </si>
  <si>
    <t>12 years</t>
  </si>
  <si>
    <t>7 years</t>
  </si>
  <si>
    <t>10 years</t>
  </si>
  <si>
    <t>15 years</t>
  </si>
  <si>
    <t>Engineering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</si>
</sst>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quot;$&quot;#,##0.00"/>
    <numFmt numFmtId="166" formatCode="0.0%"/>
    <numFmt numFmtId="167" formatCode="0.000%"/>
  </numFmts>
  <fonts count="32" x14ac:knownFonts="1">
    <font>
      <sz val="10"/>
      <color rgb="FF000000"/>
      <name val="Arial"/>
      <scheme val="minor"/>
    </font>
    <font>
      <b/>
      <sz val="14"/>
      <color rgb="FFFFFFFF"/>
      <name val="Arial"/>
      <family val="2"/>
      <scheme val="minor"/>
    </font>
    <font>
      <b/>
      <sz val="10"/>
      <color rgb="FFFFFFFF"/>
      <name val="Arial"/>
      <family val="2"/>
      <scheme val="minor"/>
    </font>
    <font>
      <sz val="10"/>
      <color theme="1"/>
      <name val="Arial"/>
      <family val="2"/>
      <scheme val="minor"/>
    </font>
    <font>
      <b/>
      <sz val="10"/>
      <color rgb="FF000000"/>
      <name val="Arial"/>
      <family val="2"/>
      <scheme val="minor"/>
    </font>
    <font>
      <sz val="10"/>
      <color rgb="FF000000"/>
      <name val="Arial"/>
      <family val="2"/>
      <scheme val="minor"/>
    </font>
    <font>
      <sz val="10"/>
      <color rgb="FFFFFFFF"/>
      <name val="Arial"/>
      <family val="2"/>
      <scheme val="minor"/>
    </font>
    <font>
      <b/>
      <sz val="10"/>
      <color theme="1"/>
      <name val="Arial"/>
      <family val="2"/>
      <scheme val="minor"/>
    </font>
    <font>
      <sz val="10"/>
      <name val="Arial"/>
      <family val="2"/>
    </font>
    <font>
      <sz val="11"/>
      <color rgb="FF000000"/>
      <name val="Arial"/>
      <family val="2"/>
    </font>
    <font>
      <strike/>
      <sz val="10"/>
      <color theme="1"/>
      <name val="Arial"/>
      <family val="2"/>
      <scheme val="minor"/>
    </font>
    <font>
      <b/>
      <sz val="10"/>
      <color theme="1"/>
      <name val="Arial"/>
      <family val="2"/>
      <scheme val="minor"/>
    </font>
    <font>
      <b/>
      <sz val="18"/>
      <color rgb="FFFFFFFF"/>
      <name val="Arial"/>
      <family val="2"/>
      <scheme val="minor"/>
    </font>
    <font>
      <b/>
      <sz val="10"/>
      <color rgb="FFFFFFFF"/>
      <name val="Arial"/>
      <family val="2"/>
      <scheme val="minor"/>
    </font>
    <font>
      <sz val="10"/>
      <color theme="1"/>
      <name val="Arial"/>
      <family val="2"/>
    </font>
    <font>
      <sz val="12"/>
      <color theme="1"/>
      <name val="Calibri"/>
      <family val="2"/>
    </font>
    <font>
      <sz val="12"/>
      <color theme="1"/>
      <name val="Arial"/>
      <family val="2"/>
    </font>
    <font>
      <b/>
      <sz val="10"/>
      <color theme="1"/>
      <name val="Arial"/>
      <family val="2"/>
    </font>
    <font>
      <b/>
      <sz val="12"/>
      <color theme="1"/>
      <name val="Arial"/>
      <family val="2"/>
      <scheme val="minor"/>
    </font>
    <font>
      <b/>
      <sz val="11"/>
      <color theme="1"/>
      <name val="Arial"/>
      <family val="2"/>
      <scheme val="minor"/>
    </font>
    <font>
      <sz val="11"/>
      <color theme="1"/>
      <name val="Arial"/>
      <family val="2"/>
      <scheme val="minor"/>
    </font>
    <font>
      <sz val="10"/>
      <color rgb="FF980000"/>
      <name val="Arial"/>
      <family val="2"/>
      <scheme val="minor"/>
    </font>
    <font>
      <sz val="10"/>
      <color rgb="FFFF0000"/>
      <name val="Arial"/>
      <family val="2"/>
      <scheme val="minor"/>
    </font>
    <font>
      <sz val="10"/>
      <color rgb="FF000000"/>
      <name val="Arial"/>
      <family val="2"/>
    </font>
    <font>
      <b/>
      <sz val="10"/>
      <color rgb="FF000000"/>
      <name val="Arial"/>
      <family val="2"/>
    </font>
    <font>
      <sz val="10"/>
      <color rgb="FFFF0000"/>
      <name val="Arial"/>
      <family val="2"/>
    </font>
    <font>
      <b/>
      <sz val="18"/>
      <color theme="1"/>
      <name val="Arial"/>
      <family val="2"/>
      <scheme val="minor"/>
    </font>
    <font>
      <sz val="10"/>
      <color rgb="FFFF0000"/>
      <name val="Arial"/>
      <family val="2"/>
      <scheme val="minor"/>
    </font>
    <font>
      <sz val="10"/>
      <color theme="1"/>
      <name val="Arial"/>
      <family val="2"/>
      <scheme val="minor"/>
    </font>
    <font>
      <sz val="10"/>
      <color rgb="FFFF0000"/>
      <name val="Arial"/>
      <family val="2"/>
    </font>
    <font>
      <sz val="10"/>
      <color theme="1"/>
      <name val="Arial"/>
      <family val="2"/>
    </font>
    <font>
      <sz val="12"/>
      <color rgb="FF000000"/>
      <name val="Calibri"/>
      <family val="2"/>
    </font>
  </fonts>
  <fills count="21">
    <fill>
      <patternFill patternType="none"/>
    </fill>
    <fill>
      <patternFill patternType="gray125"/>
    </fill>
    <fill>
      <patternFill patternType="solid">
        <fgColor rgb="FF073763"/>
        <bgColor rgb="FF073763"/>
      </patternFill>
    </fill>
    <fill>
      <patternFill patternType="solid">
        <fgColor rgb="FF0B5394"/>
        <bgColor rgb="FF0B5394"/>
      </patternFill>
    </fill>
    <fill>
      <patternFill patternType="solid">
        <fgColor rgb="FF3D85C6"/>
        <bgColor rgb="FF3D85C6"/>
      </patternFill>
    </fill>
    <fill>
      <patternFill patternType="solid">
        <fgColor rgb="FF9FC5E8"/>
        <bgColor rgb="FF9FC5E8"/>
      </patternFill>
    </fill>
    <fill>
      <patternFill patternType="solid">
        <fgColor rgb="FFFFFFFF"/>
        <bgColor rgb="FFFFFFFF"/>
      </patternFill>
    </fill>
    <fill>
      <patternFill patternType="solid">
        <fgColor rgb="FFE2EEF9"/>
        <bgColor rgb="FFE2EEF9"/>
      </patternFill>
    </fill>
    <fill>
      <patternFill patternType="solid">
        <fgColor rgb="FF134F5C"/>
        <bgColor rgb="FF134F5C"/>
      </patternFill>
    </fill>
    <fill>
      <patternFill patternType="solid">
        <fgColor rgb="FF6FA8DC"/>
        <bgColor rgb="FF6FA8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EFEFEF"/>
        <bgColor rgb="FFEFEFEF"/>
      </patternFill>
    </fill>
    <fill>
      <patternFill patternType="solid">
        <fgColor rgb="FFF4CCCC"/>
        <bgColor rgb="FFF4CCCC"/>
      </patternFill>
    </fill>
    <fill>
      <patternFill patternType="solid">
        <fgColor rgb="FFA4C2F4"/>
        <bgColor rgb="FFA4C2F4"/>
      </patternFill>
    </fill>
    <fill>
      <patternFill patternType="solid">
        <fgColor rgb="FF4A86E8"/>
        <bgColor rgb="FF4A86E8"/>
      </patternFill>
    </fill>
    <fill>
      <patternFill patternType="solid">
        <fgColor rgb="FF000000"/>
        <bgColor rgb="FF000000"/>
      </patternFill>
    </fill>
    <fill>
      <patternFill patternType="solid">
        <fgColor rgb="FFC9DAF8"/>
        <bgColor rgb="FFC9DAF8"/>
      </patternFill>
    </fill>
    <fill>
      <patternFill patternType="solid">
        <fgColor rgb="FFFFE599"/>
        <bgColor rgb="FFFFE599"/>
      </patternFill>
    </fill>
    <fill>
      <patternFill patternType="solid">
        <fgColor theme="0"/>
        <bgColor theme="0"/>
      </patternFill>
    </fill>
  </fills>
  <borders count="80">
    <border>
      <left/>
      <right/>
      <top/>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right/>
      <top style="medium">
        <color rgb="FF000000"/>
      </top>
      <bottom/>
      <diagonal/>
    </border>
    <border>
      <left/>
      <right style="thin">
        <color rgb="FF000000"/>
      </right>
      <top style="medium">
        <color rgb="FF000000"/>
      </top>
      <bottom/>
      <diagonal/>
    </border>
    <border>
      <left/>
      <right style="medium">
        <color rgb="FF000000"/>
      </right>
      <top style="medium">
        <color rgb="FF000000"/>
      </top>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diagonal/>
    </border>
    <border>
      <left/>
      <right style="thin">
        <color rgb="FF000000"/>
      </right>
      <top/>
      <bottom/>
      <diagonal/>
    </border>
    <border>
      <left/>
      <right style="medium">
        <color rgb="FF000000"/>
      </right>
      <top/>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ck">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ck">
        <color rgb="FF0B5394"/>
      </bottom>
      <diagonal/>
    </border>
    <border>
      <left style="thin">
        <color rgb="FF000000"/>
      </left>
      <right/>
      <top style="medium">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medium">
        <color rgb="FF000000"/>
      </right>
      <top/>
      <bottom/>
      <diagonal/>
    </border>
    <border>
      <left style="medium">
        <color rgb="FF000000"/>
      </left>
      <right style="medium">
        <color rgb="FF000000"/>
      </right>
      <top/>
      <bottom/>
      <diagonal/>
    </border>
    <border>
      <left style="thin">
        <color rgb="FF000000"/>
      </left>
      <right style="thin">
        <color rgb="FF000000"/>
      </right>
      <top style="medium">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thick">
        <color rgb="FFFF0000"/>
      </left>
      <right style="thick">
        <color rgb="FFFF0000"/>
      </right>
      <top style="thick">
        <color rgb="FFFF0000"/>
      </top>
      <bottom/>
      <diagonal/>
    </border>
    <border>
      <left style="thick">
        <color rgb="FFFF0000"/>
      </left>
      <right style="thick">
        <color rgb="FFFF0000"/>
      </right>
      <top/>
      <bottom style="thick">
        <color rgb="FFFF0000"/>
      </bottom>
      <diagonal/>
    </border>
    <border>
      <left style="thin">
        <color rgb="FF000000"/>
      </left>
      <right/>
      <top style="thin">
        <color rgb="FF000000"/>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style="thin">
        <color rgb="FF000000"/>
      </top>
      <bottom/>
      <diagonal/>
    </border>
  </borders>
  <cellStyleXfs count="1">
    <xf numFmtId="0" fontId="0" fillId="0" borderId="0"/>
  </cellStyleXfs>
  <cellXfs count="519">
    <xf numFmtId="0" fontId="0" fillId="0" borderId="0" xfId="0"/>
    <xf numFmtId="0" fontId="1" fillId="2" borderId="0" xfId="0" applyFont="1" applyFill="1" applyAlignment="1">
      <alignment vertical="center"/>
    </xf>
    <xf numFmtId="0" fontId="2" fillId="3" borderId="1" xfId="0" applyFont="1" applyFill="1" applyBorder="1" applyAlignment="1">
      <alignment vertical="center"/>
    </xf>
    <xf numFmtId="0" fontId="3" fillId="0" borderId="0" xfId="0" applyFont="1" applyAlignment="1">
      <alignment vertical="center" wrapText="1"/>
    </xf>
    <xf numFmtId="0" fontId="3" fillId="0" borderId="0" xfId="0" applyFont="1" applyAlignment="1">
      <alignmen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5"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3" fillId="6" borderId="5" xfId="0" applyFont="1" applyFill="1" applyBorder="1" applyAlignment="1">
      <alignment horizontal="center" vertical="center"/>
    </xf>
    <xf numFmtId="164" fontId="9" fillId="6" borderId="6" xfId="0" applyNumberFormat="1"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3" fillId="6" borderId="7" xfId="0" applyFont="1" applyFill="1" applyBorder="1" applyAlignment="1">
      <alignment horizontal="center" vertical="center"/>
    </xf>
    <xf numFmtId="0" fontId="3" fillId="6" borderId="6" xfId="0" applyFont="1" applyFill="1" applyBorder="1" applyAlignment="1">
      <alignment horizontal="center" vertical="center"/>
    </xf>
    <xf numFmtId="0" fontId="3" fillId="6" borderId="8" xfId="0" applyFont="1" applyFill="1" applyBorder="1" applyAlignment="1">
      <alignment horizontal="center" vertical="center"/>
    </xf>
    <xf numFmtId="0" fontId="9" fillId="0" borderId="0" xfId="0" applyFont="1" applyAlignment="1">
      <alignment vertical="center" wrapText="1"/>
    </xf>
    <xf numFmtId="0" fontId="3" fillId="7" borderId="12" xfId="0" applyFont="1" applyFill="1" applyBorder="1" applyAlignment="1">
      <alignment horizontal="center" vertical="center"/>
    </xf>
    <xf numFmtId="164" fontId="9" fillId="7" borderId="0" xfId="0" applyNumberFormat="1" applyFont="1" applyFill="1" applyAlignment="1">
      <alignment horizontal="center" vertical="center" wrapText="1"/>
    </xf>
    <xf numFmtId="0" fontId="9" fillId="7" borderId="13" xfId="0" applyFont="1" applyFill="1" applyBorder="1" applyAlignment="1">
      <alignment horizontal="center" vertical="center" wrapText="1"/>
    </xf>
    <xf numFmtId="0" fontId="9" fillId="7" borderId="0" xfId="0" applyFont="1" applyFill="1" applyAlignment="1">
      <alignment horizontal="center" vertical="center" wrapText="1"/>
    </xf>
    <xf numFmtId="0" fontId="3" fillId="7" borderId="13" xfId="0" applyFont="1" applyFill="1" applyBorder="1" applyAlignment="1">
      <alignment horizontal="center" vertical="center"/>
    </xf>
    <xf numFmtId="0" fontId="3" fillId="7" borderId="0" xfId="0" applyFont="1" applyFill="1" applyAlignment="1">
      <alignment horizontal="center" vertical="center"/>
    </xf>
    <xf numFmtId="0" fontId="3" fillId="7" borderId="14" xfId="0" applyFont="1" applyFill="1" applyBorder="1" applyAlignment="1">
      <alignment horizontal="center" vertical="center"/>
    </xf>
    <xf numFmtId="0" fontId="3" fillId="6" borderId="12" xfId="0" applyFont="1" applyFill="1" applyBorder="1" applyAlignment="1">
      <alignment horizontal="center" vertical="center"/>
    </xf>
    <xf numFmtId="164" fontId="9" fillId="6" borderId="0" xfId="0" applyNumberFormat="1" applyFont="1" applyFill="1" applyAlignment="1">
      <alignment horizontal="center" vertical="center" wrapText="1"/>
    </xf>
    <xf numFmtId="0" fontId="9" fillId="6" borderId="13" xfId="0" applyFont="1" applyFill="1" applyBorder="1" applyAlignment="1">
      <alignment horizontal="center" vertical="center" wrapText="1"/>
    </xf>
    <xf numFmtId="0" fontId="9" fillId="6" borderId="0" xfId="0" applyFont="1" applyFill="1" applyAlignment="1">
      <alignment horizontal="center" vertical="center" wrapText="1"/>
    </xf>
    <xf numFmtId="0" fontId="3" fillId="6" borderId="13" xfId="0" applyFont="1" applyFill="1" applyBorder="1" applyAlignment="1">
      <alignment horizontal="center" vertical="center"/>
    </xf>
    <xf numFmtId="0" fontId="3" fillId="6" borderId="0" xfId="0" applyFont="1" applyFill="1" applyAlignment="1">
      <alignment horizontal="center" vertical="center"/>
    </xf>
    <xf numFmtId="0" fontId="3" fillId="6" borderId="14" xfId="0" applyFont="1" applyFill="1" applyBorder="1" applyAlignment="1">
      <alignment horizontal="center" vertical="center"/>
    </xf>
    <xf numFmtId="0" fontId="3" fillId="7" borderId="9" xfId="0" applyFont="1" applyFill="1" applyBorder="1" applyAlignment="1">
      <alignment horizontal="center" vertical="center"/>
    </xf>
    <xf numFmtId="164" fontId="3" fillId="7" borderId="1" xfId="0" applyNumberFormat="1" applyFont="1" applyFill="1" applyBorder="1" applyAlignment="1">
      <alignment horizontal="center" vertical="center"/>
    </xf>
    <xf numFmtId="0" fontId="3" fillId="7" borderId="10" xfId="0" applyFont="1" applyFill="1" applyBorder="1" applyAlignment="1">
      <alignment horizontal="center" vertical="center"/>
    </xf>
    <xf numFmtId="0" fontId="3" fillId="7" borderId="1" xfId="0" applyFont="1" applyFill="1" applyBorder="1" applyAlignment="1">
      <alignment horizontal="center" vertical="center"/>
    </xf>
    <xf numFmtId="0" fontId="9" fillId="7" borderId="1" xfId="0" applyFont="1" applyFill="1" applyBorder="1" applyAlignment="1">
      <alignment horizontal="center" vertical="center" wrapText="1"/>
    </xf>
    <xf numFmtId="0" fontId="3" fillId="7" borderId="11" xfId="0" applyFont="1" applyFill="1" applyBorder="1" applyAlignment="1">
      <alignment horizontal="center" vertical="center"/>
    </xf>
    <xf numFmtId="164" fontId="3" fillId="6" borderId="6" xfId="0" applyNumberFormat="1" applyFont="1" applyFill="1" applyBorder="1" applyAlignment="1">
      <alignment horizontal="center" vertical="center"/>
    </xf>
    <xf numFmtId="164" fontId="3" fillId="6" borderId="7" xfId="0" applyNumberFormat="1" applyFont="1" applyFill="1" applyBorder="1" applyAlignment="1">
      <alignment horizontal="center" vertical="center"/>
    </xf>
    <xf numFmtId="164" fontId="3" fillId="6" borderId="8" xfId="0" applyNumberFormat="1" applyFont="1" applyFill="1" applyBorder="1" applyAlignment="1">
      <alignment horizontal="center" vertical="center"/>
    </xf>
    <xf numFmtId="164" fontId="3" fillId="7" borderId="10" xfId="0" applyNumberFormat="1" applyFont="1" applyFill="1" applyBorder="1" applyAlignment="1">
      <alignment horizontal="center" vertical="center"/>
    </xf>
    <xf numFmtId="164" fontId="3" fillId="7" borderId="11" xfId="0" applyNumberFormat="1" applyFont="1" applyFill="1" applyBorder="1" applyAlignment="1">
      <alignment horizontal="center" vertical="center"/>
    </xf>
    <xf numFmtId="164" fontId="3" fillId="7" borderId="0" xfId="0" applyNumberFormat="1" applyFont="1" applyFill="1" applyAlignment="1">
      <alignment horizontal="center" vertical="center"/>
    </xf>
    <xf numFmtId="164" fontId="3" fillId="7" borderId="13" xfId="0" applyNumberFormat="1" applyFont="1" applyFill="1" applyBorder="1" applyAlignment="1">
      <alignment horizontal="center" vertical="center"/>
    </xf>
    <xf numFmtId="0" fontId="3" fillId="6" borderId="9" xfId="0" applyFont="1" applyFill="1" applyBorder="1" applyAlignment="1">
      <alignment horizontal="center" vertical="center"/>
    </xf>
    <xf numFmtId="164" fontId="3" fillId="6" borderId="1" xfId="0" applyNumberFormat="1" applyFont="1" applyFill="1" applyBorder="1" applyAlignment="1">
      <alignment horizontal="center" vertical="center"/>
    </xf>
    <xf numFmtId="164" fontId="3" fillId="6" borderId="10" xfId="0" applyNumberFormat="1" applyFont="1" applyFill="1" applyBorder="1" applyAlignment="1">
      <alignment horizontal="center" vertical="center"/>
    </xf>
    <xf numFmtId="0" fontId="9" fillId="6" borderId="1" xfId="0" applyFont="1" applyFill="1" applyBorder="1" applyAlignment="1">
      <alignment horizontal="center" vertical="center" wrapText="1"/>
    </xf>
    <xf numFmtId="0" fontId="3" fillId="6" borderId="10" xfId="0" applyFont="1" applyFill="1" applyBorder="1" applyAlignment="1">
      <alignment horizontal="center" vertical="center"/>
    </xf>
    <xf numFmtId="0" fontId="3" fillId="6" borderId="1" xfId="0" applyFont="1" applyFill="1" applyBorder="1" applyAlignment="1">
      <alignment horizontal="center" vertical="center"/>
    </xf>
    <xf numFmtId="164" fontId="3" fillId="6" borderId="11" xfId="0" applyNumberFormat="1" applyFont="1" applyFill="1" applyBorder="1" applyAlignment="1">
      <alignment horizontal="center" vertic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164" fontId="3" fillId="7" borderId="6" xfId="0" applyNumberFormat="1" applyFont="1" applyFill="1" applyBorder="1" applyAlignment="1">
      <alignment horizontal="center" vertical="center"/>
    </xf>
    <xf numFmtId="0" fontId="3" fillId="7" borderId="7" xfId="0" applyFont="1" applyFill="1" applyBorder="1" applyAlignment="1">
      <alignment horizontal="center" vertical="center"/>
    </xf>
    <xf numFmtId="164" fontId="3" fillId="7" borderId="7" xfId="0" applyNumberFormat="1" applyFont="1" applyFill="1" applyBorder="1" applyAlignment="1">
      <alignment horizontal="center" vertical="center"/>
    </xf>
    <xf numFmtId="0" fontId="9" fillId="7" borderId="6" xfId="0" applyFont="1" applyFill="1" applyBorder="1" applyAlignment="1">
      <alignment horizontal="center" vertical="center" wrapText="1"/>
    </xf>
    <xf numFmtId="0" fontId="3" fillId="7" borderId="8" xfId="0" applyFont="1" applyFill="1" applyBorder="1" applyAlignment="1">
      <alignment horizontal="center" vertical="center"/>
    </xf>
    <xf numFmtId="0" fontId="3" fillId="6" borderId="11" xfId="0" applyFont="1" applyFill="1" applyBorder="1" applyAlignment="1">
      <alignment horizontal="center" vertical="center"/>
    </xf>
    <xf numFmtId="9" fontId="3" fillId="0" borderId="17" xfId="0" applyNumberFormat="1" applyFont="1" applyBorder="1" applyAlignment="1">
      <alignment vertical="center"/>
    </xf>
    <xf numFmtId="9" fontId="3" fillId="0" borderId="20" xfId="0" applyNumberFormat="1" applyFont="1" applyBorder="1" applyAlignment="1">
      <alignment vertical="center"/>
    </xf>
    <xf numFmtId="164" fontId="3" fillId="0" borderId="20" xfId="0" applyNumberFormat="1" applyFont="1" applyBorder="1" applyAlignment="1">
      <alignment vertical="center"/>
    </xf>
    <xf numFmtId="0" fontId="3" fillId="0" borderId="20" xfId="0" applyFont="1" applyBorder="1" applyAlignment="1">
      <alignment vertical="center"/>
    </xf>
    <xf numFmtId="0" fontId="3" fillId="0" borderId="23" xfId="0" applyFont="1" applyBorder="1" applyAlignment="1">
      <alignment vertical="center"/>
    </xf>
    <xf numFmtId="0" fontId="12" fillId="2" borderId="0" xfId="0" applyFont="1" applyFill="1" applyAlignment="1">
      <alignment vertical="center"/>
    </xf>
    <xf numFmtId="0" fontId="12" fillId="8" borderId="24" xfId="0" applyFont="1" applyFill="1" applyBorder="1" applyAlignment="1">
      <alignment vertical="center"/>
    </xf>
    <xf numFmtId="0" fontId="11" fillId="0" borderId="0" xfId="0" applyFont="1"/>
    <xf numFmtId="0" fontId="11" fillId="9" borderId="25" xfId="0" applyFont="1" applyFill="1" applyBorder="1"/>
    <xf numFmtId="0" fontId="9" fillId="0" borderId="26" xfId="0" applyFont="1" applyBorder="1"/>
    <xf numFmtId="0" fontId="13" fillId="0" borderId="0" xfId="0" applyFont="1"/>
    <xf numFmtId="0" fontId="6" fillId="0" borderId="0" xfId="0" applyFont="1"/>
    <xf numFmtId="0" fontId="9" fillId="0" borderId="18" xfId="0" applyFont="1" applyBorder="1"/>
    <xf numFmtId="0" fontId="9" fillId="0" borderId="21" xfId="0" applyFont="1" applyBorder="1"/>
    <xf numFmtId="0" fontId="9" fillId="0" borderId="0" xfId="0" applyFont="1"/>
    <xf numFmtId="0" fontId="11" fillId="10" borderId="30" xfId="0" applyFont="1" applyFill="1" applyBorder="1"/>
    <xf numFmtId="0" fontId="11" fillId="10" borderId="0" xfId="0" applyFont="1" applyFill="1"/>
    <xf numFmtId="0" fontId="11" fillId="10" borderId="14" xfId="0" applyFont="1" applyFill="1" applyBorder="1"/>
    <xf numFmtId="0" fontId="11" fillId="10" borderId="25" xfId="0" applyFont="1" applyFill="1" applyBorder="1"/>
    <xf numFmtId="0" fontId="3" fillId="0" borderId="0" xfId="0" applyFont="1"/>
    <xf numFmtId="0" fontId="11" fillId="10" borderId="2" xfId="0" applyFont="1" applyFill="1" applyBorder="1"/>
    <xf numFmtId="0" fontId="11" fillId="10" borderId="3" xfId="0" applyFont="1" applyFill="1" applyBorder="1"/>
    <xf numFmtId="0" fontId="11" fillId="10" borderId="4" xfId="0" applyFont="1" applyFill="1" applyBorder="1"/>
    <xf numFmtId="0" fontId="3" fillId="0" borderId="31" xfId="0" applyFont="1" applyBorder="1"/>
    <xf numFmtId="165" fontId="3" fillId="0" borderId="32" xfId="0" applyNumberFormat="1" applyFont="1" applyBorder="1"/>
    <xf numFmtId="164" fontId="3" fillId="0" borderId="32" xfId="0" applyNumberFormat="1" applyFont="1" applyBorder="1"/>
    <xf numFmtId="165" fontId="3" fillId="0" borderId="33" xfId="0" applyNumberFormat="1" applyFont="1" applyBorder="1"/>
    <xf numFmtId="0" fontId="3" fillId="0" borderId="34" xfId="0" applyFont="1" applyBorder="1"/>
    <xf numFmtId="165" fontId="3" fillId="0" borderId="34" xfId="0" applyNumberFormat="1" applyFont="1" applyBorder="1"/>
    <xf numFmtId="164" fontId="3" fillId="0" borderId="0" xfId="0" applyNumberFormat="1" applyFont="1"/>
    <xf numFmtId="165" fontId="3" fillId="0" borderId="26" xfId="0" applyNumberFormat="1" applyFont="1" applyBorder="1"/>
    <xf numFmtId="164" fontId="3" fillId="0" borderId="35" xfId="0" applyNumberFormat="1" applyFont="1" applyBorder="1"/>
    <xf numFmtId="165" fontId="3" fillId="0" borderId="36" xfId="0" applyNumberFormat="1" applyFont="1" applyBorder="1"/>
    <xf numFmtId="0" fontId="3" fillId="0" borderId="37" xfId="0" applyFont="1" applyBorder="1"/>
    <xf numFmtId="165" fontId="3" fillId="0" borderId="38" xfId="0" applyNumberFormat="1" applyFont="1" applyBorder="1"/>
    <xf numFmtId="165" fontId="3" fillId="0" borderId="39" xfId="0" applyNumberFormat="1" applyFont="1" applyBorder="1"/>
    <xf numFmtId="165" fontId="3" fillId="0" borderId="37" xfId="0" applyNumberFormat="1" applyFont="1" applyBorder="1"/>
    <xf numFmtId="165" fontId="3" fillId="0" borderId="18" xfId="0" applyNumberFormat="1" applyFont="1" applyBorder="1"/>
    <xf numFmtId="0" fontId="3" fillId="0" borderId="40" xfId="0" applyFont="1" applyBorder="1"/>
    <xf numFmtId="165" fontId="3" fillId="0" borderId="41" xfId="0" applyNumberFormat="1" applyFont="1" applyBorder="1"/>
    <xf numFmtId="165" fontId="3" fillId="0" borderId="42" xfId="0" applyNumberFormat="1" applyFont="1" applyBorder="1"/>
    <xf numFmtId="0" fontId="3" fillId="0" borderId="43" xfId="0" applyFont="1" applyBorder="1"/>
    <xf numFmtId="165" fontId="3" fillId="0" borderId="43" xfId="0" applyNumberFormat="1" applyFont="1" applyBorder="1"/>
    <xf numFmtId="165" fontId="3" fillId="0" borderId="44" xfId="0" applyNumberFormat="1" applyFont="1" applyBorder="1"/>
    <xf numFmtId="0" fontId="11" fillId="10" borderId="26" xfId="0" applyFont="1" applyFill="1" applyBorder="1"/>
    <xf numFmtId="165" fontId="3" fillId="0" borderId="45" xfId="0" applyNumberFormat="1" applyFont="1" applyBorder="1"/>
    <xf numFmtId="165" fontId="3" fillId="0" borderId="46" xfId="0" applyNumberFormat="1" applyFont="1" applyBorder="1"/>
    <xf numFmtId="165" fontId="3" fillId="0" borderId="17" xfId="0" applyNumberFormat="1" applyFont="1" applyBorder="1"/>
    <xf numFmtId="0" fontId="11" fillId="10" borderId="31" xfId="0" applyFont="1" applyFill="1" applyBorder="1"/>
    <xf numFmtId="165" fontId="11" fillId="0" borderId="31" xfId="0" applyNumberFormat="1" applyFont="1" applyBorder="1"/>
    <xf numFmtId="0" fontId="11" fillId="10" borderId="15" xfId="0" applyFont="1" applyFill="1" applyBorder="1"/>
    <xf numFmtId="0" fontId="11" fillId="10" borderId="21" xfId="0" applyFont="1" applyFill="1" applyBorder="1"/>
    <xf numFmtId="165" fontId="3" fillId="0" borderId="47" xfId="0" applyNumberFormat="1" applyFont="1" applyBorder="1"/>
    <xf numFmtId="165" fontId="3" fillId="0" borderId="48" xfId="0" applyNumberFormat="1" applyFont="1" applyBorder="1"/>
    <xf numFmtId="165" fontId="3" fillId="0" borderId="23" xfId="0" applyNumberFormat="1" applyFont="1" applyBorder="1"/>
    <xf numFmtId="0" fontId="11" fillId="10" borderId="40" xfId="0" applyFont="1" applyFill="1" applyBorder="1"/>
    <xf numFmtId="165" fontId="11" fillId="0" borderId="40" xfId="0" applyNumberFormat="1" applyFont="1" applyBorder="1"/>
    <xf numFmtId="0" fontId="11" fillId="10" borderId="8" xfId="0" applyFont="1" applyFill="1" applyBorder="1"/>
    <xf numFmtId="165" fontId="3" fillId="0" borderId="15" xfId="0" applyNumberFormat="1" applyFont="1" applyBorder="1"/>
    <xf numFmtId="165" fontId="3" fillId="0" borderId="21" xfId="0" applyNumberFormat="1" applyFont="1" applyBorder="1"/>
    <xf numFmtId="165" fontId="3" fillId="0" borderId="49" xfId="0" applyNumberFormat="1" applyFont="1" applyBorder="1"/>
    <xf numFmtId="165" fontId="3" fillId="0" borderId="50" xfId="0" applyNumberFormat="1" applyFont="1" applyBorder="1"/>
    <xf numFmtId="0" fontId="11" fillId="5" borderId="51" xfId="0" applyFont="1" applyFill="1" applyBorder="1"/>
    <xf numFmtId="0" fontId="11" fillId="5" borderId="52" xfId="0" applyFont="1" applyFill="1" applyBorder="1"/>
    <xf numFmtId="0" fontId="11" fillId="5" borderId="53" xfId="0" applyFont="1" applyFill="1" applyBorder="1"/>
    <xf numFmtId="0" fontId="3" fillId="0" borderId="54" xfId="0" applyFont="1" applyBorder="1"/>
    <xf numFmtId="165" fontId="3" fillId="0" borderId="55" xfId="0" applyNumberFormat="1" applyFont="1" applyBorder="1"/>
    <xf numFmtId="165" fontId="3" fillId="0" borderId="56" xfId="0" applyNumberFormat="1" applyFont="1" applyBorder="1"/>
    <xf numFmtId="0" fontId="3" fillId="0" borderId="57" xfId="0" applyFont="1" applyBorder="1"/>
    <xf numFmtId="165" fontId="3" fillId="0" borderId="58" xfId="0" applyNumberFormat="1" applyFont="1" applyBorder="1"/>
    <xf numFmtId="165" fontId="3" fillId="0" borderId="20" xfId="0" applyNumberFormat="1" applyFont="1" applyBorder="1"/>
    <xf numFmtId="0" fontId="3" fillId="0" borderId="47" xfId="0" applyFont="1" applyBorder="1"/>
    <xf numFmtId="0" fontId="14" fillId="0" borderId="0" xfId="0" applyFont="1"/>
    <xf numFmtId="0" fontId="14" fillId="10" borderId="0" xfId="0" applyFont="1" applyFill="1"/>
    <xf numFmtId="0" fontId="14" fillId="11" borderId="0" xfId="0" applyFont="1" applyFill="1" applyAlignment="1">
      <alignment wrapText="1"/>
    </xf>
    <xf numFmtId="164" fontId="14" fillId="0" borderId="0" xfId="0" applyNumberFormat="1" applyFont="1" applyAlignment="1">
      <alignment horizontal="right"/>
    </xf>
    <xf numFmtId="0" fontId="14" fillId="11" borderId="28" xfId="0" applyFont="1" applyFill="1" applyBorder="1" applyAlignment="1">
      <alignment wrapText="1"/>
    </xf>
    <xf numFmtId="9" fontId="14" fillId="0" borderId="0" xfId="0" applyNumberFormat="1" applyFont="1" applyAlignment="1">
      <alignment horizontal="right"/>
    </xf>
    <xf numFmtId="0" fontId="14" fillId="0" borderId="0" xfId="0" applyFont="1" applyAlignment="1">
      <alignment horizontal="right"/>
    </xf>
    <xf numFmtId="0" fontId="15" fillId="0" borderId="0" xfId="0" applyFont="1"/>
    <xf numFmtId="0" fontId="16" fillId="0" borderId="0" xfId="0" applyFont="1"/>
    <xf numFmtId="0" fontId="14" fillId="12" borderId="0" xfId="0" applyFont="1" applyFill="1"/>
    <xf numFmtId="10" fontId="14" fillId="0" borderId="0" xfId="0" applyNumberFormat="1" applyFont="1" applyAlignment="1">
      <alignment horizontal="right"/>
    </xf>
    <xf numFmtId="9" fontId="14" fillId="0" borderId="0" xfId="0" applyNumberFormat="1" applyFont="1"/>
    <xf numFmtId="0" fontId="17" fillId="11" borderId="0" xfId="0" applyFont="1" applyFill="1" applyAlignment="1">
      <alignment wrapText="1"/>
    </xf>
    <xf numFmtId="165" fontId="14" fillId="0" borderId="0" xfId="0" applyNumberFormat="1" applyFont="1" applyAlignment="1">
      <alignment wrapText="1"/>
    </xf>
    <xf numFmtId="165" fontId="14" fillId="0" borderId="0" xfId="0" applyNumberFormat="1" applyFont="1"/>
    <xf numFmtId="0" fontId="17" fillId="0" borderId="0" xfId="0" applyFont="1"/>
    <xf numFmtId="164" fontId="14" fillId="10" borderId="0" xfId="0" applyNumberFormat="1" applyFont="1" applyFill="1"/>
    <xf numFmtId="165" fontId="14" fillId="0" borderId="0" xfId="0" applyNumberFormat="1" applyFont="1" applyAlignment="1">
      <alignment horizontal="right"/>
    </xf>
    <xf numFmtId="0" fontId="14" fillId="12" borderId="0" xfId="0" applyFont="1" applyFill="1" applyAlignment="1">
      <alignment wrapText="1"/>
    </xf>
    <xf numFmtId="165" fontId="14" fillId="6" borderId="0" xfId="0" applyNumberFormat="1" applyFont="1" applyFill="1" applyAlignment="1">
      <alignment horizontal="right"/>
    </xf>
    <xf numFmtId="165" fontId="3" fillId="0" borderId="0" xfId="0" applyNumberFormat="1" applyFont="1"/>
    <xf numFmtId="10" fontId="3" fillId="0" borderId="0" xfId="0" applyNumberFormat="1" applyFont="1"/>
    <xf numFmtId="4" fontId="3" fillId="0" borderId="0" xfId="0" applyNumberFormat="1" applyFont="1"/>
    <xf numFmtId="0" fontId="7" fillId="0" borderId="0" xfId="0" applyFont="1" applyAlignment="1">
      <alignment vertical="center"/>
    </xf>
    <xf numFmtId="0" fontId="18" fillId="0" borderId="59" xfId="0" applyFont="1" applyBorder="1" applyAlignment="1">
      <alignment vertical="center"/>
    </xf>
    <xf numFmtId="0" fontId="11" fillId="0" borderId="0" xfId="0" applyFont="1" applyAlignment="1">
      <alignment vertical="center"/>
    </xf>
    <xf numFmtId="0" fontId="11" fillId="5" borderId="30" xfId="0" applyFont="1" applyFill="1" applyBorder="1" applyAlignment="1">
      <alignment vertical="center"/>
    </xf>
    <xf numFmtId="165" fontId="3" fillId="0" borderId="31" xfId="0" applyNumberFormat="1" applyFont="1" applyBorder="1" applyAlignment="1">
      <alignment vertical="center"/>
    </xf>
    <xf numFmtId="165" fontId="3" fillId="13" borderId="30" xfId="0" applyNumberFormat="1" applyFont="1" applyFill="1" applyBorder="1" applyAlignment="1">
      <alignment vertical="center"/>
    </xf>
    <xf numFmtId="165" fontId="3" fillId="0" borderId="0" xfId="0" applyNumberFormat="1" applyFont="1" applyAlignment="1">
      <alignment vertical="center"/>
    </xf>
    <xf numFmtId="165" fontId="11" fillId="13" borderId="30" xfId="0" applyNumberFormat="1" applyFont="1" applyFill="1" applyBorder="1" applyAlignment="1">
      <alignment vertical="center"/>
    </xf>
    <xf numFmtId="0" fontId="11" fillId="5" borderId="51" xfId="0" applyFont="1" applyFill="1" applyBorder="1" applyAlignment="1">
      <alignment vertical="center"/>
    </xf>
    <xf numFmtId="0" fontId="11" fillId="5" borderId="52" xfId="0" applyFont="1" applyFill="1" applyBorder="1" applyAlignment="1">
      <alignment vertical="center"/>
    </xf>
    <xf numFmtId="0" fontId="11" fillId="5" borderId="60" xfId="0" applyFont="1" applyFill="1" applyBorder="1" applyAlignment="1">
      <alignment vertical="center"/>
    </xf>
    <xf numFmtId="0" fontId="11" fillId="5" borderId="53" xfId="0" applyFont="1" applyFill="1" applyBorder="1" applyAlignment="1">
      <alignment vertical="center"/>
    </xf>
    <xf numFmtId="165" fontId="3" fillId="0" borderId="34" xfId="0" applyNumberFormat="1" applyFont="1" applyBorder="1" applyAlignment="1">
      <alignment vertical="center"/>
    </xf>
    <xf numFmtId="165" fontId="3" fillId="13" borderId="2" xfId="0" applyNumberFormat="1" applyFont="1" applyFill="1" applyBorder="1" applyAlignment="1">
      <alignment vertical="center"/>
    </xf>
    <xf numFmtId="10" fontId="3" fillId="13" borderId="8" xfId="0" applyNumberFormat="1" applyFont="1" applyFill="1" applyBorder="1" applyAlignment="1">
      <alignment vertical="center"/>
    </xf>
    <xf numFmtId="165" fontId="3" fillId="0" borderId="30" xfId="0" applyNumberFormat="1" applyFont="1" applyBorder="1" applyAlignment="1">
      <alignment vertical="center"/>
    </xf>
    <xf numFmtId="166" fontId="3" fillId="13" borderId="8" xfId="0" applyNumberFormat="1" applyFont="1" applyFill="1" applyBorder="1" applyAlignment="1">
      <alignment vertical="center"/>
    </xf>
    <xf numFmtId="165" fontId="3" fillId="0" borderId="8" xfId="0" applyNumberFormat="1" applyFont="1" applyBorder="1" applyAlignment="1">
      <alignment vertical="center"/>
    </xf>
    <xf numFmtId="166" fontId="3" fillId="13" borderId="28" xfId="0" applyNumberFormat="1" applyFont="1" applyFill="1" applyBorder="1" applyAlignment="1">
      <alignment vertical="center"/>
    </xf>
    <xf numFmtId="166" fontId="3" fillId="13" borderId="6" xfId="0" applyNumberFormat="1" applyFont="1" applyFill="1" applyBorder="1" applyAlignment="1">
      <alignment vertical="center"/>
    </xf>
    <xf numFmtId="166" fontId="11" fillId="13" borderId="0" xfId="0" applyNumberFormat="1" applyFont="1" applyFill="1" applyAlignment="1">
      <alignment vertical="center"/>
    </xf>
    <xf numFmtId="166" fontId="3" fillId="13" borderId="14" xfId="0" applyNumberFormat="1" applyFont="1" applyFill="1" applyBorder="1" applyAlignment="1">
      <alignment vertical="center"/>
    </xf>
    <xf numFmtId="9" fontId="20" fillId="0" borderId="0" xfId="0" applyNumberFormat="1" applyFont="1"/>
    <xf numFmtId="0" fontId="3" fillId="0" borderId="12" xfId="0" applyFont="1" applyBorder="1" applyAlignment="1">
      <alignment vertical="center"/>
    </xf>
    <xf numFmtId="165" fontId="3" fillId="0" borderId="61" xfId="0" applyNumberFormat="1" applyFont="1" applyBorder="1" applyAlignment="1">
      <alignment vertical="center"/>
    </xf>
    <xf numFmtId="167" fontId="3" fillId="0" borderId="0" xfId="0" applyNumberFormat="1" applyFont="1" applyAlignment="1">
      <alignment vertical="center"/>
    </xf>
    <xf numFmtId="167" fontId="3" fillId="0" borderId="13" xfId="0" applyNumberFormat="1" applyFont="1" applyBorder="1" applyAlignment="1">
      <alignment vertical="center"/>
    </xf>
    <xf numFmtId="167" fontId="3" fillId="0" borderId="62" xfId="0" applyNumberFormat="1" applyFont="1" applyBorder="1" applyAlignment="1">
      <alignment vertical="center"/>
    </xf>
    <xf numFmtId="167" fontId="21" fillId="0" borderId="61" xfId="0" applyNumberFormat="1" applyFont="1" applyBorder="1"/>
    <xf numFmtId="167" fontId="3" fillId="0" borderId="61" xfId="0" applyNumberFormat="1" applyFont="1" applyBorder="1"/>
    <xf numFmtId="167" fontId="3" fillId="0" borderId="63" xfId="0" applyNumberFormat="1" applyFont="1" applyBorder="1"/>
    <xf numFmtId="10" fontId="3" fillId="0" borderId="34" xfId="0" applyNumberFormat="1" applyFont="1" applyBorder="1" applyAlignment="1">
      <alignment vertical="center"/>
    </xf>
    <xf numFmtId="10" fontId="3" fillId="13" borderId="64" xfId="0" applyNumberFormat="1" applyFont="1" applyFill="1" applyBorder="1" applyAlignment="1">
      <alignment vertical="center"/>
    </xf>
    <xf numFmtId="165" fontId="3" fillId="0" borderId="64" xfId="0" applyNumberFormat="1" applyFont="1" applyBorder="1" applyAlignment="1">
      <alignment vertical="center"/>
    </xf>
    <xf numFmtId="166" fontId="3" fillId="13" borderId="64" xfId="0" applyNumberFormat="1" applyFont="1" applyFill="1" applyBorder="1" applyAlignment="1">
      <alignment vertical="center"/>
    </xf>
    <xf numFmtId="165" fontId="3" fillId="0" borderId="14" xfId="0" applyNumberFormat="1" applyFont="1" applyBorder="1" applyAlignment="1">
      <alignment vertical="center"/>
    </xf>
    <xf numFmtId="10" fontId="3" fillId="13" borderId="6" xfId="0" applyNumberFormat="1" applyFont="1" applyFill="1" applyBorder="1" applyAlignment="1">
      <alignment vertical="center"/>
    </xf>
    <xf numFmtId="165" fontId="3" fillId="14" borderId="27" xfId="0" applyNumberFormat="1" applyFont="1" applyFill="1" applyBorder="1" applyAlignment="1">
      <alignment vertical="center"/>
    </xf>
    <xf numFmtId="165" fontId="3" fillId="14" borderId="6" xfId="0" applyNumberFormat="1" applyFont="1" applyFill="1" applyBorder="1" applyAlignment="1">
      <alignment vertical="center"/>
    </xf>
    <xf numFmtId="165" fontId="3" fillId="0" borderId="6" xfId="0" applyNumberFormat="1" applyFont="1" applyBorder="1" applyAlignment="1">
      <alignment vertical="center"/>
    </xf>
    <xf numFmtId="165" fontId="3" fillId="0" borderId="65" xfId="0" applyNumberFormat="1" applyFont="1" applyBorder="1" applyAlignment="1">
      <alignment vertical="center"/>
    </xf>
    <xf numFmtId="167" fontId="3" fillId="0" borderId="0" xfId="0" applyNumberFormat="1" applyFont="1"/>
    <xf numFmtId="167" fontId="3" fillId="0" borderId="13" xfId="0" applyNumberFormat="1" applyFont="1" applyBorder="1"/>
    <xf numFmtId="167" fontId="3" fillId="0" borderId="62" xfId="0" applyNumberFormat="1" applyFont="1" applyBorder="1"/>
    <xf numFmtId="10" fontId="3" fillId="13" borderId="28" xfId="0" applyNumberFormat="1" applyFont="1" applyFill="1" applyBorder="1" applyAlignment="1">
      <alignment vertical="center"/>
    </xf>
    <xf numFmtId="165" fontId="3" fillId="14" borderId="28" xfId="0" applyNumberFormat="1" applyFont="1" applyFill="1" applyBorder="1" applyAlignment="1">
      <alignment vertical="center"/>
    </xf>
    <xf numFmtId="165" fontId="3" fillId="14" borderId="0" xfId="0" applyNumberFormat="1" applyFont="1" applyFill="1" applyAlignment="1">
      <alignment vertical="center"/>
    </xf>
    <xf numFmtId="0" fontId="11" fillId="0" borderId="57" xfId="0" applyFont="1" applyBorder="1" applyAlignment="1">
      <alignment vertical="center"/>
    </xf>
    <xf numFmtId="165" fontId="11" fillId="0" borderId="58" xfId="0" applyNumberFormat="1" applyFont="1" applyBorder="1" applyAlignment="1">
      <alignment vertical="center"/>
    </xf>
    <xf numFmtId="167" fontId="3" fillId="0" borderId="38" xfId="0" applyNumberFormat="1" applyFont="1" applyBorder="1"/>
    <xf numFmtId="167" fontId="3" fillId="0" borderId="19" xfId="0" applyNumberFormat="1" applyFont="1" applyBorder="1"/>
    <xf numFmtId="167" fontId="3" fillId="0" borderId="66" xfId="0" applyNumberFormat="1" applyFont="1" applyBorder="1" applyAlignment="1">
      <alignment vertical="center"/>
    </xf>
    <xf numFmtId="167" fontId="3" fillId="0" borderId="58" xfId="0" applyNumberFormat="1" applyFont="1" applyBorder="1"/>
    <xf numFmtId="167" fontId="3" fillId="0" borderId="20" xfId="0" applyNumberFormat="1" applyFont="1" applyBorder="1" applyAlignment="1">
      <alignment vertical="center"/>
    </xf>
    <xf numFmtId="0" fontId="3" fillId="0" borderId="34" xfId="0" applyFont="1" applyBorder="1" applyAlignment="1">
      <alignment vertical="center"/>
    </xf>
    <xf numFmtId="165" fontId="3" fillId="11" borderId="28" xfId="0" applyNumberFormat="1" applyFont="1" applyFill="1" applyBorder="1" applyAlignment="1">
      <alignment vertical="center"/>
    </xf>
    <xf numFmtId="165" fontId="3" fillId="11" borderId="0" xfId="0" applyNumberFormat="1" applyFont="1" applyFill="1" applyAlignment="1">
      <alignment vertical="center"/>
    </xf>
    <xf numFmtId="167" fontId="3" fillId="0" borderId="63" xfId="0" applyNumberFormat="1" applyFont="1" applyBorder="1" applyAlignment="1">
      <alignment vertical="center"/>
    </xf>
    <xf numFmtId="0" fontId="3" fillId="0" borderId="9" xfId="0" applyFont="1" applyBorder="1" applyAlignment="1">
      <alignment vertical="center"/>
    </xf>
    <xf numFmtId="165" fontId="3" fillId="0" borderId="67" xfId="0" applyNumberFormat="1" applyFont="1" applyBorder="1" applyAlignment="1">
      <alignment vertical="center"/>
    </xf>
    <xf numFmtId="167" fontId="3" fillId="0" borderId="1" xfId="0" applyNumberFormat="1" applyFont="1" applyBorder="1"/>
    <xf numFmtId="167" fontId="3" fillId="0" borderId="10" xfId="0" applyNumberFormat="1" applyFont="1" applyBorder="1"/>
    <xf numFmtId="167" fontId="3" fillId="0" borderId="68" xfId="0" applyNumberFormat="1" applyFont="1" applyBorder="1"/>
    <xf numFmtId="167" fontId="3" fillId="0" borderId="67" xfId="0" applyNumberFormat="1" applyFont="1" applyBorder="1"/>
    <xf numFmtId="167" fontId="3" fillId="0" borderId="69" xfId="0" applyNumberFormat="1" applyFont="1" applyBorder="1"/>
    <xf numFmtId="165" fontId="11" fillId="13" borderId="2" xfId="0" applyNumberFormat="1" applyFont="1" applyFill="1" applyBorder="1" applyAlignment="1">
      <alignment vertical="center"/>
    </xf>
    <xf numFmtId="10" fontId="11" fillId="13" borderId="39" xfId="0" applyNumberFormat="1" applyFont="1" applyFill="1" applyBorder="1" applyAlignment="1">
      <alignment vertical="center"/>
    </xf>
    <xf numFmtId="165" fontId="11" fillId="0" borderId="37" xfId="0" applyNumberFormat="1" applyFont="1" applyBorder="1" applyAlignment="1">
      <alignment vertical="center"/>
    </xf>
    <xf numFmtId="165" fontId="3" fillId="0" borderId="70" xfId="0" applyNumberFormat="1" applyFont="1" applyBorder="1" applyAlignment="1">
      <alignment vertical="center"/>
    </xf>
    <xf numFmtId="165" fontId="11" fillId="0" borderId="0" xfId="0" applyNumberFormat="1" applyFont="1" applyAlignment="1">
      <alignment vertical="center"/>
    </xf>
    <xf numFmtId="166" fontId="11" fillId="13" borderId="39" xfId="0" applyNumberFormat="1" applyFont="1" applyFill="1" applyBorder="1" applyAlignment="1">
      <alignment vertical="center"/>
    </xf>
    <xf numFmtId="165" fontId="11" fillId="0" borderId="39" xfId="0" applyNumberFormat="1" applyFont="1" applyBorder="1" applyAlignment="1">
      <alignment vertical="center"/>
    </xf>
    <xf numFmtId="10" fontId="11" fillId="13" borderId="0" xfId="0" applyNumberFormat="1" applyFont="1" applyFill="1" applyAlignment="1">
      <alignment vertical="center"/>
    </xf>
    <xf numFmtId="165" fontId="3" fillId="11" borderId="18" xfId="0" applyNumberFormat="1" applyFont="1" applyFill="1" applyBorder="1" applyAlignment="1">
      <alignment vertical="center"/>
    </xf>
    <xf numFmtId="165" fontId="3" fillId="11" borderId="38" xfId="0" applyNumberFormat="1" applyFont="1" applyFill="1" applyBorder="1" applyAlignment="1">
      <alignment vertical="center"/>
    </xf>
    <xf numFmtId="165" fontId="3" fillId="0" borderId="38" xfId="0" applyNumberFormat="1" applyFont="1" applyBorder="1" applyAlignment="1">
      <alignment vertical="center"/>
    </xf>
    <xf numFmtId="165" fontId="3" fillId="0" borderId="39" xfId="0" applyNumberFormat="1" applyFont="1" applyBorder="1" applyAlignment="1">
      <alignment vertical="center"/>
    </xf>
    <xf numFmtId="10" fontId="3" fillId="13" borderId="11" xfId="0" applyNumberFormat="1" applyFont="1" applyFill="1" applyBorder="1" applyAlignment="1">
      <alignment vertical="center"/>
    </xf>
    <xf numFmtId="0" fontId="11" fillId="5" borderId="31" xfId="0" applyFont="1" applyFill="1" applyBorder="1" applyAlignment="1">
      <alignment vertical="center"/>
    </xf>
    <xf numFmtId="9" fontId="3" fillId="0" borderId="31" xfId="0" applyNumberFormat="1" applyFont="1" applyBorder="1" applyAlignment="1">
      <alignment vertical="center"/>
    </xf>
    <xf numFmtId="166" fontId="3" fillId="13" borderId="11" xfId="0" applyNumberFormat="1" applyFont="1" applyFill="1" applyBorder="1" applyAlignment="1">
      <alignment vertical="center"/>
    </xf>
    <xf numFmtId="165" fontId="3" fillId="0" borderId="11" xfId="0" applyNumberFormat="1" applyFont="1" applyBorder="1" applyAlignment="1">
      <alignment vertical="center"/>
    </xf>
    <xf numFmtId="10" fontId="3" fillId="13" borderId="1" xfId="0" applyNumberFormat="1" applyFont="1" applyFill="1" applyBorder="1" applyAlignment="1">
      <alignment vertical="center"/>
    </xf>
    <xf numFmtId="165" fontId="3" fillId="11" borderId="29" xfId="0" applyNumberFormat="1" applyFont="1" applyFill="1" applyBorder="1" applyAlignment="1">
      <alignment vertical="center"/>
    </xf>
    <xf numFmtId="165" fontId="3" fillId="11" borderId="1" xfId="0" applyNumberFormat="1" applyFont="1" applyFill="1" applyBorder="1" applyAlignment="1">
      <alignment vertical="center"/>
    </xf>
    <xf numFmtId="165" fontId="3" fillId="0" borderId="1" xfId="0" applyNumberFormat="1" applyFont="1" applyBorder="1" applyAlignment="1">
      <alignment vertical="center"/>
    </xf>
    <xf numFmtId="0" fontId="3" fillId="0" borderId="28" xfId="0" applyFont="1" applyBorder="1"/>
    <xf numFmtId="0" fontId="11" fillId="5" borderId="70" xfId="0" applyFont="1" applyFill="1" applyBorder="1" applyAlignment="1">
      <alignment vertical="center"/>
    </xf>
    <xf numFmtId="9" fontId="3" fillId="0" borderId="70" xfId="0" applyNumberFormat="1" applyFont="1" applyBorder="1" applyAlignment="1">
      <alignment vertical="center"/>
    </xf>
    <xf numFmtId="164" fontId="11" fillId="13" borderId="2" xfId="0" applyNumberFormat="1" applyFont="1" applyFill="1" applyBorder="1" applyAlignment="1">
      <alignment vertical="center"/>
    </xf>
    <xf numFmtId="9" fontId="11" fillId="13" borderId="32" xfId="0" applyNumberFormat="1" applyFont="1" applyFill="1" applyBorder="1" applyAlignment="1">
      <alignment vertical="center"/>
    </xf>
    <xf numFmtId="165" fontId="11" fillId="0" borderId="31" xfId="0" applyNumberFormat="1" applyFont="1" applyBorder="1" applyAlignment="1">
      <alignment vertical="center"/>
    </xf>
    <xf numFmtId="164" fontId="3" fillId="0" borderId="0" xfId="0" applyNumberFormat="1" applyFont="1" applyAlignment="1">
      <alignment vertical="center"/>
    </xf>
    <xf numFmtId="0" fontId="3" fillId="0" borderId="28" xfId="0" applyFont="1" applyBorder="1" applyAlignment="1">
      <alignment vertical="center"/>
    </xf>
    <xf numFmtId="9" fontId="3" fillId="13" borderId="28" xfId="0" applyNumberFormat="1" applyFont="1" applyFill="1" applyBorder="1" applyAlignment="1">
      <alignment vertical="center"/>
    </xf>
    <xf numFmtId="0" fontId="20" fillId="14" borderId="0" xfId="0" applyFont="1" applyFill="1" applyAlignment="1">
      <alignment vertical="center"/>
    </xf>
    <xf numFmtId="10" fontId="3" fillId="13" borderId="0" xfId="0" applyNumberFormat="1" applyFont="1" applyFill="1" applyAlignment="1">
      <alignment vertical="center"/>
    </xf>
    <xf numFmtId="166" fontId="3" fillId="13" borderId="0" xfId="0" applyNumberFormat="1" applyFont="1" applyFill="1" applyAlignment="1">
      <alignment vertical="center"/>
    </xf>
    <xf numFmtId="166" fontId="11" fillId="13" borderId="61" xfId="0" applyNumberFormat="1" applyFont="1" applyFill="1" applyBorder="1" applyAlignment="1">
      <alignment vertical="center"/>
    </xf>
    <xf numFmtId="0" fontId="20" fillId="11" borderId="0" xfId="0" applyFont="1" applyFill="1" applyAlignment="1">
      <alignment vertical="center"/>
    </xf>
    <xf numFmtId="165" fontId="3" fillId="14" borderId="71" xfId="0" applyNumberFormat="1" applyFont="1" applyFill="1" applyBorder="1" applyAlignment="1">
      <alignment vertical="center"/>
    </xf>
    <xf numFmtId="164" fontId="3" fillId="13" borderId="2" xfId="0" applyNumberFormat="1" applyFont="1" applyFill="1" applyBorder="1" applyAlignment="1">
      <alignment vertical="center"/>
    </xf>
    <xf numFmtId="9" fontId="3" fillId="13" borderId="1" xfId="0" applyNumberFormat="1" applyFont="1" applyFill="1" applyBorder="1" applyAlignment="1">
      <alignment vertical="center"/>
    </xf>
    <xf numFmtId="0" fontId="20" fillId="0" borderId="0" xfId="0" applyFont="1" applyAlignment="1">
      <alignment vertical="center"/>
    </xf>
    <xf numFmtId="165" fontId="3" fillId="14" borderId="72" xfId="0" applyNumberFormat="1" applyFont="1" applyFill="1" applyBorder="1" applyAlignment="1">
      <alignment vertical="center"/>
    </xf>
    <xf numFmtId="0" fontId="3" fillId="0" borderId="14" xfId="0" applyFont="1" applyBorder="1" applyAlignment="1">
      <alignment vertical="center"/>
    </xf>
    <xf numFmtId="0" fontId="3" fillId="0" borderId="14" xfId="0" applyFont="1" applyBorder="1"/>
    <xf numFmtId="0" fontId="21" fillId="0" borderId="0" xfId="0" applyFont="1"/>
    <xf numFmtId="164" fontId="11" fillId="13" borderId="30" xfId="0" applyNumberFormat="1" applyFont="1" applyFill="1" applyBorder="1" applyAlignment="1">
      <alignment vertical="center"/>
    </xf>
    <xf numFmtId="164" fontId="3" fillId="13" borderId="30" xfId="0" applyNumberFormat="1" applyFont="1" applyFill="1" applyBorder="1" applyAlignment="1">
      <alignment vertical="center"/>
    </xf>
    <xf numFmtId="0" fontId="11" fillId="0" borderId="28" xfId="0" applyFont="1" applyBorder="1" applyAlignment="1">
      <alignment vertical="center"/>
    </xf>
    <xf numFmtId="9" fontId="11" fillId="13" borderId="12" xfId="0" applyNumberFormat="1" applyFont="1" applyFill="1" applyBorder="1" applyAlignment="1">
      <alignment vertical="center"/>
    </xf>
    <xf numFmtId="9" fontId="3" fillId="13" borderId="6" xfId="0" applyNumberFormat="1" applyFont="1" applyFill="1" applyBorder="1" applyAlignment="1">
      <alignment vertical="center"/>
    </xf>
    <xf numFmtId="9" fontId="3" fillId="13" borderId="14" xfId="0" applyNumberFormat="1" applyFont="1" applyFill="1" applyBorder="1" applyAlignment="1">
      <alignment vertical="center"/>
    </xf>
    <xf numFmtId="10" fontId="11" fillId="13" borderId="38" xfId="0" applyNumberFormat="1" applyFont="1" applyFill="1" applyBorder="1" applyAlignment="1">
      <alignment vertical="center"/>
    </xf>
    <xf numFmtId="165" fontId="11" fillId="0" borderId="45" xfId="0" applyNumberFormat="1" applyFont="1" applyBorder="1" applyAlignment="1">
      <alignment vertical="center"/>
    </xf>
    <xf numFmtId="165" fontId="3" fillId="0" borderId="32" xfId="0" applyNumberFormat="1" applyFont="1" applyBorder="1" applyAlignment="1">
      <alignment vertical="center"/>
    </xf>
    <xf numFmtId="165" fontId="3" fillId="0" borderId="33" xfId="0" applyNumberFormat="1" applyFont="1" applyBorder="1" applyAlignment="1">
      <alignment vertical="center"/>
    </xf>
    <xf numFmtId="166" fontId="11" fillId="13" borderId="38" xfId="0" applyNumberFormat="1" applyFont="1" applyFill="1" applyBorder="1" applyAlignment="1">
      <alignment vertical="center"/>
    </xf>
    <xf numFmtId="165" fontId="3" fillId="0" borderId="12" xfId="0" applyNumberFormat="1" applyFont="1" applyBorder="1" applyAlignment="1">
      <alignment vertical="center"/>
    </xf>
    <xf numFmtId="166" fontId="3" fillId="13" borderId="1" xfId="0" applyNumberFormat="1" applyFont="1" applyFill="1" applyBorder="1" applyAlignment="1">
      <alignment vertical="center"/>
    </xf>
    <xf numFmtId="0" fontId="22" fillId="0" borderId="0" xfId="0" applyFont="1" applyAlignment="1">
      <alignment vertical="center"/>
    </xf>
    <xf numFmtId="165" fontId="3" fillId="0" borderId="9" xfId="0" applyNumberFormat="1" applyFont="1" applyBorder="1" applyAlignment="1">
      <alignment vertical="center"/>
    </xf>
    <xf numFmtId="10" fontId="21" fillId="0" borderId="30" xfId="0" applyNumberFormat="1" applyFont="1" applyBorder="1" applyAlignment="1">
      <alignment vertical="center"/>
    </xf>
    <xf numFmtId="10" fontId="21" fillId="0" borderId="8" xfId="0" applyNumberFormat="1" applyFont="1" applyBorder="1" applyAlignment="1">
      <alignment vertical="center"/>
    </xf>
    <xf numFmtId="10" fontId="21" fillId="0" borderId="64" xfId="0" applyNumberFormat="1" applyFont="1" applyBorder="1" applyAlignment="1">
      <alignment vertical="center"/>
    </xf>
    <xf numFmtId="10" fontId="21" fillId="0" borderId="14" xfId="0" applyNumberFormat="1" applyFont="1" applyBorder="1" applyAlignment="1">
      <alignment vertical="center"/>
    </xf>
    <xf numFmtId="10" fontId="3" fillId="0" borderId="27" xfId="0" applyNumberFormat="1" applyFont="1" applyBorder="1" applyAlignment="1">
      <alignment vertical="center"/>
    </xf>
    <xf numFmtId="10" fontId="3" fillId="0" borderId="6" xfId="0" applyNumberFormat="1" applyFont="1" applyBorder="1" applyAlignment="1">
      <alignment vertical="center"/>
    </xf>
    <xf numFmtId="10" fontId="3" fillId="0" borderId="65" xfId="0" applyNumberFormat="1" applyFont="1" applyBorder="1" applyAlignment="1">
      <alignment vertical="center"/>
    </xf>
    <xf numFmtId="10" fontId="3" fillId="0" borderId="8" xfId="0" applyNumberFormat="1" applyFont="1" applyBorder="1" applyAlignment="1">
      <alignment vertical="center"/>
    </xf>
    <xf numFmtId="10" fontId="3" fillId="0" borderId="64" xfId="0" applyNumberFormat="1" applyFont="1" applyBorder="1" applyAlignment="1">
      <alignment vertical="center"/>
    </xf>
    <xf numFmtId="10" fontId="3" fillId="0" borderId="28" xfId="0" applyNumberFormat="1" applyFont="1" applyBorder="1" applyAlignment="1">
      <alignment vertical="center"/>
    </xf>
    <xf numFmtId="10" fontId="3" fillId="0" borderId="0" xfId="0" applyNumberFormat="1" applyFont="1" applyAlignment="1">
      <alignment vertical="center"/>
    </xf>
    <xf numFmtId="10" fontId="3" fillId="0" borderId="61" xfId="0" applyNumberFormat="1" applyFont="1" applyBorder="1" applyAlignment="1">
      <alignment vertical="center"/>
    </xf>
    <xf numFmtId="10" fontId="3" fillId="0" borderId="14" xfId="0" applyNumberFormat="1" applyFont="1" applyBorder="1" applyAlignment="1">
      <alignment vertical="center"/>
    </xf>
    <xf numFmtId="0" fontId="11" fillId="0" borderId="28" xfId="0" applyFont="1" applyBorder="1"/>
    <xf numFmtId="0" fontId="11" fillId="5" borderId="58" xfId="0" applyFont="1" applyFill="1" applyBorder="1"/>
    <xf numFmtId="0" fontId="11" fillId="5" borderId="66" xfId="0" applyFont="1" applyFill="1" applyBorder="1"/>
    <xf numFmtId="0" fontId="11" fillId="5" borderId="20" xfId="0" applyFont="1" applyFill="1" applyBorder="1"/>
    <xf numFmtId="10" fontId="11" fillId="0" borderId="37" xfId="0" applyNumberFormat="1" applyFont="1" applyBorder="1" applyAlignment="1">
      <alignment vertical="center"/>
    </xf>
    <xf numFmtId="0" fontId="11" fillId="13" borderId="57" xfId="0" applyFont="1" applyFill="1" applyBorder="1" applyAlignment="1">
      <alignment vertical="center"/>
    </xf>
    <xf numFmtId="165" fontId="3" fillId="14" borderId="58" xfId="0" applyNumberFormat="1" applyFont="1" applyFill="1" applyBorder="1" applyAlignment="1">
      <alignment vertical="center"/>
    </xf>
    <xf numFmtId="165" fontId="3" fillId="0" borderId="58" xfId="0" applyNumberFormat="1" applyFont="1" applyBorder="1" applyAlignment="1">
      <alignment vertical="center"/>
    </xf>
    <xf numFmtId="165" fontId="3" fillId="0" borderId="66" xfId="0" applyNumberFormat="1" applyFont="1" applyBorder="1" applyAlignment="1">
      <alignment vertical="center"/>
    </xf>
    <xf numFmtId="165" fontId="3" fillId="0" borderId="20" xfId="0" applyNumberFormat="1" applyFont="1" applyBorder="1" applyAlignment="1">
      <alignment vertical="center"/>
    </xf>
    <xf numFmtId="10" fontId="11" fillId="0" borderId="39" xfId="0" applyNumberFormat="1" applyFont="1" applyBorder="1" applyAlignment="1">
      <alignment vertical="center"/>
    </xf>
    <xf numFmtId="10" fontId="3" fillId="0" borderId="18" xfId="0" applyNumberFormat="1" applyFont="1" applyBorder="1" applyAlignment="1">
      <alignment vertical="center"/>
    </xf>
    <xf numFmtId="10" fontId="3" fillId="0" borderId="38" xfId="0" applyNumberFormat="1" applyFont="1" applyBorder="1" applyAlignment="1">
      <alignment vertical="center"/>
    </xf>
    <xf numFmtId="10" fontId="11" fillId="0" borderId="58" xfId="0" applyNumberFormat="1" applyFont="1" applyBorder="1" applyAlignment="1">
      <alignment vertical="center"/>
    </xf>
    <xf numFmtId="10" fontId="3" fillId="0" borderId="39" xfId="0" applyNumberFormat="1" applyFont="1" applyBorder="1" applyAlignment="1">
      <alignment vertical="center"/>
    </xf>
    <xf numFmtId="165" fontId="3" fillId="11" borderId="58" xfId="0" applyNumberFormat="1" applyFont="1" applyFill="1" applyBorder="1" applyAlignment="1">
      <alignment vertical="center"/>
    </xf>
    <xf numFmtId="10" fontId="3" fillId="0" borderId="70" xfId="0" applyNumberFormat="1" applyFont="1" applyBorder="1" applyAlignment="1">
      <alignment vertical="center"/>
    </xf>
    <xf numFmtId="10" fontId="3" fillId="0" borderId="11" xfId="0" applyNumberFormat="1" applyFont="1" applyBorder="1" applyAlignment="1">
      <alignment vertical="center"/>
    </xf>
    <xf numFmtId="10" fontId="3" fillId="0" borderId="29" xfId="0" applyNumberFormat="1" applyFont="1" applyBorder="1" applyAlignment="1">
      <alignment vertical="center"/>
    </xf>
    <xf numFmtId="10" fontId="3" fillId="0" borderId="1" xfId="0" applyNumberFormat="1" applyFont="1" applyBorder="1" applyAlignment="1">
      <alignment vertical="center"/>
    </xf>
    <xf numFmtId="10" fontId="3" fillId="0" borderId="67" xfId="0" applyNumberFormat="1" applyFont="1" applyBorder="1" applyAlignment="1">
      <alignment vertical="center"/>
    </xf>
    <xf numFmtId="0" fontId="11" fillId="13" borderId="47" xfId="0" applyFont="1" applyFill="1" applyBorder="1" applyAlignment="1">
      <alignment vertical="center"/>
    </xf>
    <xf numFmtId="165" fontId="3" fillId="0" borderId="48" xfId="0" applyNumberFormat="1" applyFont="1" applyBorder="1" applyAlignment="1">
      <alignment vertical="center"/>
    </xf>
    <xf numFmtId="165" fontId="3" fillId="0" borderId="73" xfId="0" applyNumberFormat="1" applyFont="1" applyBorder="1" applyAlignment="1">
      <alignment vertical="center"/>
    </xf>
    <xf numFmtId="165" fontId="3" fillId="0" borderId="23" xfId="0" applyNumberFormat="1" applyFont="1" applyBorder="1" applyAlignment="1">
      <alignment vertical="center"/>
    </xf>
    <xf numFmtId="10" fontId="3" fillId="0" borderId="71" xfId="0" applyNumberFormat="1" applyFont="1" applyBorder="1" applyAlignment="1">
      <alignment vertical="center"/>
    </xf>
    <xf numFmtId="165" fontId="11" fillId="0" borderId="20" xfId="0" applyNumberFormat="1" applyFont="1" applyBorder="1" applyAlignment="1">
      <alignment vertical="center"/>
    </xf>
    <xf numFmtId="165" fontId="11" fillId="0" borderId="56" xfId="0" applyNumberFormat="1" applyFont="1" applyBorder="1" applyAlignment="1">
      <alignment vertical="center"/>
    </xf>
    <xf numFmtId="10" fontId="3" fillId="0" borderId="72" xfId="0" applyNumberFormat="1" applyFont="1" applyBorder="1" applyAlignment="1">
      <alignment vertical="center"/>
    </xf>
    <xf numFmtId="0" fontId="11" fillId="0" borderId="54" xfId="0" applyFont="1" applyBorder="1"/>
    <xf numFmtId="0" fontId="11" fillId="9" borderId="51" xfId="0" applyFont="1" applyFill="1" applyBorder="1" applyAlignment="1">
      <alignment vertical="center"/>
    </xf>
    <xf numFmtId="0" fontId="11" fillId="9" borderId="52" xfId="0" applyFont="1" applyFill="1" applyBorder="1" applyAlignment="1">
      <alignment vertical="center"/>
    </xf>
    <xf numFmtId="0" fontId="11" fillId="9" borderId="53" xfId="0" applyFont="1" applyFill="1" applyBorder="1" applyAlignment="1">
      <alignment vertical="center"/>
    </xf>
    <xf numFmtId="0" fontId="3" fillId="7" borderId="54" xfId="0" applyFont="1" applyFill="1" applyBorder="1" applyAlignment="1">
      <alignment vertical="center"/>
    </xf>
    <xf numFmtId="165" fontId="3" fillId="0" borderId="55" xfId="0" applyNumberFormat="1" applyFont="1" applyBorder="1" applyAlignment="1">
      <alignment vertical="center"/>
    </xf>
    <xf numFmtId="165" fontId="3" fillId="0" borderId="56" xfId="0" applyNumberFormat="1" applyFont="1" applyBorder="1" applyAlignment="1">
      <alignment vertical="center"/>
    </xf>
    <xf numFmtId="0" fontId="3" fillId="10" borderId="54" xfId="0" applyFont="1" applyFill="1" applyBorder="1" applyAlignment="1">
      <alignment vertical="center"/>
    </xf>
    <xf numFmtId="0" fontId="3" fillId="7" borderId="57" xfId="0" applyFont="1" applyFill="1" applyBorder="1" applyAlignment="1">
      <alignment vertical="center"/>
    </xf>
    <xf numFmtId="0" fontId="3" fillId="10" borderId="57" xfId="0" applyFont="1" applyFill="1" applyBorder="1" applyAlignment="1">
      <alignment vertical="center"/>
    </xf>
    <xf numFmtId="0" fontId="3" fillId="7" borderId="47" xfId="0" applyFont="1" applyFill="1" applyBorder="1" applyAlignment="1">
      <alignment vertical="center"/>
    </xf>
    <xf numFmtId="165" fontId="3" fillId="0" borderId="16" xfId="0" applyNumberFormat="1" applyFont="1" applyBorder="1" applyAlignment="1">
      <alignment vertical="center"/>
    </xf>
    <xf numFmtId="165" fontId="3" fillId="0" borderId="46" xfId="0" applyNumberFormat="1" applyFont="1" applyBorder="1" applyAlignment="1">
      <alignment vertical="center"/>
    </xf>
    <xf numFmtId="165" fontId="3" fillId="0" borderId="17" xfId="0" applyNumberFormat="1" applyFont="1" applyBorder="1" applyAlignment="1">
      <alignment vertical="center"/>
    </xf>
    <xf numFmtId="0" fontId="11" fillId="5" borderId="37" xfId="0" applyFont="1" applyFill="1" applyBorder="1" applyAlignment="1">
      <alignment vertical="center"/>
    </xf>
    <xf numFmtId="165" fontId="3" fillId="0" borderId="19" xfId="0" applyNumberFormat="1" applyFont="1" applyBorder="1" applyAlignment="1">
      <alignment vertical="center"/>
    </xf>
    <xf numFmtId="167" fontId="3" fillId="0" borderId="19" xfId="0" applyNumberFormat="1" applyFont="1" applyBorder="1" applyAlignment="1">
      <alignment vertical="center"/>
    </xf>
    <xf numFmtId="167" fontId="3" fillId="0" borderId="58" xfId="0" applyNumberFormat="1" applyFont="1" applyBorder="1" applyAlignment="1">
      <alignment vertical="center"/>
    </xf>
    <xf numFmtId="0" fontId="3" fillId="10" borderId="47" xfId="0" applyFont="1" applyFill="1" applyBorder="1" applyAlignment="1">
      <alignment vertical="center"/>
    </xf>
    <xf numFmtId="0" fontId="11" fillId="5" borderId="40" xfId="0" applyFont="1" applyFill="1" applyBorder="1" applyAlignment="1">
      <alignment vertical="center"/>
    </xf>
    <xf numFmtId="167" fontId="3" fillId="0" borderId="22" xfId="0" applyNumberFormat="1" applyFont="1" applyBorder="1" applyAlignment="1">
      <alignment vertical="center"/>
    </xf>
    <xf numFmtId="167" fontId="3" fillId="0" borderId="48" xfId="0" applyNumberFormat="1" applyFont="1" applyBorder="1" applyAlignment="1">
      <alignment vertical="center"/>
    </xf>
    <xf numFmtId="167" fontId="3" fillId="0" borderId="23" xfId="0" applyNumberFormat="1" applyFont="1" applyBorder="1" applyAlignment="1">
      <alignment vertical="center"/>
    </xf>
    <xf numFmtId="0" fontId="11" fillId="9" borderId="31" xfId="0" applyFont="1" applyFill="1" applyBorder="1" applyAlignment="1">
      <alignment vertical="center"/>
    </xf>
    <xf numFmtId="0" fontId="11" fillId="9" borderId="37" xfId="0" applyFont="1" applyFill="1" applyBorder="1" applyAlignment="1">
      <alignment vertical="center"/>
    </xf>
    <xf numFmtId="0" fontId="11" fillId="9" borderId="40" xfId="0" applyFont="1" applyFill="1" applyBorder="1" applyAlignment="1">
      <alignment vertical="center"/>
    </xf>
    <xf numFmtId="0" fontId="23" fillId="0" borderId="0" xfId="0" applyFont="1"/>
    <xf numFmtId="0" fontId="24" fillId="15" borderId="66" xfId="0" applyFont="1" applyFill="1" applyBorder="1"/>
    <xf numFmtId="0" fontId="24" fillId="15" borderId="38" xfId="0" applyFont="1" applyFill="1" applyBorder="1"/>
    <xf numFmtId="0" fontId="24" fillId="15" borderId="19" xfId="0" applyFont="1" applyFill="1" applyBorder="1"/>
    <xf numFmtId="0" fontId="24" fillId="15" borderId="76" xfId="0" applyFont="1" applyFill="1" applyBorder="1"/>
    <xf numFmtId="0" fontId="23" fillId="10" borderId="41" xfId="0" applyFont="1" applyFill="1" applyBorder="1"/>
    <xf numFmtId="165" fontId="23" fillId="10" borderId="41" xfId="0" applyNumberFormat="1" applyFont="1" applyFill="1" applyBorder="1"/>
    <xf numFmtId="165" fontId="23" fillId="10" borderId="75" xfId="0" applyNumberFormat="1" applyFont="1" applyFill="1" applyBorder="1"/>
    <xf numFmtId="0" fontId="24" fillId="5" borderId="66" xfId="0" applyFont="1" applyFill="1" applyBorder="1"/>
    <xf numFmtId="0" fontId="24" fillId="5" borderId="38" xfId="0" applyFont="1" applyFill="1" applyBorder="1"/>
    <xf numFmtId="0" fontId="24" fillId="5" borderId="19" xfId="0" applyFont="1" applyFill="1" applyBorder="1"/>
    <xf numFmtId="0" fontId="24" fillId="15" borderId="61" xfId="0" applyFont="1" applyFill="1" applyBorder="1"/>
    <xf numFmtId="0" fontId="23" fillId="10" borderId="0" xfId="0" applyFont="1" applyFill="1"/>
    <xf numFmtId="165" fontId="23" fillId="10" borderId="0" xfId="0" applyNumberFormat="1" applyFont="1" applyFill="1"/>
    <xf numFmtId="165" fontId="23" fillId="10" borderId="13" xfId="0" applyNumberFormat="1" applyFont="1" applyFill="1" applyBorder="1"/>
    <xf numFmtId="0" fontId="23" fillId="10" borderId="62" xfId="0" applyFont="1" applyFill="1" applyBorder="1" applyAlignment="1">
      <alignment horizontal="right"/>
    </xf>
    <xf numFmtId="165" fontId="25" fillId="10" borderId="0" xfId="0" applyNumberFormat="1" applyFont="1" applyFill="1"/>
    <xf numFmtId="165" fontId="25" fillId="10" borderId="13" xfId="0" applyNumberFormat="1" applyFont="1" applyFill="1" applyBorder="1"/>
    <xf numFmtId="0" fontId="23" fillId="10" borderId="0" xfId="0" applyFont="1" applyFill="1" applyAlignment="1">
      <alignment horizontal="right"/>
    </xf>
    <xf numFmtId="0" fontId="23" fillId="10" borderId="13" xfId="0" applyFont="1" applyFill="1" applyBorder="1" applyAlignment="1">
      <alignment horizontal="right"/>
    </xf>
    <xf numFmtId="0" fontId="24" fillId="15" borderId="55" xfId="0" applyFont="1" applyFill="1" applyBorder="1"/>
    <xf numFmtId="0" fontId="23" fillId="10" borderId="35" xfId="0" applyFont="1" applyFill="1" applyBorder="1"/>
    <xf numFmtId="165" fontId="23" fillId="10" borderId="77" xfId="0" applyNumberFormat="1" applyFont="1" applyFill="1" applyBorder="1"/>
    <xf numFmtId="9" fontId="23" fillId="10" borderId="75" xfId="0" applyNumberFormat="1" applyFont="1" applyFill="1" applyBorder="1" applyAlignment="1">
      <alignment horizontal="right"/>
    </xf>
    <xf numFmtId="9" fontId="23" fillId="10" borderId="77" xfId="0" applyNumberFormat="1" applyFont="1" applyFill="1" applyBorder="1" applyAlignment="1">
      <alignment horizontal="right"/>
    </xf>
    <xf numFmtId="0" fontId="23" fillId="10" borderId="75" xfId="0" applyFont="1" applyFill="1" applyBorder="1"/>
    <xf numFmtId="0" fontId="23" fillId="10" borderId="13" xfId="0" applyFont="1" applyFill="1" applyBorder="1"/>
    <xf numFmtId="0" fontId="23" fillId="5" borderId="62" xfId="0" applyFont="1" applyFill="1" applyBorder="1"/>
    <xf numFmtId="0" fontId="23" fillId="10" borderId="77" xfId="0" applyFont="1" applyFill="1" applyBorder="1"/>
    <xf numFmtId="0" fontId="24" fillId="5" borderId="62" xfId="0" applyFont="1" applyFill="1" applyBorder="1"/>
    <xf numFmtId="165" fontId="23" fillId="10" borderId="0" xfId="0" applyNumberFormat="1" applyFont="1" applyFill="1" applyAlignment="1">
      <alignment horizontal="right"/>
    </xf>
    <xf numFmtId="165" fontId="23" fillId="10" borderId="13" xfId="0" applyNumberFormat="1" applyFont="1" applyFill="1" applyBorder="1" applyAlignment="1">
      <alignment horizontal="right"/>
    </xf>
    <xf numFmtId="165" fontId="25" fillId="10" borderId="0" xfId="0" applyNumberFormat="1" applyFont="1" applyFill="1" applyAlignment="1">
      <alignment horizontal="right"/>
    </xf>
    <xf numFmtId="9" fontId="23" fillId="10" borderId="0" xfId="0" applyNumberFormat="1" applyFont="1" applyFill="1" applyAlignment="1">
      <alignment horizontal="right"/>
    </xf>
    <xf numFmtId="9" fontId="23" fillId="10" borderId="13" xfId="0" applyNumberFormat="1" applyFont="1" applyFill="1" applyBorder="1" applyAlignment="1">
      <alignment horizontal="right"/>
    </xf>
    <xf numFmtId="0" fontId="24" fillId="5" borderId="78" xfId="0" applyFont="1" applyFill="1" applyBorder="1"/>
    <xf numFmtId="9" fontId="23" fillId="10" borderId="35" xfId="0" applyNumberFormat="1" applyFont="1" applyFill="1" applyBorder="1" applyAlignment="1">
      <alignment horizontal="right"/>
    </xf>
    <xf numFmtId="165" fontId="14" fillId="10" borderId="0" xfId="0" applyNumberFormat="1" applyFont="1" applyFill="1" applyAlignment="1">
      <alignment horizontal="right"/>
    </xf>
    <xf numFmtId="165" fontId="14" fillId="10" borderId="13" xfId="0" applyNumberFormat="1" applyFont="1" applyFill="1" applyBorder="1" applyAlignment="1">
      <alignment horizontal="right"/>
    </xf>
    <xf numFmtId="0" fontId="23" fillId="5" borderId="0" xfId="0" applyFont="1" applyFill="1"/>
    <xf numFmtId="0" fontId="23" fillId="5" borderId="13" xfId="0" applyFont="1" applyFill="1" applyBorder="1"/>
    <xf numFmtId="0" fontId="24" fillId="0" borderId="0" xfId="0" applyFont="1"/>
    <xf numFmtId="0" fontId="3" fillId="17" borderId="0" xfId="0" applyFont="1" applyFill="1"/>
    <xf numFmtId="0" fontId="26" fillId="0" borderId="0" xfId="0" applyFont="1"/>
    <xf numFmtId="0" fontId="19" fillId="0" borderId="0" xfId="0" applyFont="1"/>
    <xf numFmtId="0" fontId="3" fillId="18" borderId="25" xfId="0" applyFont="1" applyFill="1" applyBorder="1"/>
    <xf numFmtId="0" fontId="3" fillId="18" borderId="64" xfId="0" applyFont="1" applyFill="1" applyBorder="1"/>
    <xf numFmtId="165" fontId="3" fillId="0" borderId="14" xfId="0" applyNumberFormat="1" applyFont="1" applyBorder="1"/>
    <xf numFmtId="9" fontId="3" fillId="0" borderId="0" xfId="0" applyNumberFormat="1" applyFont="1"/>
    <xf numFmtId="9" fontId="3" fillId="0" borderId="14" xfId="0" applyNumberFormat="1" applyFont="1" applyBorder="1"/>
    <xf numFmtId="0" fontId="3" fillId="18" borderId="70" xfId="0" applyFont="1" applyFill="1" applyBorder="1"/>
    <xf numFmtId="0" fontId="3" fillId="0" borderId="1" xfId="0" applyFont="1" applyBorder="1"/>
    <xf numFmtId="0" fontId="3" fillId="0" borderId="11" xfId="0" applyFont="1" applyBorder="1"/>
    <xf numFmtId="0" fontId="3" fillId="15" borderId="30" xfId="0" applyFont="1" applyFill="1" applyBorder="1"/>
    <xf numFmtId="9" fontId="3" fillId="0" borderId="8" xfId="0" applyNumberFormat="1" applyFont="1" applyBorder="1"/>
    <xf numFmtId="0" fontId="3" fillId="15" borderId="70" xfId="0" applyFont="1" applyFill="1" applyBorder="1"/>
    <xf numFmtId="9" fontId="3" fillId="0" borderId="11" xfId="0" applyNumberFormat="1" applyFont="1" applyBorder="1"/>
    <xf numFmtId="0" fontId="3" fillId="19" borderId="0" xfId="0" applyFont="1" applyFill="1"/>
    <xf numFmtId="0" fontId="3" fillId="15" borderId="45" xfId="0" applyFont="1" applyFill="1" applyBorder="1"/>
    <xf numFmtId="0" fontId="3" fillId="15" borderId="32" xfId="0" applyFont="1" applyFill="1" applyBorder="1"/>
    <xf numFmtId="0" fontId="3" fillId="15" borderId="33" xfId="0" applyFont="1" applyFill="1" applyBorder="1"/>
    <xf numFmtId="0" fontId="3" fillId="15" borderId="12" xfId="0" applyFont="1" applyFill="1" applyBorder="1"/>
    <xf numFmtId="165" fontId="22" fillId="18" borderId="0" xfId="0" applyNumberFormat="1" applyFont="1" applyFill="1"/>
    <xf numFmtId="165" fontId="22" fillId="18" borderId="14" xfId="0" applyNumberFormat="1" applyFont="1" applyFill="1" applyBorder="1"/>
    <xf numFmtId="165" fontId="3" fillId="18" borderId="0" xfId="0" applyNumberFormat="1" applyFont="1" applyFill="1"/>
    <xf numFmtId="165" fontId="3" fillId="18" borderId="14" xfId="0" applyNumberFormat="1" applyFont="1" applyFill="1" applyBorder="1"/>
    <xf numFmtId="0" fontId="3" fillId="15" borderId="54" xfId="0" applyFont="1" applyFill="1" applyBorder="1"/>
    <xf numFmtId="165" fontId="3" fillId="18" borderId="35" xfId="0" applyNumberFormat="1" applyFont="1" applyFill="1" applyBorder="1"/>
    <xf numFmtId="165" fontId="3" fillId="18" borderId="36" xfId="0" applyNumberFormat="1" applyFont="1" applyFill="1" applyBorder="1"/>
    <xf numFmtId="0" fontId="3" fillId="6" borderId="28" xfId="0" applyFont="1" applyFill="1" applyBorder="1"/>
    <xf numFmtId="0" fontId="3" fillId="6" borderId="0" xfId="0" applyFont="1" applyFill="1"/>
    <xf numFmtId="0" fontId="3" fillId="6" borderId="14" xfId="0" applyFont="1" applyFill="1" applyBorder="1"/>
    <xf numFmtId="0" fontId="3" fillId="15" borderId="79" xfId="0" applyFont="1" applyFill="1" applyBorder="1"/>
    <xf numFmtId="165" fontId="3" fillId="18" borderId="41" xfId="0" applyNumberFormat="1" applyFont="1" applyFill="1" applyBorder="1"/>
    <xf numFmtId="165" fontId="3" fillId="18" borderId="42" xfId="0" applyNumberFormat="1" applyFont="1" applyFill="1" applyBorder="1"/>
    <xf numFmtId="165" fontId="0" fillId="18" borderId="41" xfId="0" applyNumberFormat="1" applyFill="1" applyBorder="1"/>
    <xf numFmtId="165" fontId="0" fillId="18" borderId="42" xfId="0" applyNumberFormat="1" applyFill="1" applyBorder="1"/>
    <xf numFmtId="165" fontId="14" fillId="18" borderId="0" xfId="0" applyNumberFormat="1" applyFont="1" applyFill="1" applyAlignment="1">
      <alignment horizontal="right"/>
    </xf>
    <xf numFmtId="0" fontId="3" fillId="18" borderId="0" xfId="0" applyFont="1" applyFill="1"/>
    <xf numFmtId="0" fontId="3" fillId="18" borderId="14" xfId="0" applyFont="1" applyFill="1" applyBorder="1"/>
    <xf numFmtId="165" fontId="27" fillId="18" borderId="0" xfId="0" applyNumberFormat="1" applyFont="1" applyFill="1"/>
    <xf numFmtId="165" fontId="0" fillId="18" borderId="0" xfId="0" applyNumberFormat="1" applyFill="1"/>
    <xf numFmtId="165" fontId="0" fillId="18" borderId="14" xfId="0" applyNumberFormat="1" applyFill="1" applyBorder="1"/>
    <xf numFmtId="165" fontId="14" fillId="18" borderId="14" xfId="0" applyNumberFormat="1" applyFont="1" applyFill="1" applyBorder="1" applyAlignment="1">
      <alignment horizontal="right"/>
    </xf>
    <xf numFmtId="0" fontId="28" fillId="18" borderId="0" xfId="0" applyFont="1" applyFill="1"/>
    <xf numFmtId="0" fontId="28" fillId="18" borderId="14" xfId="0" applyFont="1" applyFill="1" applyBorder="1"/>
    <xf numFmtId="0" fontId="3" fillId="15" borderId="9" xfId="0" applyFont="1" applyFill="1" applyBorder="1"/>
    <xf numFmtId="165" fontId="25" fillId="18" borderId="1" xfId="0" applyNumberFormat="1" applyFont="1" applyFill="1" applyBorder="1" applyAlignment="1">
      <alignment horizontal="right"/>
    </xf>
    <xf numFmtId="165" fontId="14" fillId="18" borderId="1" xfId="0" applyNumberFormat="1" applyFont="1" applyFill="1" applyBorder="1" applyAlignment="1">
      <alignment horizontal="right"/>
    </xf>
    <xf numFmtId="165" fontId="14" fillId="18" borderId="11" xfId="0" applyNumberFormat="1" applyFont="1" applyFill="1" applyBorder="1" applyAlignment="1">
      <alignment horizontal="right"/>
    </xf>
    <xf numFmtId="165" fontId="25" fillId="0" borderId="0" xfId="0" applyNumberFormat="1" applyFont="1"/>
    <xf numFmtId="165" fontId="27" fillId="18" borderId="1" xfId="0" applyNumberFormat="1" applyFont="1" applyFill="1" applyBorder="1"/>
    <xf numFmtId="165" fontId="0" fillId="18" borderId="1" xfId="0" applyNumberFormat="1" applyFill="1" applyBorder="1"/>
    <xf numFmtId="165" fontId="0" fillId="18" borderId="11" xfId="0" applyNumberFormat="1" applyFill="1" applyBorder="1"/>
    <xf numFmtId="0" fontId="23" fillId="0" borderId="0" xfId="0" applyFont="1" applyAlignment="1">
      <alignment horizontal="right"/>
    </xf>
    <xf numFmtId="0" fontId="23" fillId="15" borderId="32" xfId="0" applyFont="1" applyFill="1" applyBorder="1" applyAlignment="1">
      <alignment horizontal="left"/>
    </xf>
    <xf numFmtId="165" fontId="25" fillId="18" borderId="0" xfId="0" applyNumberFormat="1" applyFont="1" applyFill="1" applyAlignment="1">
      <alignment horizontal="right"/>
    </xf>
    <xf numFmtId="165" fontId="23" fillId="18" borderId="0" xfId="0" applyNumberFormat="1" applyFont="1" applyFill="1" applyAlignment="1">
      <alignment horizontal="right"/>
    </xf>
    <xf numFmtId="165" fontId="23" fillId="18" borderId="35" xfId="0" applyNumberFormat="1" applyFont="1" applyFill="1" applyBorder="1" applyAlignment="1">
      <alignment horizontal="right"/>
    </xf>
    <xf numFmtId="165" fontId="27" fillId="18" borderId="41" xfId="0" applyNumberFormat="1" applyFont="1" applyFill="1" applyBorder="1"/>
    <xf numFmtId="0" fontId="27" fillId="18" borderId="0" xfId="0" applyFont="1" applyFill="1"/>
    <xf numFmtId="0" fontId="22" fillId="18" borderId="0" xfId="0" applyFont="1" applyFill="1"/>
    <xf numFmtId="165" fontId="29" fillId="18" borderId="0" xfId="0" applyNumberFormat="1" applyFont="1" applyFill="1" applyAlignment="1">
      <alignment horizontal="right"/>
    </xf>
    <xf numFmtId="165" fontId="30" fillId="18" borderId="0" xfId="0" applyNumberFormat="1" applyFont="1" applyFill="1" applyAlignment="1">
      <alignment horizontal="right"/>
    </xf>
    <xf numFmtId="165" fontId="30" fillId="18" borderId="14" xfId="0" applyNumberFormat="1" applyFont="1" applyFill="1" applyBorder="1" applyAlignment="1">
      <alignment horizontal="right"/>
    </xf>
    <xf numFmtId="165" fontId="29" fillId="18" borderId="1" xfId="0" applyNumberFormat="1" applyFont="1" applyFill="1" applyBorder="1" applyAlignment="1">
      <alignment horizontal="right"/>
    </xf>
    <xf numFmtId="165" fontId="30" fillId="18" borderId="1" xfId="0" applyNumberFormat="1" applyFont="1" applyFill="1" applyBorder="1" applyAlignment="1">
      <alignment horizontal="right"/>
    </xf>
    <xf numFmtId="165" fontId="30" fillId="18" borderId="11" xfId="0" applyNumberFormat="1" applyFont="1" applyFill="1" applyBorder="1" applyAlignment="1">
      <alignment horizontal="right"/>
    </xf>
    <xf numFmtId="164" fontId="30" fillId="0" borderId="0" xfId="0" applyNumberFormat="1" applyFont="1" applyAlignment="1">
      <alignment horizontal="right"/>
    </xf>
    <xf numFmtId="0" fontId="23" fillId="15" borderId="6" xfId="0" applyFont="1" applyFill="1" applyBorder="1" applyAlignment="1">
      <alignment horizontal="left"/>
    </xf>
    <xf numFmtId="0" fontId="3" fillId="15" borderId="6" xfId="0" applyFont="1" applyFill="1" applyBorder="1"/>
    <xf numFmtId="0" fontId="3" fillId="15" borderId="8" xfId="0" applyFont="1" applyFill="1" applyBorder="1"/>
    <xf numFmtId="0" fontId="3" fillId="15" borderId="28" xfId="0" applyFont="1" applyFill="1" applyBorder="1"/>
    <xf numFmtId="0" fontId="3" fillId="20" borderId="0" xfId="0" applyFont="1" applyFill="1"/>
    <xf numFmtId="165" fontId="31" fillId="0" borderId="0" xfId="0" applyNumberFormat="1" applyFont="1" applyAlignment="1">
      <alignment horizontal="right"/>
    </xf>
    <xf numFmtId="0" fontId="7" fillId="5" borderId="6" xfId="0" applyFont="1" applyFill="1" applyBorder="1" applyAlignment="1">
      <alignment horizontal="center" vertical="center" wrapText="1"/>
    </xf>
    <xf numFmtId="0" fontId="8" fillId="0" borderId="6" xfId="0" applyFont="1" applyBorder="1"/>
    <xf numFmtId="0" fontId="8" fillId="0" borderId="8" xfId="0" applyFont="1" applyBorder="1"/>
    <xf numFmtId="0" fontId="8" fillId="0" borderId="1" xfId="0" applyFont="1" applyBorder="1"/>
    <xf numFmtId="0" fontId="8" fillId="0" borderId="11" xfId="0" applyFont="1" applyBorder="1"/>
    <xf numFmtId="0" fontId="3" fillId="0" borderId="0" xfId="0" applyFont="1" applyAlignment="1">
      <alignment vertical="center"/>
    </xf>
    <xf numFmtId="0" fontId="0" fillId="0" borderId="0" xfId="0"/>
    <xf numFmtId="0" fontId="11" fillId="5" borderId="18" xfId="0" applyFont="1" applyFill="1" applyBorder="1" applyAlignment="1">
      <alignment vertical="center"/>
    </xf>
    <xf numFmtId="0" fontId="8" fillId="0" borderId="19" xfId="0" applyFont="1" applyBorder="1"/>
    <xf numFmtId="0" fontId="11" fillId="5" borderId="21" xfId="0" applyFont="1" applyFill="1" applyBorder="1" applyAlignment="1">
      <alignment vertical="center"/>
    </xf>
    <xf numFmtId="0" fontId="8" fillId="0" borderId="22" xfId="0" applyFont="1" applyBorder="1"/>
    <xf numFmtId="0" fontId="3" fillId="0" borderId="0" xfId="0" applyFont="1" applyAlignment="1">
      <alignment vertical="center" wrapText="1"/>
    </xf>
    <xf numFmtId="0" fontId="10" fillId="0" borderId="0" xfId="0" applyFont="1" applyAlignment="1">
      <alignment vertical="center"/>
    </xf>
    <xf numFmtId="0" fontId="11" fillId="5" borderId="15" xfId="0" applyFont="1" applyFill="1" applyBorder="1" applyAlignment="1">
      <alignment vertical="center"/>
    </xf>
    <xf numFmtId="0" fontId="8" fillId="0" borderId="16" xfId="0" applyFont="1" applyBorder="1"/>
    <xf numFmtId="0" fontId="7" fillId="5" borderId="5" xfId="0" applyFont="1" applyFill="1" applyBorder="1" applyAlignment="1">
      <alignment horizontal="center" vertical="center" wrapText="1"/>
    </xf>
    <xf numFmtId="0" fontId="8" fillId="0" borderId="9" xfId="0" applyFont="1" applyBorder="1"/>
    <xf numFmtId="0" fontId="7" fillId="5" borderId="6" xfId="0" applyFont="1" applyFill="1" applyBorder="1" applyAlignment="1">
      <alignment horizontal="center" vertical="center"/>
    </xf>
    <xf numFmtId="0" fontId="8" fillId="0" borderId="7" xfId="0" applyFont="1" applyBorder="1"/>
    <xf numFmtId="0" fontId="8" fillId="0" borderId="10" xfId="0" applyFont="1" applyBorder="1"/>
    <xf numFmtId="0" fontId="11" fillId="9" borderId="6" xfId="0" applyFont="1" applyFill="1" applyBorder="1"/>
    <xf numFmtId="0" fontId="3" fillId="0" borderId="27" xfId="0" applyFont="1" applyBorder="1" applyAlignment="1">
      <alignment vertical="center" wrapText="1"/>
    </xf>
    <xf numFmtId="0" fontId="8" fillId="0" borderId="28" xfId="0" applyFont="1" applyBorder="1"/>
    <xf numFmtId="0" fontId="8" fillId="0" borderId="14" xfId="0" applyFont="1" applyBorder="1"/>
    <xf numFmtId="0" fontId="8" fillId="0" borderId="29" xfId="0" applyFont="1" applyBorder="1"/>
    <xf numFmtId="0" fontId="11" fillId="9" borderId="2" xfId="0" applyFont="1" applyFill="1" applyBorder="1"/>
    <xf numFmtId="0" fontId="8" fillId="0" borderId="3" xfId="0" applyFont="1" applyBorder="1"/>
    <xf numFmtId="0" fontId="8" fillId="0" borderId="4" xfId="0" applyFont="1" applyBorder="1"/>
    <xf numFmtId="0" fontId="11" fillId="5" borderId="2" xfId="0" applyFont="1" applyFill="1" applyBorder="1"/>
    <xf numFmtId="0" fontId="11" fillId="5" borderId="27" xfId="0" applyFont="1" applyFill="1" applyBorder="1"/>
    <xf numFmtId="0" fontId="11" fillId="9" borderId="27" xfId="0" applyFont="1" applyFill="1" applyBorder="1" applyAlignment="1">
      <alignment vertical="center"/>
    </xf>
    <xf numFmtId="0" fontId="11" fillId="5" borderId="26" xfId="0" applyFont="1" applyFill="1" applyBorder="1" applyAlignment="1">
      <alignment vertical="center"/>
    </xf>
    <xf numFmtId="0" fontId="8" fillId="0" borderId="35" xfId="0" applyFont="1" applyBorder="1"/>
    <xf numFmtId="0" fontId="11" fillId="5" borderId="29" xfId="0" applyFont="1" applyFill="1" applyBorder="1" applyAlignment="1">
      <alignment vertical="center"/>
    </xf>
    <xf numFmtId="0" fontId="19" fillId="5" borderId="27" xfId="0" applyFont="1" applyFill="1" applyBorder="1" applyAlignment="1">
      <alignment horizontal="center" vertical="center"/>
    </xf>
    <xf numFmtId="0" fontId="11" fillId="5" borderId="27" xfId="0" applyFont="1" applyFill="1" applyBorder="1" applyAlignment="1">
      <alignment horizontal="center" vertical="center"/>
    </xf>
    <xf numFmtId="0" fontId="18" fillId="0" borderId="59" xfId="0" applyFont="1" applyBorder="1" applyAlignment="1">
      <alignment vertical="center"/>
    </xf>
    <xf numFmtId="0" fontId="8" fillId="0" borderId="59" xfId="0" applyFont="1" applyBorder="1"/>
    <xf numFmtId="0" fontId="11" fillId="4" borderId="27" xfId="0" applyFont="1" applyFill="1" applyBorder="1" applyAlignment="1">
      <alignment vertical="center"/>
    </xf>
    <xf numFmtId="0" fontId="19" fillId="0" borderId="0" xfId="0" applyFont="1" applyAlignment="1">
      <alignment horizontal="center" vertical="center"/>
    </xf>
    <xf numFmtId="0" fontId="11" fillId="5" borderId="2" xfId="0" applyFont="1" applyFill="1" applyBorder="1" applyAlignment="1">
      <alignment horizontal="center" vertical="center"/>
    </xf>
    <xf numFmtId="0" fontId="19" fillId="0" borderId="0" xfId="0" applyFont="1" applyAlignment="1">
      <alignment vertical="center"/>
    </xf>
    <xf numFmtId="0" fontId="11" fillId="0" borderId="27" xfId="0" applyFont="1" applyBorder="1"/>
    <xf numFmtId="0" fontId="19" fillId="0" borderId="27" xfId="0" applyFont="1" applyBorder="1"/>
    <xf numFmtId="0" fontId="19" fillId="0" borderId="27" xfId="0" applyFont="1" applyBorder="1" applyAlignment="1">
      <alignment horizontal="center" vertical="center"/>
    </xf>
    <xf numFmtId="0" fontId="11" fillId="4" borderId="2" xfId="0" applyFont="1" applyFill="1" applyBorder="1" applyAlignment="1">
      <alignment horizontal="center" vertical="center"/>
    </xf>
    <xf numFmtId="0" fontId="8" fillId="0" borderId="32" xfId="0" applyFont="1" applyBorder="1"/>
    <xf numFmtId="0" fontId="26" fillId="10" borderId="0" xfId="0" applyFont="1" applyFill="1" applyAlignment="1">
      <alignment horizontal="center"/>
    </xf>
    <xf numFmtId="0" fontId="24" fillId="16" borderId="74" xfId="0" applyFont="1" applyFill="1" applyBorder="1" applyAlignment="1">
      <alignment horizontal="center"/>
    </xf>
    <xf numFmtId="0" fontId="8" fillId="0" borderId="41" xfId="0" applyFont="1" applyBorder="1"/>
    <xf numFmtId="0" fontId="8" fillId="0" borderId="75" xfId="0" applyFont="1" applyBorder="1"/>
    <xf numFmtId="0" fontId="23" fillId="5" borderId="62" xfId="0" applyFont="1" applyFill="1" applyBorder="1"/>
    <xf numFmtId="0" fontId="8" fillId="0" borderId="13" xfId="0" applyFont="1" applyBorder="1"/>
    <xf numFmtId="0" fontId="24" fillId="5" borderId="62" xfId="0" applyFont="1" applyFill="1" applyBorder="1"/>
    <xf numFmtId="0" fontId="24" fillId="16" borderId="66" xfId="0" applyFont="1" applyFill="1" applyBorder="1" applyAlignment="1">
      <alignment horizontal="center"/>
    </xf>
    <xf numFmtId="0" fontId="8" fillId="0" borderId="38" xfId="0" applyFont="1" applyBorder="1"/>
    <xf numFmtId="0" fontId="24" fillId="15" borderId="76" xfId="0" applyFont="1" applyFill="1" applyBorder="1" applyAlignment="1">
      <alignment horizontal="center" vertical="center"/>
    </xf>
    <xf numFmtId="0" fontId="8" fillId="0" borderId="61" xfId="0" applyFont="1" applyBorder="1"/>
    <xf numFmtId="0" fontId="8" fillId="0" borderId="55" xfId="0" applyFont="1" applyBorder="1"/>
  </cellXfs>
  <cellStyles count="1">
    <cellStyle name="Normal" xfId="0" builtinId="0"/>
  </cellStyles>
  <dxfs count="2">
    <dxf>
      <font>
        <color rgb="FFFF0000"/>
      </font>
      <fill>
        <patternFill patternType="none"/>
      </fill>
    </dxf>
    <dxf>
      <font>
        <color rgb="FFFF0000"/>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Net Present Value of Different Investment Matches</a:t>
            </a:r>
          </a:p>
        </c:rich>
      </c:tx>
      <c:overlay val="0"/>
    </c:title>
    <c:autoTitleDeleted val="0"/>
    <c:plotArea>
      <c:layout/>
      <c:barChart>
        <c:barDir val="col"/>
        <c:grouping val="clustered"/>
        <c:varyColors val="1"/>
        <c:ser>
          <c:idx val="0"/>
          <c:order val="0"/>
          <c:tx>
            <c:strRef>
              <c:f>'Investment Options'!$C$47</c:f>
              <c:strCache>
                <c:ptCount val="1"/>
                <c:pt idx="0">
                  <c:v>NPV (MARR)</c:v>
                </c:pt>
              </c:strCache>
            </c:strRef>
          </c:tx>
          <c:spPr>
            <a:solidFill>
              <a:srgbClr val="4285F4"/>
            </a:solidFill>
            <a:ln cmpd="sng">
              <a:solidFill>
                <a:srgbClr val="000000"/>
              </a:solidFill>
            </a:ln>
          </c:spPr>
          <c:invertIfNegative val="1"/>
          <c:cat>
            <c:strRef>
              <c:f>'Investment Options'!$B$48:$B$60</c:f>
              <c:strCache>
                <c:ptCount val="12"/>
                <c:pt idx="0">
                  <c:v>1C+2F+3I*</c:v>
                </c:pt>
                <c:pt idx="1">
                  <c:v>1C+2E+3I*</c:v>
                </c:pt>
                <c:pt idx="2">
                  <c:v>1C+2F+3H</c:v>
                </c:pt>
                <c:pt idx="3">
                  <c:v>1C+2E+3H</c:v>
                </c:pt>
                <c:pt idx="4">
                  <c:v>1C+2F+4K</c:v>
                </c:pt>
                <c:pt idx="5">
                  <c:v>1C+2E+4K</c:v>
                </c:pt>
                <c:pt idx="6">
                  <c:v>1C+3I+4K*</c:v>
                </c:pt>
                <c:pt idx="7">
                  <c:v>1C+3H+4K</c:v>
                </c:pt>
                <c:pt idx="8">
                  <c:v>2F+3I+4K</c:v>
                </c:pt>
                <c:pt idx="9">
                  <c:v>2E+3I+4K</c:v>
                </c:pt>
                <c:pt idx="10">
                  <c:v>2F+3H+4K</c:v>
                </c:pt>
                <c:pt idx="11">
                  <c:v>2E+3H+4K</c:v>
                </c:pt>
              </c:strCache>
            </c:strRef>
          </c:cat>
          <c:val>
            <c:numRef>
              <c:f>'Investment Options'!$C$48:$C$60</c:f>
              <c:numCache>
                <c:formatCode>"$"#,##0.00</c:formatCode>
                <c:ptCount val="13"/>
                <c:pt idx="0">
                  <c:v>75028.821012426284</c:v>
                </c:pt>
                <c:pt idx="1">
                  <c:v>68500.668073644949</c:v>
                </c:pt>
                <c:pt idx="2">
                  <c:v>51046.167012358113</c:v>
                </c:pt>
                <c:pt idx="3">
                  <c:v>44518.014073576749</c:v>
                </c:pt>
                <c:pt idx="4">
                  <c:v>101196.31601919199</c:v>
                </c:pt>
                <c:pt idx="5">
                  <c:v>94668.163080410566</c:v>
                </c:pt>
                <c:pt idx="6">
                  <c:v>70010.05238657209</c:v>
                </c:pt>
                <c:pt idx="7">
                  <c:v>46027.39838650389</c:v>
                </c:pt>
                <c:pt idx="8">
                  <c:v>75656.901904898114</c:v>
                </c:pt>
                <c:pt idx="9">
                  <c:v>69128.74896611672</c:v>
                </c:pt>
                <c:pt idx="10">
                  <c:v>50506.752898064209</c:v>
                </c:pt>
                <c:pt idx="11">
                  <c:v>43978.599959282859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33A-004A-AF49-B6BD6450E632}"/>
            </c:ext>
          </c:extLst>
        </c:ser>
        <c:ser>
          <c:idx val="1"/>
          <c:order val="1"/>
          <c:tx>
            <c:strRef>
              <c:f>'Investment Options'!$D$47</c:f>
              <c:strCache>
                <c:ptCount val="1"/>
                <c:pt idx="0">
                  <c:v>NPV (Avg Rtrn)</c:v>
                </c:pt>
              </c:strCache>
            </c:strRef>
          </c:tx>
          <c:spPr>
            <a:solidFill>
              <a:srgbClr val="EA4335"/>
            </a:solidFill>
            <a:ln cmpd="sng">
              <a:solidFill>
                <a:srgbClr val="000000"/>
              </a:solidFill>
            </a:ln>
          </c:spPr>
          <c:invertIfNegative val="1"/>
          <c:cat>
            <c:strRef>
              <c:f>'Investment Options'!$B$48:$B$60</c:f>
              <c:strCache>
                <c:ptCount val="12"/>
                <c:pt idx="0">
                  <c:v>1C+2F+3I*</c:v>
                </c:pt>
                <c:pt idx="1">
                  <c:v>1C+2E+3I*</c:v>
                </c:pt>
                <c:pt idx="2">
                  <c:v>1C+2F+3H</c:v>
                </c:pt>
                <c:pt idx="3">
                  <c:v>1C+2E+3H</c:v>
                </c:pt>
                <c:pt idx="4">
                  <c:v>1C+2F+4K</c:v>
                </c:pt>
                <c:pt idx="5">
                  <c:v>1C+2E+4K</c:v>
                </c:pt>
                <c:pt idx="6">
                  <c:v>1C+3I+4K*</c:v>
                </c:pt>
                <c:pt idx="7">
                  <c:v>1C+3H+4K</c:v>
                </c:pt>
                <c:pt idx="8">
                  <c:v>2F+3I+4K</c:v>
                </c:pt>
                <c:pt idx="9">
                  <c:v>2E+3I+4K</c:v>
                </c:pt>
                <c:pt idx="10">
                  <c:v>2F+3H+4K</c:v>
                </c:pt>
                <c:pt idx="11">
                  <c:v>2E+3H+4K</c:v>
                </c:pt>
              </c:strCache>
            </c:strRef>
          </c:cat>
          <c:val>
            <c:numRef>
              <c:f>'Investment Options'!$D$48:$D$60</c:f>
              <c:numCache>
                <c:formatCode>"$"#,##0.00</c:formatCode>
                <c:ptCount val="13"/>
                <c:pt idx="0">
                  <c:v>46211.850150107464</c:v>
                </c:pt>
                <c:pt idx="1">
                  <c:v>40923.142021781357</c:v>
                </c:pt>
                <c:pt idx="2">
                  <c:v>27000.937689527476</c:v>
                </c:pt>
                <c:pt idx="3">
                  <c:v>21712.229561201297</c:v>
                </c:pt>
                <c:pt idx="4">
                  <c:v>70540.714373933646</c:v>
                </c:pt>
                <c:pt idx="5">
                  <c:v>65252.006245607452</c:v>
                </c:pt>
                <c:pt idx="6">
                  <c:v>42019.378064556746</c:v>
                </c:pt>
                <c:pt idx="7">
                  <c:v>22808.465603976685</c:v>
                </c:pt>
                <c:pt idx="8">
                  <c:v>46736.522994277009</c:v>
                </c:pt>
                <c:pt idx="9">
                  <c:v>41447.814865950873</c:v>
                </c:pt>
                <c:pt idx="10">
                  <c:v>28196.746309870825</c:v>
                </c:pt>
                <c:pt idx="11">
                  <c:v>22908.038181544674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33A-004A-AF49-B6BD6450E632}"/>
            </c:ext>
          </c:extLst>
        </c:ser>
        <c:dLbls>
          <c:showLegendKey val="0"/>
          <c:showVal val="0"/>
          <c:showCatName val="0"/>
          <c:showSerName val="0"/>
          <c:showPercent val="0"/>
          <c:showBubbleSize val="0"/>
        </c:dLbls>
        <c:gapWidth val="150"/>
        <c:axId val="1672115754"/>
        <c:axId val="27863357"/>
      </c:barChart>
      <c:catAx>
        <c:axId val="1672115754"/>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Projects Matched</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7863357"/>
        <c:crosses val="autoZero"/>
        <c:auto val="1"/>
        <c:lblAlgn val="ctr"/>
        <c:lblOffset val="100"/>
        <c:noMultiLvlLbl val="1"/>
      </c:catAx>
      <c:valAx>
        <c:axId val="278633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67211575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NPV of CashFlows Using MARR (Useful life: 8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1'!$A$35:$A$38</c:f>
              <c:strCache>
                <c:ptCount val="4"/>
                <c:pt idx="0">
                  <c:v>1A</c:v>
                </c:pt>
                <c:pt idx="1">
                  <c:v>1B</c:v>
                </c:pt>
                <c:pt idx="2">
                  <c:v>1C</c:v>
                </c:pt>
                <c:pt idx="3">
                  <c:v>1D</c:v>
                </c:pt>
              </c:strCache>
            </c:strRef>
          </c:cat>
          <c:val>
            <c:numRef>
              <c:f>'Project 1'!$B$35:$B$38</c:f>
              <c:numCache>
                <c:formatCode>"$"#,##0.00</c:formatCode>
                <c:ptCount val="4"/>
                <c:pt idx="0">
                  <c:v>1987.88</c:v>
                </c:pt>
                <c:pt idx="1">
                  <c:v>3654.91</c:v>
                </c:pt>
                <c:pt idx="2">
                  <c:v>5834.63</c:v>
                </c:pt>
                <c:pt idx="3">
                  <c:v>4873.22</c:v>
                </c:pt>
              </c:numCache>
            </c:numRef>
          </c:val>
          <c:smooth val="0"/>
          <c:extLst>
            <c:ext xmlns:c16="http://schemas.microsoft.com/office/drawing/2014/chart" uri="{C3380CC4-5D6E-409C-BE32-E72D297353CC}">
              <c16:uniqueId val="{00000000-E101-EA49-B06B-AACAEBE62E54}"/>
            </c:ext>
          </c:extLst>
        </c:ser>
        <c:dLbls>
          <c:showLegendKey val="0"/>
          <c:showVal val="0"/>
          <c:showCatName val="0"/>
          <c:showSerName val="0"/>
          <c:showPercent val="0"/>
          <c:showBubbleSize val="0"/>
        </c:dLbls>
        <c:marker val="1"/>
        <c:smooth val="0"/>
        <c:axId val="1057452975"/>
        <c:axId val="1600899153"/>
      </c:lineChart>
      <c:catAx>
        <c:axId val="1057452975"/>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00899153"/>
        <c:crosses val="autoZero"/>
        <c:auto val="1"/>
        <c:lblAlgn val="ctr"/>
        <c:lblOffset val="100"/>
        <c:noMultiLvlLbl val="1"/>
      </c:catAx>
      <c:valAx>
        <c:axId val="16008991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057452975"/>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NPV of CashFlows Using AR (Useful life: 8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1'!$A$42:$A$45</c:f>
              <c:strCache>
                <c:ptCount val="4"/>
                <c:pt idx="0">
                  <c:v>1A</c:v>
                </c:pt>
                <c:pt idx="1">
                  <c:v>1B</c:v>
                </c:pt>
                <c:pt idx="2">
                  <c:v>1C</c:v>
                </c:pt>
                <c:pt idx="3">
                  <c:v>1D</c:v>
                </c:pt>
              </c:strCache>
            </c:strRef>
          </c:cat>
          <c:val>
            <c:numRef>
              <c:f>'Project 1'!$B$42:$B$45</c:f>
              <c:numCache>
                <c:formatCode>"$"#,##0.00</c:formatCode>
                <c:ptCount val="4"/>
                <c:pt idx="0">
                  <c:v>-1197.92</c:v>
                </c:pt>
                <c:pt idx="1">
                  <c:v>-1221.3</c:v>
                </c:pt>
                <c:pt idx="2">
                  <c:v>81.849999999999994</c:v>
                </c:pt>
                <c:pt idx="3">
                  <c:v>1629.4</c:v>
                </c:pt>
              </c:numCache>
            </c:numRef>
          </c:val>
          <c:smooth val="0"/>
          <c:extLst>
            <c:ext xmlns:c16="http://schemas.microsoft.com/office/drawing/2014/chart" uri="{C3380CC4-5D6E-409C-BE32-E72D297353CC}">
              <c16:uniqueId val="{00000000-65D7-3D41-B6B6-464137E2C6E0}"/>
            </c:ext>
          </c:extLst>
        </c:ser>
        <c:dLbls>
          <c:showLegendKey val="0"/>
          <c:showVal val="0"/>
          <c:showCatName val="0"/>
          <c:showSerName val="0"/>
          <c:showPercent val="0"/>
          <c:showBubbleSize val="0"/>
        </c:dLbls>
        <c:marker val="1"/>
        <c:smooth val="0"/>
        <c:axId val="109305693"/>
        <c:axId val="603717497"/>
      </c:lineChart>
      <c:catAx>
        <c:axId val="109305693"/>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03717497"/>
        <c:crosses val="autoZero"/>
        <c:auto val="1"/>
        <c:lblAlgn val="ctr"/>
        <c:lblOffset val="100"/>
        <c:noMultiLvlLbl val="1"/>
      </c:catAx>
      <c:valAx>
        <c:axId val="6037174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0930569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IRR of CashFlows (Useful life: 8 years)</a:t>
            </a:r>
          </a:p>
        </c:rich>
      </c:tx>
      <c:layout>
        <c:manualLayout>
          <c:xMode val="edge"/>
          <c:yMode val="edge"/>
          <c:x val="3.1513647642679901E-2"/>
          <c:y val="4.6062992125984255E-2"/>
        </c:manualLayout>
      </c:layout>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dPt>
            <c:idx val="2"/>
            <c:bubble3D val="0"/>
            <c:extLst>
              <c:ext xmlns:c16="http://schemas.microsoft.com/office/drawing/2014/chart" uri="{C3380CC4-5D6E-409C-BE32-E72D297353CC}">
                <c16:uniqueId val="{00000000-6588-4848-A0F4-B4779462A1FB}"/>
              </c:ext>
            </c:extLst>
          </c:dPt>
          <c:cat>
            <c:strRef>
              <c:f>'Project 1'!$F$35:$F$38</c:f>
              <c:strCache>
                <c:ptCount val="4"/>
                <c:pt idx="0">
                  <c:v>1A</c:v>
                </c:pt>
                <c:pt idx="1">
                  <c:v>1B</c:v>
                </c:pt>
                <c:pt idx="2">
                  <c:v>1C</c:v>
                </c:pt>
                <c:pt idx="3">
                  <c:v>1D</c:v>
                </c:pt>
              </c:strCache>
            </c:strRef>
          </c:cat>
          <c:val>
            <c:numRef>
              <c:f>'Project 1'!$G$35:$G$38</c:f>
              <c:numCache>
                <c:formatCode>0.00%</c:formatCode>
                <c:ptCount val="4"/>
                <c:pt idx="0">
                  <c:v>0.1797</c:v>
                </c:pt>
                <c:pt idx="1">
                  <c:v>0.1862</c:v>
                </c:pt>
                <c:pt idx="2">
                  <c:v>0.19919999999999999</c:v>
                </c:pt>
                <c:pt idx="3">
                  <c:v>0.1862</c:v>
                </c:pt>
              </c:numCache>
            </c:numRef>
          </c:val>
          <c:smooth val="0"/>
          <c:extLst>
            <c:ext xmlns:c16="http://schemas.microsoft.com/office/drawing/2014/chart" uri="{C3380CC4-5D6E-409C-BE32-E72D297353CC}">
              <c16:uniqueId val="{00000001-6588-4848-A0F4-B4779462A1FB}"/>
            </c:ext>
          </c:extLst>
        </c:ser>
        <c:dLbls>
          <c:showLegendKey val="0"/>
          <c:showVal val="0"/>
          <c:showCatName val="0"/>
          <c:showSerName val="0"/>
          <c:showPercent val="0"/>
          <c:showBubbleSize val="0"/>
        </c:dLbls>
        <c:marker val="1"/>
        <c:smooth val="0"/>
        <c:axId val="2006224842"/>
        <c:axId val="506742461"/>
      </c:lineChart>
      <c:catAx>
        <c:axId val="2006224842"/>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06742461"/>
        <c:crosses val="autoZero"/>
        <c:auto val="1"/>
        <c:lblAlgn val="ctr"/>
        <c:lblOffset val="100"/>
        <c:noMultiLvlLbl val="1"/>
      </c:catAx>
      <c:valAx>
        <c:axId val="506742461"/>
        <c:scaling>
          <c:orientation val="minMax"/>
          <c:min val="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200622484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ERR of Cash Flows Using MARR (Useful life: 8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1'!$E$42:$E$45</c:f>
              <c:strCache>
                <c:ptCount val="4"/>
                <c:pt idx="0">
                  <c:v>1A</c:v>
                </c:pt>
                <c:pt idx="1">
                  <c:v>1B</c:v>
                </c:pt>
                <c:pt idx="2">
                  <c:v>1C</c:v>
                </c:pt>
                <c:pt idx="3">
                  <c:v>1D</c:v>
                </c:pt>
              </c:strCache>
            </c:strRef>
          </c:cat>
          <c:val>
            <c:numRef>
              <c:f>'Project 1'!$F$42:$F$45</c:f>
              <c:numCache>
                <c:formatCode>0.00%</c:formatCode>
                <c:ptCount val="4"/>
                <c:pt idx="0">
                  <c:v>0.16370000000000001</c:v>
                </c:pt>
                <c:pt idx="1">
                  <c:v>0.1666</c:v>
                </c:pt>
                <c:pt idx="2">
                  <c:v>0.1724</c:v>
                </c:pt>
                <c:pt idx="3">
                  <c:v>0.1666</c:v>
                </c:pt>
              </c:numCache>
            </c:numRef>
          </c:val>
          <c:smooth val="0"/>
          <c:extLst>
            <c:ext xmlns:c16="http://schemas.microsoft.com/office/drawing/2014/chart" uri="{C3380CC4-5D6E-409C-BE32-E72D297353CC}">
              <c16:uniqueId val="{00000000-7260-864B-BE5E-E6766E1AC6CC}"/>
            </c:ext>
          </c:extLst>
        </c:ser>
        <c:dLbls>
          <c:showLegendKey val="0"/>
          <c:showVal val="0"/>
          <c:showCatName val="0"/>
          <c:showSerName val="0"/>
          <c:showPercent val="0"/>
          <c:showBubbleSize val="0"/>
        </c:dLbls>
        <c:marker val="1"/>
        <c:smooth val="0"/>
        <c:axId val="1772863097"/>
        <c:axId val="344846496"/>
      </c:lineChart>
      <c:catAx>
        <c:axId val="17728630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44846496"/>
        <c:crosses val="autoZero"/>
        <c:auto val="1"/>
        <c:lblAlgn val="ctr"/>
        <c:lblOffset val="100"/>
        <c:noMultiLvlLbl val="1"/>
      </c:catAx>
      <c:valAx>
        <c:axId val="3448464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772863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ERR of CashFlows Using AR (Useful life: 8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'Project 1'!$A$53:$A$56</c:f>
              <c:strCache>
                <c:ptCount val="4"/>
                <c:pt idx="0">
                  <c:v>1A</c:v>
                </c:pt>
                <c:pt idx="1">
                  <c:v>1B</c:v>
                </c:pt>
                <c:pt idx="2">
                  <c:v>1C</c:v>
                </c:pt>
                <c:pt idx="3">
                  <c:v>1D</c:v>
                </c:pt>
              </c:strCache>
            </c:strRef>
          </c:cat>
          <c:val>
            <c:numRef>
              <c:f>'Project 1'!$B$53:$B$56</c:f>
              <c:numCache>
                <c:formatCode>0.00%</c:formatCode>
                <c:ptCount val="4"/>
                <c:pt idx="0">
                  <c:v>0.1908</c:v>
                </c:pt>
                <c:pt idx="1">
                  <c:v>0.1938</c:v>
                </c:pt>
                <c:pt idx="2">
                  <c:v>0.1996</c:v>
                </c:pt>
                <c:pt idx="3">
                  <c:v>0.1938</c:v>
                </c:pt>
              </c:numCache>
            </c:numRef>
          </c:val>
          <c:smooth val="0"/>
          <c:extLst>
            <c:ext xmlns:c16="http://schemas.microsoft.com/office/drawing/2014/chart" uri="{C3380CC4-5D6E-409C-BE32-E72D297353CC}">
              <c16:uniqueId val="{00000000-ED9A-4A4A-BD57-DAB9783F23D9}"/>
            </c:ext>
          </c:extLst>
        </c:ser>
        <c:dLbls>
          <c:showLegendKey val="0"/>
          <c:showVal val="0"/>
          <c:showCatName val="0"/>
          <c:showSerName val="0"/>
          <c:showPercent val="0"/>
          <c:showBubbleSize val="0"/>
        </c:dLbls>
        <c:marker val="1"/>
        <c:smooth val="0"/>
        <c:axId val="1282881118"/>
        <c:axId val="101476413"/>
      </c:lineChart>
      <c:catAx>
        <c:axId val="1282881118"/>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01476413"/>
        <c:crosses val="autoZero"/>
        <c:auto val="1"/>
        <c:lblAlgn val="ctr"/>
        <c:lblOffset val="100"/>
        <c:noMultiLvlLbl val="1"/>
      </c:catAx>
      <c:valAx>
        <c:axId val="1014764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28288111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NPV of CashFlows Using MARR (Useful life: 10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1'!$J$35:$J$38</c:f>
              <c:strCache>
                <c:ptCount val="4"/>
                <c:pt idx="0">
                  <c:v>1A</c:v>
                </c:pt>
                <c:pt idx="1">
                  <c:v>1B</c:v>
                </c:pt>
                <c:pt idx="2">
                  <c:v>1C</c:v>
                </c:pt>
                <c:pt idx="3">
                  <c:v>1D</c:v>
                </c:pt>
              </c:strCache>
            </c:strRef>
          </c:cat>
          <c:val>
            <c:numRef>
              <c:f>'Project 1'!$K$35:$K$38</c:f>
              <c:numCache>
                <c:formatCode>"$"#,##0.00</c:formatCode>
                <c:ptCount val="4"/>
                <c:pt idx="0">
                  <c:v>4591.97</c:v>
                </c:pt>
                <c:pt idx="1">
                  <c:v>7640.76</c:v>
                </c:pt>
                <c:pt idx="2">
                  <c:v>10670.79</c:v>
                </c:pt>
                <c:pt idx="3">
                  <c:v>10787.69</c:v>
                </c:pt>
              </c:numCache>
            </c:numRef>
          </c:val>
          <c:smooth val="0"/>
          <c:extLst>
            <c:ext xmlns:c16="http://schemas.microsoft.com/office/drawing/2014/chart" uri="{C3380CC4-5D6E-409C-BE32-E72D297353CC}">
              <c16:uniqueId val="{00000000-BD33-9641-91AC-3268F4B4650F}"/>
            </c:ext>
          </c:extLst>
        </c:ser>
        <c:dLbls>
          <c:showLegendKey val="0"/>
          <c:showVal val="0"/>
          <c:showCatName val="0"/>
          <c:showSerName val="0"/>
          <c:showPercent val="0"/>
          <c:showBubbleSize val="0"/>
        </c:dLbls>
        <c:marker val="1"/>
        <c:smooth val="0"/>
        <c:axId val="80569587"/>
        <c:axId val="821515762"/>
      </c:lineChart>
      <c:catAx>
        <c:axId val="8056958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21515762"/>
        <c:crosses val="autoZero"/>
        <c:auto val="1"/>
        <c:lblAlgn val="ctr"/>
        <c:lblOffset val="100"/>
        <c:noMultiLvlLbl val="1"/>
      </c:catAx>
      <c:valAx>
        <c:axId val="8215157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8056958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NPV of CashFlows Using AR (Useful life: 10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1'!$N$35:$N$38</c:f>
              <c:strCache>
                <c:ptCount val="4"/>
                <c:pt idx="0">
                  <c:v>1A</c:v>
                </c:pt>
                <c:pt idx="1">
                  <c:v>1B</c:v>
                </c:pt>
                <c:pt idx="2">
                  <c:v>1C</c:v>
                </c:pt>
                <c:pt idx="3">
                  <c:v>1D</c:v>
                </c:pt>
              </c:strCache>
            </c:strRef>
          </c:cat>
          <c:val>
            <c:numRef>
              <c:f>'Project 1'!$O$35:$O$38</c:f>
              <c:numCache>
                <c:formatCode>#,##0.00</c:formatCode>
                <c:ptCount val="4"/>
                <c:pt idx="0" formatCode="&quot;$&quot;#,##0.00">
                  <c:v>543.11</c:v>
                </c:pt>
                <c:pt idx="1">
                  <c:v>1443.54</c:v>
                </c:pt>
                <c:pt idx="2" formatCode="&quot;$&quot;#,##0.00">
                  <c:v>3151.5</c:v>
                </c:pt>
                <c:pt idx="3" formatCode="&quot;$&quot;#,##0.00">
                  <c:v>1924.72</c:v>
                </c:pt>
              </c:numCache>
            </c:numRef>
          </c:val>
          <c:smooth val="0"/>
          <c:extLst>
            <c:ext xmlns:c16="http://schemas.microsoft.com/office/drawing/2014/chart" uri="{C3380CC4-5D6E-409C-BE32-E72D297353CC}">
              <c16:uniqueId val="{00000000-1C2E-4140-A181-9F6EA7B634D0}"/>
            </c:ext>
          </c:extLst>
        </c:ser>
        <c:dLbls>
          <c:showLegendKey val="0"/>
          <c:showVal val="0"/>
          <c:showCatName val="0"/>
          <c:showSerName val="0"/>
          <c:showPercent val="0"/>
          <c:showBubbleSize val="0"/>
        </c:dLbls>
        <c:marker val="1"/>
        <c:smooth val="0"/>
        <c:axId val="404803543"/>
        <c:axId val="322504189"/>
      </c:lineChart>
      <c:catAx>
        <c:axId val="404803543"/>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22504189"/>
        <c:crosses val="autoZero"/>
        <c:auto val="1"/>
        <c:lblAlgn val="ctr"/>
        <c:lblOffset val="100"/>
        <c:noMultiLvlLbl val="1"/>
      </c:catAx>
      <c:valAx>
        <c:axId val="3225041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40480354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IRR of CashFlows (Useful life: 10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1'!$I$47:$I$50</c:f>
              <c:strCache>
                <c:ptCount val="4"/>
                <c:pt idx="0">
                  <c:v>1A</c:v>
                </c:pt>
                <c:pt idx="1">
                  <c:v>1B</c:v>
                </c:pt>
                <c:pt idx="2">
                  <c:v>1C</c:v>
                </c:pt>
                <c:pt idx="3">
                  <c:v>1D</c:v>
                </c:pt>
              </c:strCache>
            </c:strRef>
          </c:cat>
          <c:val>
            <c:numRef>
              <c:f>'Project 1'!$J$47:$J$50</c:f>
              <c:numCache>
                <c:formatCode>0.00%</c:formatCode>
                <c:ptCount val="4"/>
                <c:pt idx="0">
                  <c:v>0.20799999999999999</c:v>
                </c:pt>
                <c:pt idx="1">
                  <c:v>0.21410000000000001</c:v>
                </c:pt>
                <c:pt idx="2">
                  <c:v>0.22620000000000001</c:v>
                </c:pt>
                <c:pt idx="3">
                  <c:v>0.21410000000000001</c:v>
                </c:pt>
              </c:numCache>
            </c:numRef>
          </c:val>
          <c:smooth val="0"/>
          <c:extLst>
            <c:ext xmlns:c16="http://schemas.microsoft.com/office/drawing/2014/chart" uri="{C3380CC4-5D6E-409C-BE32-E72D297353CC}">
              <c16:uniqueId val="{00000000-33D6-6F48-9729-54D0AD74EC3C}"/>
            </c:ext>
          </c:extLst>
        </c:ser>
        <c:dLbls>
          <c:showLegendKey val="0"/>
          <c:showVal val="0"/>
          <c:showCatName val="0"/>
          <c:showSerName val="0"/>
          <c:showPercent val="0"/>
          <c:showBubbleSize val="0"/>
        </c:dLbls>
        <c:marker val="1"/>
        <c:smooth val="0"/>
        <c:axId val="246573915"/>
        <c:axId val="613645079"/>
      </c:lineChart>
      <c:catAx>
        <c:axId val="246573915"/>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13645079"/>
        <c:crosses val="autoZero"/>
        <c:auto val="1"/>
        <c:lblAlgn val="ctr"/>
        <c:lblOffset val="100"/>
        <c:noMultiLvlLbl val="1"/>
      </c:catAx>
      <c:valAx>
        <c:axId val="6136450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246573915"/>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ERR of CashFlows Using MARR (Useful life: 10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1'!$M$47:$M$50</c:f>
              <c:strCache>
                <c:ptCount val="4"/>
                <c:pt idx="0">
                  <c:v>1A</c:v>
                </c:pt>
                <c:pt idx="1">
                  <c:v>1B</c:v>
                </c:pt>
                <c:pt idx="2">
                  <c:v>1C</c:v>
                </c:pt>
                <c:pt idx="3">
                  <c:v>1D</c:v>
                </c:pt>
              </c:strCache>
            </c:strRef>
          </c:cat>
          <c:val>
            <c:numRef>
              <c:f>'Project 1'!$N$47:$N$50</c:f>
              <c:numCache>
                <c:formatCode>0.00%</c:formatCode>
                <c:ptCount val="4"/>
                <c:pt idx="0">
                  <c:v>0.17399999999999999</c:v>
                </c:pt>
                <c:pt idx="1">
                  <c:v>0.1764</c:v>
                </c:pt>
                <c:pt idx="2">
                  <c:v>0.18099999999999999</c:v>
                </c:pt>
                <c:pt idx="3">
                  <c:v>0.1764</c:v>
                </c:pt>
              </c:numCache>
            </c:numRef>
          </c:val>
          <c:smooth val="0"/>
          <c:extLst>
            <c:ext xmlns:c16="http://schemas.microsoft.com/office/drawing/2014/chart" uri="{C3380CC4-5D6E-409C-BE32-E72D297353CC}">
              <c16:uniqueId val="{00000000-A431-7B46-BB61-70FF25B3C4DE}"/>
            </c:ext>
          </c:extLst>
        </c:ser>
        <c:dLbls>
          <c:showLegendKey val="0"/>
          <c:showVal val="0"/>
          <c:showCatName val="0"/>
          <c:showSerName val="0"/>
          <c:showPercent val="0"/>
          <c:showBubbleSize val="0"/>
        </c:dLbls>
        <c:marker val="1"/>
        <c:smooth val="0"/>
        <c:axId val="442419736"/>
        <c:axId val="1098836551"/>
      </c:lineChart>
      <c:catAx>
        <c:axId val="44241973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098836551"/>
        <c:crosses val="autoZero"/>
        <c:auto val="1"/>
        <c:lblAlgn val="ctr"/>
        <c:lblOffset val="100"/>
        <c:noMultiLvlLbl val="1"/>
      </c:catAx>
      <c:valAx>
        <c:axId val="10988365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44241973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ERR of Cash Flows Using AR (Useful life: 10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1'!$I$61:$I$64</c:f>
              <c:strCache>
                <c:ptCount val="4"/>
                <c:pt idx="0">
                  <c:v>1A</c:v>
                </c:pt>
                <c:pt idx="1">
                  <c:v>1B</c:v>
                </c:pt>
                <c:pt idx="2">
                  <c:v>1C</c:v>
                </c:pt>
                <c:pt idx="3">
                  <c:v>1D</c:v>
                </c:pt>
              </c:strCache>
            </c:strRef>
          </c:cat>
          <c:val>
            <c:numRef>
              <c:f>'Project 1'!$J$61:$J$64</c:f>
              <c:numCache>
                <c:formatCode>0.00%</c:formatCode>
                <c:ptCount val="4"/>
                <c:pt idx="0">
                  <c:v>0.20319999999999999</c:v>
                </c:pt>
                <c:pt idx="1">
                  <c:v>0.20569999999999999</c:v>
                </c:pt>
                <c:pt idx="2">
                  <c:v>0.2104</c:v>
                </c:pt>
                <c:pt idx="3">
                  <c:v>0.20569999999999999</c:v>
                </c:pt>
              </c:numCache>
            </c:numRef>
          </c:val>
          <c:smooth val="0"/>
          <c:extLst>
            <c:ext xmlns:c16="http://schemas.microsoft.com/office/drawing/2014/chart" uri="{C3380CC4-5D6E-409C-BE32-E72D297353CC}">
              <c16:uniqueId val="{00000000-81CE-004B-82E7-D6D0DE2F7410}"/>
            </c:ext>
          </c:extLst>
        </c:ser>
        <c:dLbls>
          <c:showLegendKey val="0"/>
          <c:showVal val="0"/>
          <c:showCatName val="0"/>
          <c:showSerName val="0"/>
          <c:showPercent val="0"/>
          <c:showBubbleSize val="0"/>
        </c:dLbls>
        <c:marker val="1"/>
        <c:smooth val="0"/>
        <c:axId val="1624724480"/>
        <c:axId val="304666906"/>
      </c:lineChart>
      <c:catAx>
        <c:axId val="162472448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04666906"/>
        <c:crosses val="autoZero"/>
        <c:auto val="1"/>
        <c:lblAlgn val="ctr"/>
        <c:lblOffset val="100"/>
        <c:noMultiLvlLbl val="1"/>
      </c:catAx>
      <c:valAx>
        <c:axId val="3046669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247244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NPV of CashFlows Using MARR (Useful life: 12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1'!$R$36:$R$39</c:f>
              <c:strCache>
                <c:ptCount val="4"/>
                <c:pt idx="0">
                  <c:v>1A</c:v>
                </c:pt>
                <c:pt idx="1">
                  <c:v>1B</c:v>
                </c:pt>
                <c:pt idx="2">
                  <c:v>1C</c:v>
                </c:pt>
                <c:pt idx="3">
                  <c:v>1D</c:v>
                </c:pt>
              </c:strCache>
            </c:strRef>
          </c:cat>
          <c:val>
            <c:numRef>
              <c:f>'Project 1'!$S$36:$S$39</c:f>
              <c:numCache>
                <c:formatCode>"$"#,##0.00</c:formatCode>
                <c:ptCount val="4"/>
                <c:pt idx="0">
                  <c:v>6561.03</c:v>
                </c:pt>
                <c:pt idx="1">
                  <c:v>10654.64</c:v>
                </c:pt>
                <c:pt idx="2">
                  <c:v>14327.63</c:v>
                </c:pt>
                <c:pt idx="3">
                  <c:v>14206.19</c:v>
                </c:pt>
              </c:numCache>
            </c:numRef>
          </c:val>
          <c:smooth val="0"/>
          <c:extLst>
            <c:ext xmlns:c16="http://schemas.microsoft.com/office/drawing/2014/chart" uri="{C3380CC4-5D6E-409C-BE32-E72D297353CC}">
              <c16:uniqueId val="{00000000-B3EA-1946-BEE1-F2D465383261}"/>
            </c:ext>
          </c:extLst>
        </c:ser>
        <c:dLbls>
          <c:showLegendKey val="0"/>
          <c:showVal val="0"/>
          <c:showCatName val="0"/>
          <c:showSerName val="0"/>
          <c:showPercent val="0"/>
          <c:showBubbleSize val="0"/>
        </c:dLbls>
        <c:marker val="1"/>
        <c:smooth val="0"/>
        <c:axId val="583210610"/>
        <c:axId val="201245418"/>
      </c:lineChart>
      <c:catAx>
        <c:axId val="58321061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245418"/>
        <c:crosses val="autoZero"/>
        <c:auto val="1"/>
        <c:lblAlgn val="ctr"/>
        <c:lblOffset val="100"/>
        <c:noMultiLvlLbl val="1"/>
      </c:catAx>
      <c:valAx>
        <c:axId val="2012454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58321061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NPV of CashFlows Using AR (Useful life: 12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1'!$V$37:$V$40</c:f>
              <c:strCache>
                <c:ptCount val="4"/>
                <c:pt idx="0">
                  <c:v>1A</c:v>
                </c:pt>
                <c:pt idx="1">
                  <c:v>1B</c:v>
                </c:pt>
                <c:pt idx="2">
                  <c:v>1C</c:v>
                </c:pt>
                <c:pt idx="3">
                  <c:v>1D</c:v>
                </c:pt>
              </c:strCache>
            </c:strRef>
          </c:cat>
          <c:val>
            <c:numRef>
              <c:f>'Project 1'!$W$37:$W$40</c:f>
              <c:numCache>
                <c:formatCode>"$"#,##0.00</c:formatCode>
                <c:ptCount val="4"/>
                <c:pt idx="0">
                  <c:v>1752.16</c:v>
                </c:pt>
                <c:pt idx="1">
                  <c:v>3294.13</c:v>
                </c:pt>
                <c:pt idx="2">
                  <c:v>5396.87</c:v>
                </c:pt>
                <c:pt idx="3">
                  <c:v>4392.17</c:v>
                </c:pt>
              </c:numCache>
            </c:numRef>
          </c:val>
          <c:smooth val="0"/>
          <c:extLst>
            <c:ext xmlns:c16="http://schemas.microsoft.com/office/drawing/2014/chart" uri="{C3380CC4-5D6E-409C-BE32-E72D297353CC}">
              <c16:uniqueId val="{00000000-B672-F845-906F-57FE1AAAC7AB}"/>
            </c:ext>
          </c:extLst>
        </c:ser>
        <c:dLbls>
          <c:showLegendKey val="0"/>
          <c:showVal val="0"/>
          <c:showCatName val="0"/>
          <c:showSerName val="0"/>
          <c:showPercent val="0"/>
          <c:showBubbleSize val="0"/>
        </c:dLbls>
        <c:marker val="1"/>
        <c:smooth val="0"/>
        <c:axId val="133518370"/>
        <c:axId val="246651437"/>
      </c:lineChart>
      <c:catAx>
        <c:axId val="13351837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46651437"/>
        <c:crosses val="autoZero"/>
        <c:auto val="1"/>
        <c:lblAlgn val="ctr"/>
        <c:lblOffset val="100"/>
        <c:noMultiLvlLbl val="1"/>
      </c:catAx>
      <c:valAx>
        <c:axId val="2466514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3351837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IRR of CashFlows (Useful life: 12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1'!$Q$50:$Q$53</c:f>
              <c:strCache>
                <c:ptCount val="4"/>
                <c:pt idx="0">
                  <c:v>1A</c:v>
                </c:pt>
                <c:pt idx="1">
                  <c:v>1B</c:v>
                </c:pt>
                <c:pt idx="2">
                  <c:v>1C</c:v>
                </c:pt>
                <c:pt idx="3">
                  <c:v>1D</c:v>
                </c:pt>
              </c:strCache>
            </c:strRef>
          </c:cat>
          <c:val>
            <c:numRef>
              <c:f>'Project 1'!$R$50:$R$53</c:f>
              <c:numCache>
                <c:formatCode>0.00%</c:formatCode>
                <c:ptCount val="4"/>
                <c:pt idx="0">
                  <c:v>0.22320000000000001</c:v>
                </c:pt>
                <c:pt idx="1">
                  <c:v>0.22889999999999999</c:v>
                </c:pt>
                <c:pt idx="2">
                  <c:v>0.2404</c:v>
                </c:pt>
                <c:pt idx="3">
                  <c:v>0.22889999999999999</c:v>
                </c:pt>
              </c:numCache>
            </c:numRef>
          </c:val>
          <c:smooth val="0"/>
          <c:extLst>
            <c:ext xmlns:c16="http://schemas.microsoft.com/office/drawing/2014/chart" uri="{C3380CC4-5D6E-409C-BE32-E72D297353CC}">
              <c16:uniqueId val="{00000000-8AE6-6243-9A6D-94C3389FF8BB}"/>
            </c:ext>
          </c:extLst>
        </c:ser>
        <c:dLbls>
          <c:showLegendKey val="0"/>
          <c:showVal val="0"/>
          <c:showCatName val="0"/>
          <c:showSerName val="0"/>
          <c:showPercent val="0"/>
          <c:showBubbleSize val="0"/>
        </c:dLbls>
        <c:marker val="1"/>
        <c:smooth val="0"/>
        <c:axId val="756509654"/>
        <c:axId val="999667573"/>
      </c:lineChart>
      <c:catAx>
        <c:axId val="75650965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99667573"/>
        <c:crosses val="autoZero"/>
        <c:auto val="1"/>
        <c:lblAlgn val="ctr"/>
        <c:lblOffset val="100"/>
        <c:noMultiLvlLbl val="1"/>
      </c:catAx>
      <c:valAx>
        <c:axId val="9996675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75650965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ERR of CashFlows Using AR (Useful life: 12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1'!$V$51:$V$54</c:f>
              <c:strCache>
                <c:ptCount val="4"/>
                <c:pt idx="0">
                  <c:v>1A</c:v>
                </c:pt>
                <c:pt idx="1">
                  <c:v>1B</c:v>
                </c:pt>
                <c:pt idx="2">
                  <c:v>1C</c:v>
                </c:pt>
                <c:pt idx="3">
                  <c:v>1D</c:v>
                </c:pt>
              </c:strCache>
            </c:strRef>
          </c:cat>
          <c:val>
            <c:numRef>
              <c:f>'Project 1'!$W$51:$W$54</c:f>
              <c:numCache>
                <c:formatCode>0.00%</c:formatCode>
                <c:ptCount val="4"/>
                <c:pt idx="0">
                  <c:v>0.17749999999999999</c:v>
                </c:pt>
                <c:pt idx="1">
                  <c:v>0.17949999999999999</c:v>
                </c:pt>
                <c:pt idx="2">
                  <c:v>0.18340000000000001</c:v>
                </c:pt>
                <c:pt idx="3">
                  <c:v>0.17949999999999999</c:v>
                </c:pt>
              </c:numCache>
            </c:numRef>
          </c:val>
          <c:smooth val="0"/>
          <c:extLst>
            <c:ext xmlns:c16="http://schemas.microsoft.com/office/drawing/2014/chart" uri="{C3380CC4-5D6E-409C-BE32-E72D297353CC}">
              <c16:uniqueId val="{00000000-E0F9-5542-9F01-85287B12618E}"/>
            </c:ext>
          </c:extLst>
        </c:ser>
        <c:dLbls>
          <c:showLegendKey val="0"/>
          <c:showVal val="0"/>
          <c:showCatName val="0"/>
          <c:showSerName val="0"/>
          <c:showPercent val="0"/>
          <c:showBubbleSize val="0"/>
        </c:dLbls>
        <c:marker val="1"/>
        <c:smooth val="0"/>
        <c:axId val="338981249"/>
        <c:axId val="503193968"/>
      </c:lineChart>
      <c:catAx>
        <c:axId val="338981249"/>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03193968"/>
        <c:crosses val="autoZero"/>
        <c:auto val="1"/>
        <c:lblAlgn val="ctr"/>
        <c:lblOffset val="100"/>
        <c:noMultiLvlLbl val="1"/>
      </c:catAx>
      <c:valAx>
        <c:axId val="5031939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33898124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ERR of Cash Flows Using AR (Useful life: 12 years)</a:t>
            </a:r>
          </a:p>
        </c:rich>
      </c:tx>
      <c:overlay val="0"/>
    </c:title>
    <c:autoTitleDeleted val="0"/>
    <c:plotArea>
      <c:layout/>
      <c:lineChart>
        <c:grouping val="standard"/>
        <c:varyColors val="0"/>
        <c:ser>
          <c:idx val="0"/>
          <c:order val="0"/>
          <c:spPr>
            <a:ln cmpd="sng">
              <a:solidFill>
                <a:srgbClr val="4285F4"/>
              </a:solidFill>
            </a:ln>
          </c:spPr>
          <c:marker>
            <c:symbol val="circle"/>
            <c:size val="10"/>
            <c:spPr>
              <a:solidFill>
                <a:srgbClr val="4285F4"/>
              </a:solidFill>
              <a:ln cmpd="sng">
                <a:solidFill>
                  <a:srgbClr val="4285F4"/>
                </a:solidFill>
              </a:ln>
            </c:spPr>
          </c:marker>
          <c:cat>
            <c:strRef>
              <c:f>'Project 1'!$Q$63:$Q$66</c:f>
              <c:strCache>
                <c:ptCount val="4"/>
                <c:pt idx="0">
                  <c:v>1A</c:v>
                </c:pt>
                <c:pt idx="1">
                  <c:v>1B</c:v>
                </c:pt>
                <c:pt idx="2">
                  <c:v>1C</c:v>
                </c:pt>
                <c:pt idx="3">
                  <c:v>1D</c:v>
                </c:pt>
              </c:strCache>
            </c:strRef>
          </c:cat>
          <c:val>
            <c:numRef>
              <c:f>'Project 1'!$R$63:$R$66</c:f>
              <c:numCache>
                <c:formatCode>0.00%</c:formatCode>
                <c:ptCount val="4"/>
                <c:pt idx="0">
                  <c:v>0.2084</c:v>
                </c:pt>
                <c:pt idx="1">
                  <c:v>0.21049999999999999</c:v>
                </c:pt>
                <c:pt idx="2">
                  <c:v>0.21440000000000001</c:v>
                </c:pt>
                <c:pt idx="3">
                  <c:v>0.21049999999999999</c:v>
                </c:pt>
              </c:numCache>
            </c:numRef>
          </c:val>
          <c:smooth val="0"/>
          <c:extLst>
            <c:ext xmlns:c16="http://schemas.microsoft.com/office/drawing/2014/chart" uri="{C3380CC4-5D6E-409C-BE32-E72D297353CC}">
              <c16:uniqueId val="{00000000-58B6-1E41-8FA8-6929FAC15A36}"/>
            </c:ext>
          </c:extLst>
        </c:ser>
        <c:dLbls>
          <c:showLegendKey val="0"/>
          <c:showVal val="0"/>
          <c:showCatName val="0"/>
          <c:showSerName val="0"/>
          <c:showPercent val="0"/>
          <c:showBubbleSize val="0"/>
        </c:dLbls>
        <c:marker val="1"/>
        <c:smooth val="0"/>
        <c:axId val="1628435527"/>
        <c:axId val="1038340470"/>
      </c:lineChart>
      <c:catAx>
        <c:axId val="162843552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038340470"/>
        <c:crosses val="autoZero"/>
        <c:auto val="1"/>
        <c:lblAlgn val="ctr"/>
        <c:lblOffset val="100"/>
        <c:noMultiLvlLbl val="1"/>
      </c:catAx>
      <c:valAx>
        <c:axId val="10383404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2843552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2F-2E NET PRESENT VALUE WITH MARR</a:t>
            </a:r>
          </a:p>
        </c:rich>
      </c:tx>
      <c:overlay val="0"/>
    </c:title>
    <c:autoTitleDeleted val="0"/>
    <c:plotArea>
      <c:layout/>
      <c:lineChart>
        <c:grouping val="standard"/>
        <c:varyColors val="1"/>
        <c:ser>
          <c:idx val="0"/>
          <c:order val="0"/>
          <c:tx>
            <c:strRef>
              <c:f>'Project 2'!$AD$33:$AD$35</c:f>
              <c:strCache>
                <c:ptCount val="3"/>
                <c:pt idx="0">
                  <c:v>SERIES FOR PLOTTING</c:v>
                </c:pt>
                <c:pt idx="1">
                  <c:v>2F-2E NET PRESENT VALUE WITH MARR</c:v>
                </c:pt>
                <c:pt idx="2">
                  <c:v>Annual Benefit</c:v>
                </c:pt>
              </c:strCache>
            </c:strRef>
          </c:tx>
          <c:spPr>
            <a:ln cmpd="sng">
              <a:solidFill>
                <a:srgbClr val="4285F4"/>
              </a:solidFill>
            </a:ln>
          </c:spPr>
          <c:marker>
            <c:symbol val="circle"/>
            <c:size val="5"/>
            <c:spPr>
              <a:solidFill>
                <a:srgbClr val="4285F4"/>
              </a:solidFill>
              <a:ln cmpd="sng">
                <a:solidFill>
                  <a:srgbClr val="4285F4"/>
                </a:solidFill>
              </a:ln>
            </c:spPr>
          </c:marker>
          <c:cat>
            <c:strRef>
              <c:f>'Project 2'!$AC$36:$AC$40</c:f>
              <c:strCache>
                <c:ptCount val="5"/>
                <c:pt idx="0">
                  <c:v>Very Low</c:v>
                </c:pt>
                <c:pt idx="1">
                  <c:v>Low</c:v>
                </c:pt>
                <c:pt idx="2">
                  <c:v>Base</c:v>
                </c:pt>
                <c:pt idx="3">
                  <c:v>High</c:v>
                </c:pt>
                <c:pt idx="4">
                  <c:v>Very High</c:v>
                </c:pt>
              </c:strCache>
            </c:strRef>
          </c:cat>
          <c:val>
            <c:numRef>
              <c:f>'Project 2'!$AD$36:$AD$40</c:f>
              <c:numCache>
                <c:formatCode>"$"#,##0.00</c:formatCode>
                <c:ptCount val="5"/>
                <c:pt idx="0">
                  <c:v>-11038.04</c:v>
                </c:pt>
                <c:pt idx="1">
                  <c:v>-999</c:v>
                </c:pt>
                <c:pt idx="2">
                  <c:v>6528.15</c:v>
                </c:pt>
                <c:pt idx="3">
                  <c:v>9038.2900000000009</c:v>
                </c:pt>
                <c:pt idx="4">
                  <c:v>11548.43</c:v>
                </c:pt>
              </c:numCache>
            </c:numRef>
          </c:val>
          <c:smooth val="0"/>
          <c:extLst>
            <c:ext xmlns:c16="http://schemas.microsoft.com/office/drawing/2014/chart" uri="{C3380CC4-5D6E-409C-BE32-E72D297353CC}">
              <c16:uniqueId val="{00000000-501D-0C43-8E77-28759E1A2847}"/>
            </c:ext>
          </c:extLst>
        </c:ser>
        <c:ser>
          <c:idx val="1"/>
          <c:order val="1"/>
          <c:tx>
            <c:strRef>
              <c:f>'Project 2'!$AE$33:$AE$35</c:f>
              <c:strCache>
                <c:ptCount val="3"/>
                <c:pt idx="0">
                  <c:v>SERIES FOR PLOTTING</c:v>
                </c:pt>
                <c:pt idx="1">
                  <c:v>2F-2E NET PRESENT VALUE WITH MARR</c:v>
                </c:pt>
                <c:pt idx="2">
                  <c:v>Useful Life</c:v>
                </c:pt>
              </c:strCache>
            </c:strRef>
          </c:tx>
          <c:spPr>
            <a:ln cmpd="sng">
              <a:solidFill>
                <a:srgbClr val="EA4335"/>
              </a:solidFill>
            </a:ln>
          </c:spPr>
          <c:marker>
            <c:symbol val="circle"/>
            <c:size val="5"/>
            <c:spPr>
              <a:solidFill>
                <a:srgbClr val="EA4335"/>
              </a:solidFill>
              <a:ln cmpd="sng">
                <a:solidFill>
                  <a:srgbClr val="EA4335"/>
                </a:solidFill>
              </a:ln>
            </c:spPr>
          </c:marker>
          <c:cat>
            <c:strRef>
              <c:f>'Project 2'!$AC$36:$AC$40</c:f>
              <c:strCache>
                <c:ptCount val="5"/>
                <c:pt idx="0">
                  <c:v>Very Low</c:v>
                </c:pt>
                <c:pt idx="1">
                  <c:v>Low</c:v>
                </c:pt>
                <c:pt idx="2">
                  <c:v>Base</c:v>
                </c:pt>
                <c:pt idx="3">
                  <c:v>High</c:v>
                </c:pt>
                <c:pt idx="4">
                  <c:v>Very High</c:v>
                </c:pt>
              </c:strCache>
            </c:strRef>
          </c:cat>
          <c:val>
            <c:numRef>
              <c:f>'Project 2'!$AE$36:$AE$40</c:f>
              <c:numCache>
                <c:formatCode>"$"#,##0.00</c:formatCode>
                <c:ptCount val="5"/>
                <c:pt idx="0">
                  <c:v>4676.7240408844382</c:v>
                </c:pt>
                <c:pt idx="1">
                  <c:v>5730.9822615383282</c:v>
                </c:pt>
                <c:pt idx="2">
                  <c:v>6528.1529387813453</c:v>
                </c:pt>
                <c:pt idx="3">
                  <c:v>7130.928498133344</c:v>
                </c:pt>
                <c:pt idx="4">
                  <c:v>7771.0551479466394</c:v>
                </c:pt>
              </c:numCache>
            </c:numRef>
          </c:val>
          <c:smooth val="0"/>
          <c:extLst>
            <c:ext xmlns:c16="http://schemas.microsoft.com/office/drawing/2014/chart" uri="{C3380CC4-5D6E-409C-BE32-E72D297353CC}">
              <c16:uniqueId val="{00000001-501D-0C43-8E77-28759E1A2847}"/>
            </c:ext>
          </c:extLst>
        </c:ser>
        <c:ser>
          <c:idx val="2"/>
          <c:order val="2"/>
          <c:tx>
            <c:strRef>
              <c:f>'Project 2'!$AF$33:$AF$35</c:f>
              <c:strCache>
                <c:ptCount val="3"/>
                <c:pt idx="0">
                  <c:v>SERIES FOR PLOTTING</c:v>
                </c:pt>
                <c:pt idx="1">
                  <c:v>2F-2E NET PRESENT VALUE WITH MARR</c:v>
                </c:pt>
                <c:pt idx="2">
                  <c:v>Salvage Value</c:v>
                </c:pt>
              </c:strCache>
            </c:strRef>
          </c:tx>
          <c:spPr>
            <a:ln cmpd="sng">
              <a:solidFill>
                <a:srgbClr val="FBBC04"/>
              </a:solidFill>
            </a:ln>
          </c:spPr>
          <c:marker>
            <c:symbol val="circle"/>
            <c:size val="5"/>
            <c:spPr>
              <a:solidFill>
                <a:srgbClr val="FBBC04"/>
              </a:solidFill>
              <a:ln cmpd="sng">
                <a:solidFill>
                  <a:srgbClr val="FBBC04"/>
                </a:solidFill>
              </a:ln>
            </c:spPr>
          </c:marker>
          <c:cat>
            <c:strRef>
              <c:f>'Project 2'!$AC$36:$AC$40</c:f>
              <c:strCache>
                <c:ptCount val="5"/>
                <c:pt idx="0">
                  <c:v>Very Low</c:v>
                </c:pt>
                <c:pt idx="1">
                  <c:v>Low</c:v>
                </c:pt>
                <c:pt idx="2">
                  <c:v>Base</c:v>
                </c:pt>
                <c:pt idx="3">
                  <c:v>High</c:v>
                </c:pt>
                <c:pt idx="4">
                  <c:v>Very High</c:v>
                </c:pt>
              </c:strCache>
            </c:strRef>
          </c:cat>
          <c:val>
            <c:numRef>
              <c:f>'Project 2'!$AF$36:$AF$40</c:f>
              <c:numCache>
                <c:formatCode>"$"#,##0.00</c:formatCode>
                <c:ptCount val="5"/>
                <c:pt idx="0">
                  <c:v>6528.1529389999996</c:v>
                </c:pt>
                <c:pt idx="1">
                  <c:v>6528.1529389999996</c:v>
                </c:pt>
                <c:pt idx="2">
                  <c:v>6528.1529389999996</c:v>
                </c:pt>
                <c:pt idx="3">
                  <c:v>7146.1147039999996</c:v>
                </c:pt>
                <c:pt idx="4">
                  <c:v>7764.0764689999996</c:v>
                </c:pt>
              </c:numCache>
            </c:numRef>
          </c:val>
          <c:smooth val="0"/>
          <c:extLst>
            <c:ext xmlns:c16="http://schemas.microsoft.com/office/drawing/2014/chart" uri="{C3380CC4-5D6E-409C-BE32-E72D297353CC}">
              <c16:uniqueId val="{00000002-501D-0C43-8E77-28759E1A2847}"/>
            </c:ext>
          </c:extLst>
        </c:ser>
        <c:dLbls>
          <c:showLegendKey val="0"/>
          <c:showVal val="0"/>
          <c:showCatName val="0"/>
          <c:showSerName val="0"/>
          <c:showPercent val="0"/>
          <c:showBubbleSize val="0"/>
        </c:dLbls>
        <c:marker val="1"/>
        <c:smooth val="0"/>
        <c:axId val="963166550"/>
        <c:axId val="124016074"/>
      </c:lineChart>
      <c:catAx>
        <c:axId val="96316655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24016074"/>
        <c:crosses val="autoZero"/>
        <c:auto val="1"/>
        <c:lblAlgn val="ctr"/>
        <c:lblOffset val="100"/>
        <c:noMultiLvlLbl val="1"/>
      </c:catAx>
      <c:valAx>
        <c:axId val="1240160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96316655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2F-2E NET PRESENT VALUE WITH AVERAGE RETURN</a:t>
            </a:r>
          </a:p>
        </c:rich>
      </c:tx>
      <c:overlay val="0"/>
    </c:title>
    <c:autoTitleDeleted val="0"/>
    <c:plotArea>
      <c:layout/>
      <c:lineChart>
        <c:grouping val="standard"/>
        <c:varyColors val="1"/>
        <c:ser>
          <c:idx val="0"/>
          <c:order val="0"/>
          <c:tx>
            <c:strRef>
              <c:f>'Project 2'!$AH$33:$AH$35</c:f>
              <c:strCache>
                <c:ptCount val="3"/>
                <c:pt idx="1">
                  <c:v>2F-2E NET PRESENT VALUE WITH AVERAGE RETURN</c:v>
                </c:pt>
                <c:pt idx="2">
                  <c:v>Annual Benefit</c:v>
                </c:pt>
              </c:strCache>
            </c:strRef>
          </c:tx>
          <c:spPr>
            <a:ln cmpd="sng">
              <a:solidFill>
                <a:srgbClr val="4285F4"/>
              </a:solidFill>
            </a:ln>
          </c:spPr>
          <c:marker>
            <c:symbol val="circle"/>
            <c:size val="5"/>
            <c:spPr>
              <a:solidFill>
                <a:srgbClr val="4285F4"/>
              </a:solidFill>
              <a:ln cmpd="sng">
                <a:solidFill>
                  <a:srgbClr val="4285F4"/>
                </a:solidFill>
              </a:ln>
            </c:spPr>
          </c:marker>
          <c:cat>
            <c:strRef>
              <c:f>'Project 2'!$AG$36:$AG$40</c:f>
              <c:strCache>
                <c:ptCount val="5"/>
                <c:pt idx="0">
                  <c:v>Very Low</c:v>
                </c:pt>
                <c:pt idx="1">
                  <c:v>Low</c:v>
                </c:pt>
                <c:pt idx="2">
                  <c:v>Base</c:v>
                </c:pt>
                <c:pt idx="3">
                  <c:v>High</c:v>
                </c:pt>
                <c:pt idx="4">
                  <c:v>Very High</c:v>
                </c:pt>
              </c:strCache>
            </c:strRef>
          </c:cat>
          <c:val>
            <c:numRef>
              <c:f>'Project 2'!$AH$36:$AH$40</c:f>
              <c:numCache>
                <c:formatCode>"$"#,##0.00</c:formatCode>
                <c:ptCount val="5"/>
                <c:pt idx="0">
                  <c:v>-9385.36</c:v>
                </c:pt>
                <c:pt idx="1">
                  <c:v>-999.16</c:v>
                </c:pt>
                <c:pt idx="2">
                  <c:v>5288.71</c:v>
                </c:pt>
                <c:pt idx="3">
                  <c:v>7385.57</c:v>
                </c:pt>
                <c:pt idx="4">
                  <c:v>9482.44</c:v>
                </c:pt>
              </c:numCache>
            </c:numRef>
          </c:val>
          <c:smooth val="0"/>
          <c:extLst>
            <c:ext xmlns:c16="http://schemas.microsoft.com/office/drawing/2014/chart" uri="{C3380CC4-5D6E-409C-BE32-E72D297353CC}">
              <c16:uniqueId val="{00000000-F8FF-984F-96AB-FD8CFA5E1230}"/>
            </c:ext>
          </c:extLst>
        </c:ser>
        <c:ser>
          <c:idx val="1"/>
          <c:order val="1"/>
          <c:tx>
            <c:strRef>
              <c:f>'Project 2'!$AI$33:$AI$35</c:f>
              <c:strCache>
                <c:ptCount val="3"/>
                <c:pt idx="1">
                  <c:v>2F-2E NET PRESENT VALUE WITH AVERAGE RETURN</c:v>
                </c:pt>
                <c:pt idx="2">
                  <c:v>Useful Life</c:v>
                </c:pt>
              </c:strCache>
            </c:strRef>
          </c:tx>
          <c:spPr>
            <a:ln cmpd="sng">
              <a:solidFill>
                <a:srgbClr val="EA4335"/>
              </a:solidFill>
            </a:ln>
          </c:spPr>
          <c:marker>
            <c:symbol val="circle"/>
            <c:size val="5"/>
            <c:spPr>
              <a:solidFill>
                <a:srgbClr val="EA4335"/>
              </a:solidFill>
              <a:ln cmpd="sng">
                <a:solidFill>
                  <a:srgbClr val="EA4335"/>
                </a:solidFill>
              </a:ln>
            </c:spPr>
          </c:marker>
          <c:cat>
            <c:strRef>
              <c:f>'Project 2'!$AG$36:$AG$40</c:f>
              <c:strCache>
                <c:ptCount val="5"/>
                <c:pt idx="0">
                  <c:v>Very Low</c:v>
                </c:pt>
                <c:pt idx="1">
                  <c:v>Low</c:v>
                </c:pt>
                <c:pt idx="2">
                  <c:v>Base</c:v>
                </c:pt>
                <c:pt idx="3">
                  <c:v>High</c:v>
                </c:pt>
                <c:pt idx="4">
                  <c:v>Very High</c:v>
                </c:pt>
              </c:strCache>
            </c:strRef>
          </c:cat>
          <c:val>
            <c:numRef>
              <c:f>'Project 2'!$AI$36:$AI$40</c:f>
              <c:numCache>
                <c:formatCode>"$"#,##0.00</c:formatCode>
                <c:ptCount val="5"/>
                <c:pt idx="0">
                  <c:v>3988.2651748971193</c:v>
                </c:pt>
                <c:pt idx="1">
                  <c:v>4755.7397047896666</c:v>
                </c:pt>
                <c:pt idx="2">
                  <c:v>5288.7081283261577</c:v>
                </c:pt>
                <c:pt idx="3">
                  <c:v>5658.8250891153884</c:v>
                </c:pt>
                <c:pt idx="4">
                  <c:v>6013.2089636084438</c:v>
                </c:pt>
              </c:numCache>
            </c:numRef>
          </c:val>
          <c:smooth val="0"/>
          <c:extLst>
            <c:ext xmlns:c16="http://schemas.microsoft.com/office/drawing/2014/chart" uri="{C3380CC4-5D6E-409C-BE32-E72D297353CC}">
              <c16:uniqueId val="{00000001-F8FF-984F-96AB-FD8CFA5E1230}"/>
            </c:ext>
          </c:extLst>
        </c:ser>
        <c:ser>
          <c:idx val="2"/>
          <c:order val="2"/>
          <c:tx>
            <c:strRef>
              <c:f>'Project 2'!$AJ$33:$AJ$35</c:f>
              <c:strCache>
                <c:ptCount val="3"/>
                <c:pt idx="1">
                  <c:v>2F-2E NET PRESENT VALUE WITH AVERAGE RETURN</c:v>
                </c:pt>
                <c:pt idx="2">
                  <c:v>Salvage Value</c:v>
                </c:pt>
              </c:strCache>
            </c:strRef>
          </c:tx>
          <c:spPr>
            <a:ln cmpd="sng">
              <a:solidFill>
                <a:srgbClr val="FBBC04"/>
              </a:solidFill>
            </a:ln>
          </c:spPr>
          <c:marker>
            <c:symbol val="circle"/>
            <c:size val="5"/>
            <c:spPr>
              <a:solidFill>
                <a:srgbClr val="FBBC04"/>
              </a:solidFill>
              <a:ln cmpd="sng">
                <a:solidFill>
                  <a:srgbClr val="FBBC04"/>
                </a:solidFill>
              </a:ln>
            </c:spPr>
          </c:marker>
          <c:cat>
            <c:strRef>
              <c:f>'Project 2'!$AG$36:$AG$40</c:f>
              <c:strCache>
                <c:ptCount val="5"/>
                <c:pt idx="0">
                  <c:v>Very Low</c:v>
                </c:pt>
                <c:pt idx="1">
                  <c:v>Low</c:v>
                </c:pt>
                <c:pt idx="2">
                  <c:v>Base</c:v>
                </c:pt>
                <c:pt idx="3">
                  <c:v>High</c:v>
                </c:pt>
                <c:pt idx="4">
                  <c:v>Very High</c:v>
                </c:pt>
              </c:strCache>
            </c:strRef>
          </c:cat>
          <c:val>
            <c:numRef>
              <c:f>'Project 2'!$AJ$36:$AJ$40</c:f>
              <c:numCache>
                <c:formatCode>"$"#,##0.00</c:formatCode>
                <c:ptCount val="5"/>
                <c:pt idx="0">
                  <c:v>5288.7081280000002</c:v>
                </c:pt>
                <c:pt idx="1">
                  <c:v>5288.7081280000002</c:v>
                </c:pt>
                <c:pt idx="2">
                  <c:v>5288.7081280000002</c:v>
                </c:pt>
                <c:pt idx="3">
                  <c:v>5692.4720859999998</c:v>
                </c:pt>
                <c:pt idx="4">
                  <c:v>6096.2360429999999</c:v>
                </c:pt>
              </c:numCache>
            </c:numRef>
          </c:val>
          <c:smooth val="0"/>
          <c:extLst>
            <c:ext xmlns:c16="http://schemas.microsoft.com/office/drawing/2014/chart" uri="{C3380CC4-5D6E-409C-BE32-E72D297353CC}">
              <c16:uniqueId val="{00000002-F8FF-984F-96AB-FD8CFA5E1230}"/>
            </c:ext>
          </c:extLst>
        </c:ser>
        <c:dLbls>
          <c:showLegendKey val="0"/>
          <c:showVal val="0"/>
          <c:showCatName val="0"/>
          <c:showSerName val="0"/>
          <c:showPercent val="0"/>
          <c:showBubbleSize val="0"/>
        </c:dLbls>
        <c:marker val="1"/>
        <c:smooth val="0"/>
        <c:axId val="1052870511"/>
        <c:axId val="523112653"/>
      </c:lineChart>
      <c:catAx>
        <c:axId val="1052870511"/>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23112653"/>
        <c:crosses val="autoZero"/>
        <c:auto val="1"/>
        <c:lblAlgn val="ctr"/>
        <c:lblOffset val="100"/>
        <c:noMultiLvlLbl val="1"/>
      </c:catAx>
      <c:valAx>
        <c:axId val="5231126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05287051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2E NET PRESENT VALUE WITH MARR</a:t>
            </a:r>
          </a:p>
        </c:rich>
      </c:tx>
      <c:overlay val="0"/>
    </c:title>
    <c:autoTitleDeleted val="0"/>
    <c:plotArea>
      <c:layout/>
      <c:lineChart>
        <c:grouping val="standard"/>
        <c:varyColors val="1"/>
        <c:ser>
          <c:idx val="0"/>
          <c:order val="0"/>
          <c:tx>
            <c:strRef>
              <c:f>'Project 2'!$AD$42:$AD$43</c:f>
              <c:strCache>
                <c:ptCount val="2"/>
                <c:pt idx="0">
                  <c:v>2E NET PRESENT VALUE WITH MARR</c:v>
                </c:pt>
                <c:pt idx="1">
                  <c:v>Annual Benefit</c:v>
                </c:pt>
              </c:strCache>
            </c:strRef>
          </c:tx>
          <c:spPr>
            <a:ln cmpd="sng">
              <a:solidFill>
                <a:srgbClr val="4285F4"/>
              </a:solidFill>
            </a:ln>
          </c:spPr>
          <c:marker>
            <c:symbol val="circle"/>
            <c:size val="5"/>
            <c:spPr>
              <a:solidFill>
                <a:srgbClr val="4285F4"/>
              </a:solidFill>
              <a:ln cmpd="sng">
                <a:solidFill>
                  <a:srgbClr val="4285F4"/>
                </a:solidFill>
              </a:ln>
            </c:spPr>
          </c:marker>
          <c:cat>
            <c:strRef>
              <c:f>'Project 2'!$AC$44:$AC$48</c:f>
              <c:strCache>
                <c:ptCount val="5"/>
                <c:pt idx="0">
                  <c:v>Very Low</c:v>
                </c:pt>
                <c:pt idx="1">
                  <c:v>Low</c:v>
                </c:pt>
                <c:pt idx="2">
                  <c:v>Base</c:v>
                </c:pt>
                <c:pt idx="3">
                  <c:v>High</c:v>
                </c:pt>
                <c:pt idx="4">
                  <c:v>Very High</c:v>
                </c:pt>
              </c:strCache>
            </c:strRef>
          </c:cat>
          <c:val>
            <c:numRef>
              <c:f>'Project 2'!$AD$44:$AD$48</c:f>
              <c:numCache>
                <c:formatCode>"$"#,##0.00</c:formatCode>
                <c:ptCount val="5"/>
                <c:pt idx="0">
                  <c:v>-3924.42</c:v>
                </c:pt>
                <c:pt idx="1">
                  <c:v>1092.8399999999999</c:v>
                </c:pt>
                <c:pt idx="2">
                  <c:v>8622</c:v>
                </c:pt>
                <c:pt idx="3">
                  <c:v>11130.63</c:v>
                </c:pt>
                <c:pt idx="4">
                  <c:v>13639.26</c:v>
                </c:pt>
              </c:numCache>
            </c:numRef>
          </c:val>
          <c:smooth val="0"/>
          <c:extLst>
            <c:ext xmlns:c16="http://schemas.microsoft.com/office/drawing/2014/chart" uri="{C3380CC4-5D6E-409C-BE32-E72D297353CC}">
              <c16:uniqueId val="{00000000-83FF-3341-8194-4F904A794BBD}"/>
            </c:ext>
          </c:extLst>
        </c:ser>
        <c:ser>
          <c:idx val="1"/>
          <c:order val="1"/>
          <c:tx>
            <c:strRef>
              <c:f>'Project 2'!$AE$42:$AE$43</c:f>
              <c:strCache>
                <c:ptCount val="2"/>
                <c:pt idx="0">
                  <c:v>2E NET PRESENT VALUE WITH MARR</c:v>
                </c:pt>
                <c:pt idx="1">
                  <c:v>Useful Life</c:v>
                </c:pt>
              </c:strCache>
            </c:strRef>
          </c:tx>
          <c:spPr>
            <a:ln cmpd="sng">
              <a:solidFill>
                <a:srgbClr val="EA4335"/>
              </a:solidFill>
            </a:ln>
          </c:spPr>
          <c:marker>
            <c:symbol val="circle"/>
            <c:size val="5"/>
            <c:spPr>
              <a:solidFill>
                <a:srgbClr val="EA4335"/>
              </a:solidFill>
              <a:ln cmpd="sng">
                <a:solidFill>
                  <a:srgbClr val="EA4335"/>
                </a:solidFill>
              </a:ln>
            </c:spPr>
          </c:marker>
          <c:cat>
            <c:strRef>
              <c:f>'Project 2'!$AC$44:$AC$48</c:f>
              <c:strCache>
                <c:ptCount val="5"/>
                <c:pt idx="0">
                  <c:v>Very Low</c:v>
                </c:pt>
                <c:pt idx="1">
                  <c:v>Low</c:v>
                </c:pt>
                <c:pt idx="2">
                  <c:v>Base</c:v>
                </c:pt>
                <c:pt idx="3">
                  <c:v>High</c:v>
                </c:pt>
                <c:pt idx="4">
                  <c:v>Very High</c:v>
                </c:pt>
              </c:strCache>
            </c:strRef>
          </c:cat>
          <c:val>
            <c:numRef>
              <c:f>'Project 2'!$AE$44:$AE$48</c:f>
              <c:numCache>
                <c:formatCode>"$"#,##0.00</c:formatCode>
                <c:ptCount val="5"/>
                <c:pt idx="0">
                  <c:v>599.13751049923303</c:v>
                </c:pt>
                <c:pt idx="1">
                  <c:v>5167.5897999994231</c:v>
                </c:pt>
                <c:pt idx="2">
                  <c:v>8621.9960680524964</c:v>
                </c:pt>
                <c:pt idx="3">
                  <c:v>11234.023491911161</c:v>
                </c:pt>
                <c:pt idx="4">
                  <c:v>14007.905641102116</c:v>
                </c:pt>
              </c:numCache>
            </c:numRef>
          </c:val>
          <c:smooth val="0"/>
          <c:extLst>
            <c:ext xmlns:c16="http://schemas.microsoft.com/office/drawing/2014/chart" uri="{C3380CC4-5D6E-409C-BE32-E72D297353CC}">
              <c16:uniqueId val="{00000001-83FF-3341-8194-4F904A794BBD}"/>
            </c:ext>
          </c:extLst>
        </c:ser>
        <c:ser>
          <c:idx val="2"/>
          <c:order val="2"/>
          <c:tx>
            <c:strRef>
              <c:f>'Project 2'!$AF$42:$AF$43</c:f>
              <c:strCache>
                <c:ptCount val="2"/>
                <c:pt idx="0">
                  <c:v>2E NET PRESENT VALUE WITH MARR</c:v>
                </c:pt>
                <c:pt idx="1">
                  <c:v>Salvage Value</c:v>
                </c:pt>
              </c:strCache>
            </c:strRef>
          </c:tx>
          <c:spPr>
            <a:ln cmpd="sng">
              <a:solidFill>
                <a:srgbClr val="FBBC04"/>
              </a:solidFill>
            </a:ln>
          </c:spPr>
          <c:marker>
            <c:symbol val="circle"/>
            <c:size val="5"/>
            <c:spPr>
              <a:solidFill>
                <a:srgbClr val="FBBC04"/>
              </a:solidFill>
              <a:ln cmpd="sng">
                <a:solidFill>
                  <a:srgbClr val="FBBC04"/>
                </a:solidFill>
              </a:ln>
            </c:spPr>
          </c:marker>
          <c:cat>
            <c:strRef>
              <c:f>'Project 2'!$AC$44:$AC$48</c:f>
              <c:strCache>
                <c:ptCount val="5"/>
                <c:pt idx="0">
                  <c:v>Very Low</c:v>
                </c:pt>
                <c:pt idx="1">
                  <c:v>Low</c:v>
                </c:pt>
                <c:pt idx="2">
                  <c:v>Base</c:v>
                </c:pt>
                <c:pt idx="3">
                  <c:v>High</c:v>
                </c:pt>
                <c:pt idx="4">
                  <c:v>Very High</c:v>
                </c:pt>
              </c:strCache>
            </c:strRef>
          </c:cat>
          <c:val>
            <c:numRef>
              <c:f>'Project 2'!$AF$44:$AF$48</c:f>
              <c:numCache>
                <c:formatCode>"$"#,##0.00</c:formatCode>
                <c:ptCount val="5"/>
                <c:pt idx="0">
                  <c:v>8621.9960680000004</c:v>
                </c:pt>
                <c:pt idx="1">
                  <c:v>8621.9960680000004</c:v>
                </c:pt>
                <c:pt idx="2">
                  <c:v>8621.9960680000004</c:v>
                </c:pt>
                <c:pt idx="3">
                  <c:v>9239.9578330000004</c:v>
                </c:pt>
                <c:pt idx="4">
                  <c:v>9857.9195990000007</c:v>
                </c:pt>
              </c:numCache>
            </c:numRef>
          </c:val>
          <c:smooth val="0"/>
          <c:extLst>
            <c:ext xmlns:c16="http://schemas.microsoft.com/office/drawing/2014/chart" uri="{C3380CC4-5D6E-409C-BE32-E72D297353CC}">
              <c16:uniqueId val="{00000002-83FF-3341-8194-4F904A794BBD}"/>
            </c:ext>
          </c:extLst>
        </c:ser>
        <c:dLbls>
          <c:showLegendKey val="0"/>
          <c:showVal val="0"/>
          <c:showCatName val="0"/>
          <c:showSerName val="0"/>
          <c:showPercent val="0"/>
          <c:showBubbleSize val="0"/>
        </c:dLbls>
        <c:marker val="1"/>
        <c:smooth val="0"/>
        <c:axId val="1232381742"/>
        <c:axId val="725823030"/>
      </c:lineChart>
      <c:catAx>
        <c:axId val="1232381742"/>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25823030"/>
        <c:crosses val="autoZero"/>
        <c:auto val="1"/>
        <c:lblAlgn val="ctr"/>
        <c:lblOffset val="100"/>
        <c:noMultiLvlLbl val="1"/>
      </c:catAx>
      <c:valAx>
        <c:axId val="7258230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23238174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2F NET PRESENT VALUE WITH MARR</a:t>
            </a:r>
          </a:p>
        </c:rich>
      </c:tx>
      <c:overlay val="0"/>
    </c:title>
    <c:autoTitleDeleted val="0"/>
    <c:plotArea>
      <c:layout/>
      <c:lineChart>
        <c:grouping val="standard"/>
        <c:varyColors val="1"/>
        <c:ser>
          <c:idx val="0"/>
          <c:order val="0"/>
          <c:tx>
            <c:strRef>
              <c:f>'Project 2'!$AH$43</c:f>
              <c:strCache>
                <c:ptCount val="1"/>
                <c:pt idx="0">
                  <c:v>Annual Benefit</c:v>
                </c:pt>
              </c:strCache>
            </c:strRef>
          </c:tx>
          <c:spPr>
            <a:ln cmpd="sng">
              <a:solidFill>
                <a:srgbClr val="4285F4"/>
              </a:solidFill>
            </a:ln>
          </c:spPr>
          <c:marker>
            <c:symbol val="circle"/>
            <c:size val="5"/>
            <c:spPr>
              <a:solidFill>
                <a:srgbClr val="4285F4"/>
              </a:solidFill>
              <a:ln cmpd="sng">
                <a:solidFill>
                  <a:srgbClr val="4285F4"/>
                </a:solidFill>
              </a:ln>
            </c:spPr>
          </c:marker>
          <c:cat>
            <c:strRef>
              <c:f>'Project 2'!$AG$44:$AG$48</c:f>
              <c:strCache>
                <c:ptCount val="5"/>
                <c:pt idx="0">
                  <c:v>Very Low</c:v>
                </c:pt>
                <c:pt idx="1">
                  <c:v>Low</c:v>
                </c:pt>
                <c:pt idx="2">
                  <c:v>Base</c:v>
                </c:pt>
                <c:pt idx="3">
                  <c:v>High</c:v>
                </c:pt>
                <c:pt idx="4">
                  <c:v>Very High</c:v>
                </c:pt>
              </c:strCache>
            </c:strRef>
          </c:cat>
          <c:val>
            <c:numRef>
              <c:f>'Project 2'!$AH$44:$AH$48</c:f>
              <c:numCache>
                <c:formatCode>"$"#,##0.00</c:formatCode>
                <c:ptCount val="5"/>
                <c:pt idx="0">
                  <c:v>-14962.46</c:v>
                </c:pt>
                <c:pt idx="1">
                  <c:v>93.84</c:v>
                </c:pt>
                <c:pt idx="2">
                  <c:v>15150.15</c:v>
                </c:pt>
                <c:pt idx="3">
                  <c:v>20168.919999999998</c:v>
                </c:pt>
                <c:pt idx="4">
                  <c:v>25187.69</c:v>
                </c:pt>
              </c:numCache>
            </c:numRef>
          </c:val>
          <c:smooth val="0"/>
          <c:extLst>
            <c:ext xmlns:c16="http://schemas.microsoft.com/office/drawing/2014/chart" uri="{C3380CC4-5D6E-409C-BE32-E72D297353CC}">
              <c16:uniqueId val="{00000000-A237-3C46-A18B-48C0B3FDC496}"/>
            </c:ext>
          </c:extLst>
        </c:ser>
        <c:ser>
          <c:idx val="1"/>
          <c:order val="1"/>
          <c:tx>
            <c:strRef>
              <c:f>'Project 2'!$AI$43</c:f>
              <c:strCache>
                <c:ptCount val="1"/>
                <c:pt idx="0">
                  <c:v>Useful Life</c:v>
                </c:pt>
              </c:strCache>
            </c:strRef>
          </c:tx>
          <c:spPr>
            <a:ln cmpd="sng">
              <a:solidFill>
                <a:srgbClr val="EA4335"/>
              </a:solidFill>
            </a:ln>
          </c:spPr>
          <c:marker>
            <c:symbol val="circle"/>
            <c:size val="5"/>
            <c:spPr>
              <a:solidFill>
                <a:srgbClr val="EA4335"/>
              </a:solidFill>
              <a:ln cmpd="sng">
                <a:solidFill>
                  <a:srgbClr val="EA4335"/>
                </a:solidFill>
              </a:ln>
            </c:spPr>
          </c:marker>
          <c:cat>
            <c:strRef>
              <c:f>'Project 2'!$AG$44:$AG$48</c:f>
              <c:strCache>
                <c:ptCount val="5"/>
                <c:pt idx="0">
                  <c:v>Very Low</c:v>
                </c:pt>
                <c:pt idx="1">
                  <c:v>Low</c:v>
                </c:pt>
                <c:pt idx="2">
                  <c:v>Base</c:v>
                </c:pt>
                <c:pt idx="3">
                  <c:v>High</c:v>
                </c:pt>
                <c:pt idx="4">
                  <c:v>Very High</c:v>
                </c:pt>
              </c:strCache>
            </c:strRef>
          </c:cat>
          <c:val>
            <c:numRef>
              <c:f>'Project 2'!$AI$44:$AI$48</c:f>
              <c:numCache>
                <c:formatCode>"$"#,##0.00</c:formatCode>
                <c:ptCount val="5"/>
                <c:pt idx="0">
                  <c:v>5275.8615513836703</c:v>
                </c:pt>
                <c:pt idx="1">
                  <c:v>10898.57206153775</c:v>
                </c:pt>
                <c:pt idx="2">
                  <c:v>15150.149006833846</c:v>
                </c:pt>
                <c:pt idx="3">
                  <c:v>18364.951990044508</c:v>
                </c:pt>
                <c:pt idx="4">
                  <c:v>21778.960789048753</c:v>
                </c:pt>
              </c:numCache>
            </c:numRef>
          </c:val>
          <c:smooth val="0"/>
          <c:extLst>
            <c:ext xmlns:c16="http://schemas.microsoft.com/office/drawing/2014/chart" uri="{C3380CC4-5D6E-409C-BE32-E72D297353CC}">
              <c16:uniqueId val="{00000001-A237-3C46-A18B-48C0B3FDC496}"/>
            </c:ext>
          </c:extLst>
        </c:ser>
        <c:ser>
          <c:idx val="2"/>
          <c:order val="2"/>
          <c:tx>
            <c:strRef>
              <c:f>'Project 2'!$AJ$43</c:f>
              <c:strCache>
                <c:ptCount val="1"/>
                <c:pt idx="0">
                  <c:v>Salvage Value</c:v>
                </c:pt>
              </c:strCache>
            </c:strRef>
          </c:tx>
          <c:spPr>
            <a:ln cmpd="sng">
              <a:solidFill>
                <a:srgbClr val="FBBC04"/>
              </a:solidFill>
            </a:ln>
          </c:spPr>
          <c:marker>
            <c:symbol val="circle"/>
            <c:size val="5"/>
            <c:spPr>
              <a:solidFill>
                <a:srgbClr val="FBBC04"/>
              </a:solidFill>
              <a:ln cmpd="sng">
                <a:solidFill>
                  <a:srgbClr val="FBBC04"/>
                </a:solidFill>
              </a:ln>
            </c:spPr>
          </c:marker>
          <c:cat>
            <c:strRef>
              <c:f>'Project 2'!$AG$44:$AG$48</c:f>
              <c:strCache>
                <c:ptCount val="5"/>
                <c:pt idx="0">
                  <c:v>Very Low</c:v>
                </c:pt>
                <c:pt idx="1">
                  <c:v>Low</c:v>
                </c:pt>
                <c:pt idx="2">
                  <c:v>Base</c:v>
                </c:pt>
                <c:pt idx="3">
                  <c:v>High</c:v>
                </c:pt>
                <c:pt idx="4">
                  <c:v>Very High</c:v>
                </c:pt>
              </c:strCache>
            </c:strRef>
          </c:cat>
          <c:val>
            <c:numRef>
              <c:f>'Project 2'!$AJ$44:$AJ$48</c:f>
              <c:numCache>
                <c:formatCode>"$"#,##0.00</c:formatCode>
                <c:ptCount val="5"/>
                <c:pt idx="0">
                  <c:v>15150.149009999999</c:v>
                </c:pt>
                <c:pt idx="1">
                  <c:v>15150.149009999999</c:v>
                </c:pt>
                <c:pt idx="2">
                  <c:v>15150.149009999999</c:v>
                </c:pt>
                <c:pt idx="3">
                  <c:v>16386.072540000001</c:v>
                </c:pt>
                <c:pt idx="4">
                  <c:v>17621.996070000001</c:v>
                </c:pt>
              </c:numCache>
            </c:numRef>
          </c:val>
          <c:smooth val="0"/>
          <c:extLst>
            <c:ext xmlns:c16="http://schemas.microsoft.com/office/drawing/2014/chart" uri="{C3380CC4-5D6E-409C-BE32-E72D297353CC}">
              <c16:uniqueId val="{00000002-A237-3C46-A18B-48C0B3FDC496}"/>
            </c:ext>
          </c:extLst>
        </c:ser>
        <c:dLbls>
          <c:showLegendKey val="0"/>
          <c:showVal val="0"/>
          <c:showCatName val="0"/>
          <c:showSerName val="0"/>
          <c:showPercent val="0"/>
          <c:showBubbleSize val="0"/>
        </c:dLbls>
        <c:marker val="1"/>
        <c:smooth val="0"/>
        <c:axId val="1348549653"/>
        <c:axId val="2054772943"/>
      </c:lineChart>
      <c:catAx>
        <c:axId val="1348549653"/>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54772943"/>
        <c:crosses val="autoZero"/>
        <c:auto val="1"/>
        <c:lblAlgn val="ctr"/>
        <c:lblOffset val="100"/>
        <c:noMultiLvlLbl val="1"/>
      </c:catAx>
      <c:valAx>
        <c:axId val="20547729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34854965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2E NET PRESENT VALUE WITH AVG RETURN</a:t>
            </a:r>
          </a:p>
        </c:rich>
      </c:tx>
      <c:overlay val="0"/>
    </c:title>
    <c:autoTitleDeleted val="0"/>
    <c:plotArea>
      <c:layout/>
      <c:lineChart>
        <c:grouping val="standard"/>
        <c:varyColors val="1"/>
        <c:ser>
          <c:idx val="0"/>
          <c:order val="0"/>
          <c:tx>
            <c:strRef>
              <c:f>'Project 2'!$AD$50:$AD$51</c:f>
              <c:strCache>
                <c:ptCount val="2"/>
                <c:pt idx="0">
                  <c:v>2E NET PRESENT VALUE WITH AVG RETURN</c:v>
                </c:pt>
                <c:pt idx="1">
                  <c:v>Annual Benefit</c:v>
                </c:pt>
              </c:strCache>
            </c:strRef>
          </c:tx>
          <c:spPr>
            <a:ln cmpd="sng">
              <a:solidFill>
                <a:srgbClr val="4285F4"/>
              </a:solidFill>
            </a:ln>
          </c:spPr>
          <c:marker>
            <c:symbol val="circle"/>
            <c:size val="5"/>
            <c:spPr>
              <a:solidFill>
                <a:srgbClr val="4285F4"/>
              </a:solidFill>
              <a:ln cmpd="sng">
                <a:solidFill>
                  <a:srgbClr val="4285F4"/>
                </a:solidFill>
              </a:ln>
            </c:spPr>
          </c:marker>
          <c:cat>
            <c:strRef>
              <c:f>'Project 2'!$AC$52:$AC$56</c:f>
              <c:strCache>
                <c:ptCount val="5"/>
                <c:pt idx="0">
                  <c:v>Very Low</c:v>
                </c:pt>
                <c:pt idx="1">
                  <c:v>Low</c:v>
                </c:pt>
                <c:pt idx="2">
                  <c:v>Base</c:v>
                </c:pt>
                <c:pt idx="3">
                  <c:v>High</c:v>
                </c:pt>
                <c:pt idx="4">
                  <c:v>Very High</c:v>
                </c:pt>
              </c:strCache>
            </c:strRef>
          </c:cat>
          <c:val>
            <c:numRef>
              <c:f>'Project 2'!$AD$52:$AD$56</c:f>
              <c:numCache>
                <c:formatCode>"$"#,##0.00</c:formatCode>
                <c:ptCount val="5"/>
                <c:pt idx="0">
                  <c:v>-3924.42</c:v>
                </c:pt>
                <c:pt idx="1">
                  <c:v>-3038.48</c:v>
                </c:pt>
                <c:pt idx="2">
                  <c:v>3251.07</c:v>
                </c:pt>
                <c:pt idx="3">
                  <c:v>5346.68</c:v>
                </c:pt>
                <c:pt idx="4">
                  <c:v>7442.28</c:v>
                </c:pt>
              </c:numCache>
            </c:numRef>
          </c:val>
          <c:smooth val="0"/>
          <c:extLst>
            <c:ext xmlns:c16="http://schemas.microsoft.com/office/drawing/2014/chart" uri="{C3380CC4-5D6E-409C-BE32-E72D297353CC}">
              <c16:uniqueId val="{00000000-AFD1-3749-A175-19422E91D0C5}"/>
            </c:ext>
          </c:extLst>
        </c:ser>
        <c:ser>
          <c:idx val="1"/>
          <c:order val="1"/>
          <c:tx>
            <c:strRef>
              <c:f>'Project 2'!$AE$50:$AE$51</c:f>
              <c:strCache>
                <c:ptCount val="2"/>
                <c:pt idx="0">
                  <c:v>2E NET PRESENT VALUE WITH AVG RETURN</c:v>
                </c:pt>
                <c:pt idx="1">
                  <c:v>Useful Life</c:v>
                </c:pt>
              </c:strCache>
            </c:strRef>
          </c:tx>
          <c:spPr>
            <a:ln cmpd="sng">
              <a:solidFill>
                <a:srgbClr val="EA4335"/>
              </a:solidFill>
            </a:ln>
          </c:spPr>
          <c:marker>
            <c:symbol val="circle"/>
            <c:size val="5"/>
            <c:spPr>
              <a:solidFill>
                <a:srgbClr val="EA4335"/>
              </a:solidFill>
              <a:ln cmpd="sng">
                <a:solidFill>
                  <a:srgbClr val="EA4335"/>
                </a:solidFill>
              </a:ln>
            </c:spPr>
          </c:marker>
          <c:cat>
            <c:strRef>
              <c:f>'Project 2'!$AC$52:$AC$56</c:f>
              <c:strCache>
                <c:ptCount val="5"/>
                <c:pt idx="0">
                  <c:v>Very Low</c:v>
                </c:pt>
                <c:pt idx="1">
                  <c:v>Low</c:v>
                </c:pt>
                <c:pt idx="2">
                  <c:v>Base</c:v>
                </c:pt>
                <c:pt idx="3">
                  <c:v>High</c:v>
                </c:pt>
                <c:pt idx="4">
                  <c:v>Very High</c:v>
                </c:pt>
              </c:strCache>
            </c:strRef>
          </c:cat>
          <c:val>
            <c:numRef>
              <c:f>'Project 2'!$AE$52:$AE$56</c:f>
              <c:numCache>
                <c:formatCode>"$"#,##0.00</c:formatCode>
                <c:ptCount val="5"/>
                <c:pt idx="0">
                  <c:v>-2384.184242112482</c:v>
                </c:pt>
                <c:pt idx="1">
                  <c:v>941.53872075522304</c:v>
                </c:pt>
                <c:pt idx="2">
                  <c:v>3251.0685560800193</c:v>
                </c:pt>
                <c:pt idx="3">
                  <c:v>4854.9087195000175</c:v>
                </c:pt>
                <c:pt idx="4">
                  <c:v>6390.5721756365892</c:v>
                </c:pt>
              </c:numCache>
            </c:numRef>
          </c:val>
          <c:smooth val="0"/>
          <c:extLst>
            <c:ext xmlns:c16="http://schemas.microsoft.com/office/drawing/2014/chart" uri="{C3380CC4-5D6E-409C-BE32-E72D297353CC}">
              <c16:uniqueId val="{00000001-AFD1-3749-A175-19422E91D0C5}"/>
            </c:ext>
          </c:extLst>
        </c:ser>
        <c:ser>
          <c:idx val="2"/>
          <c:order val="2"/>
          <c:tx>
            <c:strRef>
              <c:f>'Project 2'!$AF$50:$AF$51</c:f>
              <c:strCache>
                <c:ptCount val="2"/>
                <c:pt idx="0">
                  <c:v>2E NET PRESENT VALUE WITH AVG RETURN</c:v>
                </c:pt>
                <c:pt idx="1">
                  <c:v>Salvage Value</c:v>
                </c:pt>
              </c:strCache>
            </c:strRef>
          </c:tx>
          <c:spPr>
            <a:ln cmpd="sng">
              <a:solidFill>
                <a:srgbClr val="FBBC04"/>
              </a:solidFill>
            </a:ln>
          </c:spPr>
          <c:marker>
            <c:symbol val="circle"/>
            <c:size val="5"/>
            <c:spPr>
              <a:solidFill>
                <a:srgbClr val="FBBC04"/>
              </a:solidFill>
              <a:ln cmpd="sng">
                <a:solidFill>
                  <a:srgbClr val="FBBC04"/>
                </a:solidFill>
              </a:ln>
            </c:spPr>
          </c:marker>
          <c:cat>
            <c:strRef>
              <c:f>'Project 2'!$AC$52:$AC$56</c:f>
              <c:strCache>
                <c:ptCount val="5"/>
                <c:pt idx="0">
                  <c:v>Very Low</c:v>
                </c:pt>
                <c:pt idx="1">
                  <c:v>Low</c:v>
                </c:pt>
                <c:pt idx="2">
                  <c:v>Base</c:v>
                </c:pt>
                <c:pt idx="3">
                  <c:v>High</c:v>
                </c:pt>
                <c:pt idx="4">
                  <c:v>Very High</c:v>
                </c:pt>
              </c:strCache>
            </c:strRef>
          </c:cat>
          <c:val>
            <c:numRef>
              <c:f>'Project 2'!$AF$52:$AF$56</c:f>
              <c:numCache>
                <c:formatCode>"$"#,##0.00</c:formatCode>
                <c:ptCount val="5"/>
                <c:pt idx="0">
                  <c:v>3251.0685560000002</c:v>
                </c:pt>
                <c:pt idx="1">
                  <c:v>3251.0685560000002</c:v>
                </c:pt>
                <c:pt idx="2">
                  <c:v>3251.0685560000002</c:v>
                </c:pt>
                <c:pt idx="3">
                  <c:v>3654.8325129999998</c:v>
                </c:pt>
                <c:pt idx="4">
                  <c:v>4058.5964709999998</c:v>
                </c:pt>
              </c:numCache>
            </c:numRef>
          </c:val>
          <c:smooth val="0"/>
          <c:extLst>
            <c:ext xmlns:c16="http://schemas.microsoft.com/office/drawing/2014/chart" uri="{C3380CC4-5D6E-409C-BE32-E72D297353CC}">
              <c16:uniqueId val="{00000002-AFD1-3749-A175-19422E91D0C5}"/>
            </c:ext>
          </c:extLst>
        </c:ser>
        <c:dLbls>
          <c:showLegendKey val="0"/>
          <c:showVal val="0"/>
          <c:showCatName val="0"/>
          <c:showSerName val="0"/>
          <c:showPercent val="0"/>
          <c:showBubbleSize val="0"/>
        </c:dLbls>
        <c:marker val="1"/>
        <c:smooth val="0"/>
        <c:axId val="1546376614"/>
        <c:axId val="1012612534"/>
      </c:lineChart>
      <c:catAx>
        <c:axId val="154637661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012612534"/>
        <c:crosses val="autoZero"/>
        <c:auto val="1"/>
        <c:lblAlgn val="ctr"/>
        <c:lblOffset val="100"/>
        <c:noMultiLvlLbl val="1"/>
      </c:catAx>
      <c:valAx>
        <c:axId val="101261253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54637661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2F NET PRESENT VALUE WITH AVG RETURN</a:t>
            </a:r>
          </a:p>
        </c:rich>
      </c:tx>
      <c:overlay val="0"/>
    </c:title>
    <c:autoTitleDeleted val="0"/>
    <c:plotArea>
      <c:layout/>
      <c:lineChart>
        <c:grouping val="standard"/>
        <c:varyColors val="1"/>
        <c:ser>
          <c:idx val="0"/>
          <c:order val="0"/>
          <c:tx>
            <c:strRef>
              <c:f>'Project 2'!$AH$51</c:f>
              <c:strCache>
                <c:ptCount val="1"/>
                <c:pt idx="0">
                  <c:v>Annual Benefit</c:v>
                </c:pt>
              </c:strCache>
            </c:strRef>
          </c:tx>
          <c:spPr>
            <a:ln cmpd="sng">
              <a:solidFill>
                <a:srgbClr val="4285F4"/>
              </a:solidFill>
            </a:ln>
          </c:spPr>
          <c:marker>
            <c:symbol val="circle"/>
            <c:size val="5"/>
            <c:spPr>
              <a:solidFill>
                <a:srgbClr val="4285F4"/>
              </a:solidFill>
              <a:ln cmpd="sng">
                <a:solidFill>
                  <a:srgbClr val="4285F4"/>
                </a:solidFill>
              </a:ln>
            </c:spPr>
          </c:marker>
          <c:cat>
            <c:strRef>
              <c:f>'Project 2'!$AG$52:$AG$56</c:f>
              <c:strCache>
                <c:ptCount val="5"/>
                <c:pt idx="0">
                  <c:v>Very Low</c:v>
                </c:pt>
                <c:pt idx="1">
                  <c:v>Low</c:v>
                </c:pt>
                <c:pt idx="2">
                  <c:v>Base</c:v>
                </c:pt>
                <c:pt idx="3">
                  <c:v>High</c:v>
                </c:pt>
                <c:pt idx="4">
                  <c:v>Very High</c:v>
                </c:pt>
              </c:strCache>
            </c:strRef>
          </c:cat>
          <c:val>
            <c:numRef>
              <c:f>'Project 2'!$AH$52:$AH$56</c:f>
              <c:numCache>
                <c:formatCode>"$"#,##0.00</c:formatCode>
                <c:ptCount val="5"/>
                <c:pt idx="0">
                  <c:v>-14962.46</c:v>
                </c:pt>
                <c:pt idx="1">
                  <c:v>-4037.64</c:v>
                </c:pt>
                <c:pt idx="2">
                  <c:v>8539.7800000000007</c:v>
                </c:pt>
                <c:pt idx="3">
                  <c:v>12732.25</c:v>
                </c:pt>
                <c:pt idx="4">
                  <c:v>16924.72</c:v>
                </c:pt>
              </c:numCache>
            </c:numRef>
          </c:val>
          <c:smooth val="0"/>
          <c:extLst>
            <c:ext xmlns:c16="http://schemas.microsoft.com/office/drawing/2014/chart" uri="{C3380CC4-5D6E-409C-BE32-E72D297353CC}">
              <c16:uniqueId val="{00000000-A00F-1543-AA2B-9452C8CB33E8}"/>
            </c:ext>
          </c:extLst>
        </c:ser>
        <c:ser>
          <c:idx val="1"/>
          <c:order val="1"/>
          <c:tx>
            <c:strRef>
              <c:f>'Project 2'!$AI$51</c:f>
              <c:strCache>
                <c:ptCount val="1"/>
                <c:pt idx="0">
                  <c:v>Useful Life</c:v>
                </c:pt>
              </c:strCache>
            </c:strRef>
          </c:tx>
          <c:spPr>
            <a:ln cmpd="sng">
              <a:solidFill>
                <a:srgbClr val="EA4335"/>
              </a:solidFill>
            </a:ln>
          </c:spPr>
          <c:marker>
            <c:symbol val="circle"/>
            <c:size val="5"/>
            <c:spPr>
              <a:solidFill>
                <a:srgbClr val="EA4335"/>
              </a:solidFill>
              <a:ln cmpd="sng">
                <a:solidFill>
                  <a:srgbClr val="EA4335"/>
                </a:solidFill>
              </a:ln>
            </c:spPr>
          </c:marker>
          <c:cat>
            <c:strRef>
              <c:f>'Project 2'!$AG$52:$AG$56</c:f>
              <c:strCache>
                <c:ptCount val="5"/>
                <c:pt idx="0">
                  <c:v>Very Low</c:v>
                </c:pt>
                <c:pt idx="1">
                  <c:v>Low</c:v>
                </c:pt>
                <c:pt idx="2">
                  <c:v>Base</c:v>
                </c:pt>
                <c:pt idx="3">
                  <c:v>High</c:v>
                </c:pt>
                <c:pt idx="4">
                  <c:v>Very High</c:v>
                </c:pt>
              </c:strCache>
            </c:strRef>
          </c:cat>
          <c:val>
            <c:numRef>
              <c:f>'Project 2'!$AI$52:$AI$56</c:f>
              <c:numCache>
                <c:formatCode>"$"#,##0.00</c:formatCode>
                <c:ptCount val="5"/>
                <c:pt idx="0">
                  <c:v>1604.08093278464</c:v>
                </c:pt>
                <c:pt idx="1">
                  <c:v>5697.2784255448896</c:v>
                </c:pt>
                <c:pt idx="2">
                  <c:v>8539.7766844061771</c:v>
                </c:pt>
                <c:pt idx="3">
                  <c:v>10513.733808615405</c:v>
                </c:pt>
                <c:pt idx="4">
                  <c:v>12403.781139245039</c:v>
                </c:pt>
              </c:numCache>
            </c:numRef>
          </c:val>
          <c:smooth val="0"/>
          <c:extLst>
            <c:ext xmlns:c16="http://schemas.microsoft.com/office/drawing/2014/chart" uri="{C3380CC4-5D6E-409C-BE32-E72D297353CC}">
              <c16:uniqueId val="{00000001-A00F-1543-AA2B-9452C8CB33E8}"/>
            </c:ext>
          </c:extLst>
        </c:ser>
        <c:ser>
          <c:idx val="2"/>
          <c:order val="2"/>
          <c:tx>
            <c:strRef>
              <c:f>'Project 2'!$AJ$51</c:f>
              <c:strCache>
                <c:ptCount val="1"/>
                <c:pt idx="0">
                  <c:v>Salvage Value</c:v>
                </c:pt>
              </c:strCache>
            </c:strRef>
          </c:tx>
          <c:spPr>
            <a:ln cmpd="sng">
              <a:solidFill>
                <a:srgbClr val="FBBC04"/>
              </a:solidFill>
            </a:ln>
          </c:spPr>
          <c:marker>
            <c:symbol val="circle"/>
            <c:size val="5"/>
            <c:spPr>
              <a:solidFill>
                <a:srgbClr val="FBBC04"/>
              </a:solidFill>
              <a:ln cmpd="sng">
                <a:solidFill>
                  <a:srgbClr val="FBBC04"/>
                </a:solidFill>
              </a:ln>
            </c:spPr>
          </c:marker>
          <c:cat>
            <c:strRef>
              <c:f>'Project 2'!$AG$52:$AG$56</c:f>
              <c:strCache>
                <c:ptCount val="5"/>
                <c:pt idx="0">
                  <c:v>Very Low</c:v>
                </c:pt>
                <c:pt idx="1">
                  <c:v>Low</c:v>
                </c:pt>
                <c:pt idx="2">
                  <c:v>Base</c:v>
                </c:pt>
                <c:pt idx="3">
                  <c:v>High</c:v>
                </c:pt>
                <c:pt idx="4">
                  <c:v>Very High</c:v>
                </c:pt>
              </c:strCache>
            </c:strRef>
          </c:cat>
          <c:val>
            <c:numRef>
              <c:f>'Project 2'!$AJ$52:$AJ$56</c:f>
              <c:numCache>
                <c:formatCode>"$"#,##0.00</c:formatCode>
                <c:ptCount val="5"/>
                <c:pt idx="0">
                  <c:v>8539.7766840000004</c:v>
                </c:pt>
                <c:pt idx="1">
                  <c:v>8539.7766840000004</c:v>
                </c:pt>
                <c:pt idx="2">
                  <c:v>8539.7766840000004</c:v>
                </c:pt>
                <c:pt idx="3">
                  <c:v>9347.3045989999991</c:v>
                </c:pt>
                <c:pt idx="4">
                  <c:v>10154.83251</c:v>
                </c:pt>
              </c:numCache>
            </c:numRef>
          </c:val>
          <c:smooth val="0"/>
          <c:extLst>
            <c:ext xmlns:c16="http://schemas.microsoft.com/office/drawing/2014/chart" uri="{C3380CC4-5D6E-409C-BE32-E72D297353CC}">
              <c16:uniqueId val="{00000002-A00F-1543-AA2B-9452C8CB33E8}"/>
            </c:ext>
          </c:extLst>
        </c:ser>
        <c:dLbls>
          <c:showLegendKey val="0"/>
          <c:showVal val="0"/>
          <c:showCatName val="0"/>
          <c:showSerName val="0"/>
          <c:showPercent val="0"/>
          <c:showBubbleSize val="0"/>
        </c:dLbls>
        <c:marker val="1"/>
        <c:smooth val="0"/>
        <c:axId val="103857537"/>
        <c:axId val="1719049981"/>
      </c:lineChart>
      <c:catAx>
        <c:axId val="103857537"/>
        <c:scaling>
          <c:orientation val="minMax"/>
        </c:scaling>
        <c:delete val="0"/>
        <c:axPos val="b"/>
        <c:title>
          <c:tx>
            <c:rich>
              <a:bodyPr/>
              <a:lstStyle/>
              <a:p>
                <a:pPr lvl="0">
                  <a:defRPr b="0">
                    <a:solidFill>
                      <a:srgbClr val="000000"/>
                    </a:solidFill>
                    <a:latin typeface="+mn-lt"/>
                  </a:defRPr>
                </a:pPr>
                <a:endParaRPr lang="en-US"/>
              </a:p>
            </c:rich>
          </c:tx>
          <c:layout>
            <c:manualLayout>
              <c:xMode val="edge"/>
              <c:yMode val="edge"/>
              <c:x val="0.14545225694444447"/>
              <c:y val="0.91848021582733808"/>
            </c:manualLayout>
          </c:layout>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19049981"/>
        <c:crosses val="autoZero"/>
        <c:auto val="1"/>
        <c:lblAlgn val="ctr"/>
        <c:lblOffset val="100"/>
        <c:noMultiLvlLbl val="1"/>
      </c:catAx>
      <c:valAx>
        <c:axId val="17190499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038575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1: IRR of cashflows (8, 10 and 15 years)</a:t>
            </a:r>
          </a:p>
        </c:rich>
      </c:tx>
      <c:overlay val="0"/>
    </c:title>
    <c:autoTitleDeleted val="0"/>
    <c:plotArea>
      <c:layout/>
      <c:lineChart>
        <c:grouping val="standard"/>
        <c:varyColors val="1"/>
        <c:ser>
          <c:idx val="0"/>
          <c:order val="0"/>
          <c:tx>
            <c:v>8 years</c:v>
          </c:tx>
          <c:spPr>
            <a:ln cmpd="sng">
              <a:solidFill>
                <a:srgbClr val="4285F4"/>
              </a:solidFill>
            </a:ln>
          </c:spPr>
          <c:marker>
            <c:symbol val="circle"/>
            <c:size val="5"/>
            <c:spPr>
              <a:solidFill>
                <a:srgbClr val="4285F4"/>
              </a:solidFill>
              <a:ln cmpd="sng">
                <a:solidFill>
                  <a:srgbClr val="4285F4"/>
                </a:solidFill>
              </a:ln>
            </c:spPr>
          </c:marker>
          <c:cat>
            <c:strRef>
              <c:f>'Project 3'!$H$3:$J$3</c:f>
              <c:strCache>
                <c:ptCount val="3"/>
                <c:pt idx="0">
                  <c:v>3G</c:v>
                </c:pt>
                <c:pt idx="1">
                  <c:v>3H</c:v>
                </c:pt>
                <c:pt idx="2">
                  <c:v>3I</c:v>
                </c:pt>
              </c:strCache>
            </c:strRef>
          </c:cat>
          <c:val>
            <c:numRef>
              <c:f>'Project 3'!$H$16:$J$16</c:f>
              <c:numCache>
                <c:formatCode>0%</c:formatCode>
                <c:ptCount val="3"/>
                <c:pt idx="0">
                  <c:v>0.18623711889130612</c:v>
                </c:pt>
                <c:pt idx="1">
                  <c:v>0.30111332007199731</c:v>
                </c:pt>
                <c:pt idx="2">
                  <c:v>0.36724391422214619</c:v>
                </c:pt>
              </c:numCache>
            </c:numRef>
          </c:val>
          <c:smooth val="0"/>
          <c:extLst>
            <c:ext xmlns:c16="http://schemas.microsoft.com/office/drawing/2014/chart" uri="{C3380CC4-5D6E-409C-BE32-E72D297353CC}">
              <c16:uniqueId val="{00000000-836F-2140-9466-1CAA887E6C6C}"/>
            </c:ext>
          </c:extLst>
        </c:ser>
        <c:ser>
          <c:idx val="1"/>
          <c:order val="1"/>
          <c:tx>
            <c:v>10 years</c:v>
          </c:tx>
          <c:spPr>
            <a:ln cmpd="sng">
              <a:solidFill>
                <a:srgbClr val="EA4335"/>
              </a:solidFill>
            </a:ln>
          </c:spPr>
          <c:marker>
            <c:symbol val="circle"/>
            <c:size val="5"/>
            <c:spPr>
              <a:solidFill>
                <a:srgbClr val="EA4335"/>
              </a:solidFill>
              <a:ln cmpd="sng">
                <a:solidFill>
                  <a:srgbClr val="EA4335"/>
                </a:solidFill>
              </a:ln>
            </c:spPr>
          </c:marker>
          <c:cat>
            <c:strRef>
              <c:f>'Project 3'!$H$3:$J$3</c:f>
              <c:strCache>
                <c:ptCount val="3"/>
                <c:pt idx="0">
                  <c:v>3G</c:v>
                </c:pt>
                <c:pt idx="1">
                  <c:v>3H</c:v>
                </c:pt>
                <c:pt idx="2">
                  <c:v>3I</c:v>
                </c:pt>
              </c:strCache>
            </c:strRef>
          </c:cat>
          <c:val>
            <c:numRef>
              <c:f>'Project 3'!$O$18:$Q$18</c:f>
              <c:numCache>
                <c:formatCode>0%</c:formatCode>
                <c:ptCount val="3"/>
                <c:pt idx="0">
                  <c:v>0.21406465112703454</c:v>
                </c:pt>
                <c:pt idx="1">
                  <c:v>0.321796753664221</c:v>
                </c:pt>
                <c:pt idx="2">
                  <c:v>0.38454819521071992</c:v>
                </c:pt>
              </c:numCache>
            </c:numRef>
          </c:val>
          <c:smooth val="0"/>
          <c:extLst>
            <c:ext xmlns:c16="http://schemas.microsoft.com/office/drawing/2014/chart" uri="{C3380CC4-5D6E-409C-BE32-E72D297353CC}">
              <c16:uniqueId val="{00000001-836F-2140-9466-1CAA887E6C6C}"/>
            </c:ext>
          </c:extLst>
        </c:ser>
        <c:ser>
          <c:idx val="2"/>
          <c:order val="2"/>
          <c:tx>
            <c:v>15 years</c:v>
          </c:tx>
          <c:spPr>
            <a:ln cmpd="sng">
              <a:solidFill>
                <a:srgbClr val="FBBC04"/>
              </a:solidFill>
            </a:ln>
          </c:spPr>
          <c:marker>
            <c:symbol val="circle"/>
            <c:size val="5"/>
            <c:spPr>
              <a:solidFill>
                <a:srgbClr val="FBBC04"/>
              </a:solidFill>
              <a:ln cmpd="sng">
                <a:solidFill>
                  <a:srgbClr val="FBBC04"/>
                </a:solidFill>
              </a:ln>
            </c:spPr>
          </c:marker>
          <c:dPt>
            <c:idx val="1"/>
            <c:marker>
              <c:symbol val="none"/>
            </c:marker>
            <c:bubble3D val="0"/>
            <c:extLst>
              <c:ext xmlns:c16="http://schemas.microsoft.com/office/drawing/2014/chart" uri="{C3380CC4-5D6E-409C-BE32-E72D297353CC}">
                <c16:uniqueId val="{00000002-836F-2140-9466-1CAA887E6C6C}"/>
              </c:ext>
            </c:extLst>
          </c:dPt>
          <c:cat>
            <c:strRef>
              <c:f>'Project 3'!$H$3:$J$3</c:f>
              <c:strCache>
                <c:ptCount val="3"/>
                <c:pt idx="0">
                  <c:v>3G</c:v>
                </c:pt>
                <c:pt idx="1">
                  <c:v>3H</c:v>
                </c:pt>
                <c:pt idx="2">
                  <c:v>3I</c:v>
                </c:pt>
              </c:strCache>
            </c:strRef>
          </c:cat>
          <c:val>
            <c:numRef>
              <c:f>'Project 3'!$V$23:$X$23</c:f>
              <c:numCache>
                <c:formatCode>0%</c:formatCode>
                <c:ptCount val="3"/>
                <c:pt idx="0">
                  <c:v>0.24008822973726485</c:v>
                </c:pt>
                <c:pt idx="1">
                  <c:v>0.33853533350867515</c:v>
                </c:pt>
                <c:pt idx="2">
                  <c:v>0.39735479303617605</c:v>
                </c:pt>
              </c:numCache>
            </c:numRef>
          </c:val>
          <c:smooth val="0"/>
          <c:extLst>
            <c:ext xmlns:c16="http://schemas.microsoft.com/office/drawing/2014/chart" uri="{C3380CC4-5D6E-409C-BE32-E72D297353CC}">
              <c16:uniqueId val="{00000003-836F-2140-9466-1CAA887E6C6C}"/>
            </c:ext>
          </c:extLst>
        </c:ser>
        <c:dLbls>
          <c:showLegendKey val="0"/>
          <c:showVal val="0"/>
          <c:showCatName val="0"/>
          <c:showSerName val="0"/>
          <c:showPercent val="0"/>
          <c:showBubbleSize val="0"/>
        </c:dLbls>
        <c:marker val="1"/>
        <c:smooth val="0"/>
        <c:axId val="1240915071"/>
        <c:axId val="1920765554"/>
      </c:lineChart>
      <c:catAx>
        <c:axId val="124091507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920765554"/>
        <c:crosses val="autoZero"/>
        <c:auto val="1"/>
        <c:lblAlgn val="ctr"/>
        <c:lblOffset val="100"/>
        <c:noMultiLvlLbl val="1"/>
      </c:catAx>
      <c:valAx>
        <c:axId val="1920765554"/>
        <c:scaling>
          <c:orientation val="minMax"/>
          <c:max val="0.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IRR</a:t>
                </a:r>
              </a:p>
            </c:rich>
          </c:tx>
          <c:overlay val="0"/>
        </c:title>
        <c:numFmt formatCode="0%" sourceLinked="1"/>
        <c:majorTickMark val="cross"/>
        <c:minorTickMark val="none"/>
        <c:tickLblPos val="nextTo"/>
        <c:spPr>
          <a:ln/>
        </c:spPr>
        <c:txPr>
          <a:bodyPr/>
          <a:lstStyle/>
          <a:p>
            <a:pPr lvl="0">
              <a:defRPr b="0">
                <a:solidFill>
                  <a:srgbClr val="000000"/>
                </a:solidFill>
                <a:latin typeface="+mn-lt"/>
              </a:defRPr>
            </a:pPr>
            <a:endParaRPr lang="en-US"/>
          </a:p>
        </c:txPr>
        <c:crossAx val="124091507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2: IRR of cashflows (8, 10 and 15 years)</a:t>
            </a:r>
          </a:p>
        </c:rich>
      </c:tx>
      <c:overlay val="0"/>
    </c:title>
    <c:autoTitleDeleted val="0"/>
    <c:plotArea>
      <c:layout/>
      <c:lineChart>
        <c:grouping val="standard"/>
        <c:varyColors val="1"/>
        <c:ser>
          <c:idx val="0"/>
          <c:order val="0"/>
          <c:tx>
            <c:v>8 years</c:v>
          </c:tx>
          <c:spPr>
            <a:ln cmpd="sng">
              <a:solidFill>
                <a:srgbClr val="4285F4"/>
              </a:solidFill>
            </a:ln>
          </c:spPr>
          <c:marker>
            <c:symbol val="circle"/>
            <c:size val="5"/>
            <c:spPr>
              <a:solidFill>
                <a:srgbClr val="4285F4"/>
              </a:solidFill>
              <a:ln cmpd="sng">
                <a:solidFill>
                  <a:srgbClr val="4285F4"/>
                </a:solidFill>
              </a:ln>
            </c:spPr>
          </c:marker>
          <c:dPt>
            <c:idx val="2"/>
            <c:marker>
              <c:symbol val="none"/>
            </c:marker>
            <c:bubble3D val="0"/>
            <c:extLst>
              <c:ext xmlns:c16="http://schemas.microsoft.com/office/drawing/2014/chart" uri="{C3380CC4-5D6E-409C-BE32-E72D297353CC}">
                <c16:uniqueId val="{00000000-1B61-E447-A632-5AFE5992078A}"/>
              </c:ext>
            </c:extLst>
          </c:dPt>
          <c:cat>
            <c:strRef>
              <c:f>'Project 3'!$V$3:$X$3</c:f>
              <c:strCache>
                <c:ptCount val="3"/>
                <c:pt idx="0">
                  <c:v>3G</c:v>
                </c:pt>
                <c:pt idx="1">
                  <c:v>3H</c:v>
                </c:pt>
                <c:pt idx="2">
                  <c:v>3I</c:v>
                </c:pt>
              </c:strCache>
            </c:strRef>
          </c:cat>
          <c:val>
            <c:numRef>
              <c:f>'Project 3'!$H$41:$J$41</c:f>
              <c:numCache>
                <c:formatCode>0%</c:formatCode>
                <c:ptCount val="3"/>
                <c:pt idx="0">
                  <c:v>0.11814510280868684</c:v>
                </c:pt>
                <c:pt idx="1">
                  <c:v>0.1955253436946931</c:v>
                </c:pt>
                <c:pt idx="2">
                  <c:v>0.24951034453125165</c:v>
                </c:pt>
              </c:numCache>
            </c:numRef>
          </c:val>
          <c:smooth val="0"/>
          <c:extLst>
            <c:ext xmlns:c16="http://schemas.microsoft.com/office/drawing/2014/chart" uri="{C3380CC4-5D6E-409C-BE32-E72D297353CC}">
              <c16:uniqueId val="{00000001-1B61-E447-A632-5AFE5992078A}"/>
            </c:ext>
          </c:extLst>
        </c:ser>
        <c:ser>
          <c:idx val="1"/>
          <c:order val="1"/>
          <c:tx>
            <c:v>10 years</c:v>
          </c:tx>
          <c:spPr>
            <a:ln cmpd="sng">
              <a:solidFill>
                <a:srgbClr val="EA4335"/>
              </a:solidFill>
            </a:ln>
          </c:spPr>
          <c:marker>
            <c:symbol val="circle"/>
            <c:size val="5"/>
            <c:spPr>
              <a:solidFill>
                <a:srgbClr val="EA4335"/>
              </a:solidFill>
              <a:ln cmpd="sng">
                <a:solidFill>
                  <a:srgbClr val="EA4335"/>
                </a:solidFill>
              </a:ln>
            </c:spPr>
          </c:marker>
          <c:cat>
            <c:strRef>
              <c:f>'Project 3'!$V$3:$X$3</c:f>
              <c:strCache>
                <c:ptCount val="3"/>
                <c:pt idx="0">
                  <c:v>3G</c:v>
                </c:pt>
                <c:pt idx="1">
                  <c:v>3H</c:v>
                </c:pt>
                <c:pt idx="2">
                  <c:v>3I</c:v>
                </c:pt>
              </c:strCache>
            </c:strRef>
          </c:cat>
          <c:val>
            <c:numRef>
              <c:f>'Project 3'!$O$43:$Q$43</c:f>
              <c:numCache>
                <c:formatCode>0%</c:formatCode>
                <c:ptCount val="3"/>
                <c:pt idx="0">
                  <c:v>0.15098414477083444</c:v>
                </c:pt>
                <c:pt idx="1">
                  <c:v>0.2227136678946231</c:v>
                </c:pt>
                <c:pt idx="2">
                  <c:v>0.27319842410498674</c:v>
                </c:pt>
              </c:numCache>
            </c:numRef>
          </c:val>
          <c:smooth val="0"/>
          <c:extLst>
            <c:ext xmlns:c16="http://schemas.microsoft.com/office/drawing/2014/chart" uri="{C3380CC4-5D6E-409C-BE32-E72D297353CC}">
              <c16:uniqueId val="{00000002-1B61-E447-A632-5AFE5992078A}"/>
            </c:ext>
          </c:extLst>
        </c:ser>
        <c:ser>
          <c:idx val="2"/>
          <c:order val="2"/>
          <c:tx>
            <c:v>15 years</c:v>
          </c:tx>
          <c:spPr>
            <a:ln cmpd="sng">
              <a:solidFill>
                <a:srgbClr val="FBBC04"/>
              </a:solidFill>
            </a:ln>
          </c:spPr>
          <c:marker>
            <c:symbol val="circle"/>
            <c:size val="5"/>
            <c:spPr>
              <a:solidFill>
                <a:srgbClr val="FBBC04"/>
              </a:solidFill>
              <a:ln cmpd="sng">
                <a:solidFill>
                  <a:srgbClr val="FBBC04"/>
                </a:solidFill>
              </a:ln>
            </c:spPr>
          </c:marker>
          <c:cat>
            <c:strRef>
              <c:f>'Project 3'!$V$3:$X$3</c:f>
              <c:strCache>
                <c:ptCount val="3"/>
                <c:pt idx="0">
                  <c:v>3G</c:v>
                </c:pt>
                <c:pt idx="1">
                  <c:v>3H</c:v>
                </c:pt>
                <c:pt idx="2">
                  <c:v>3I</c:v>
                </c:pt>
              </c:strCache>
            </c:strRef>
          </c:cat>
          <c:val>
            <c:numRef>
              <c:f>'Project 3'!$V$48:$X$48</c:f>
              <c:numCache>
                <c:formatCode>0%</c:formatCode>
                <c:ptCount val="3"/>
                <c:pt idx="0">
                  <c:v>0.18415456837507271</c:v>
                </c:pt>
                <c:pt idx="1">
                  <c:v>0.24785988348336208</c:v>
                </c:pt>
                <c:pt idx="2">
                  <c:v>0.2936956629836136</c:v>
                </c:pt>
              </c:numCache>
            </c:numRef>
          </c:val>
          <c:smooth val="0"/>
          <c:extLst>
            <c:ext xmlns:c16="http://schemas.microsoft.com/office/drawing/2014/chart" uri="{C3380CC4-5D6E-409C-BE32-E72D297353CC}">
              <c16:uniqueId val="{00000003-1B61-E447-A632-5AFE5992078A}"/>
            </c:ext>
          </c:extLst>
        </c:ser>
        <c:dLbls>
          <c:showLegendKey val="0"/>
          <c:showVal val="0"/>
          <c:showCatName val="0"/>
          <c:showSerName val="0"/>
          <c:showPercent val="0"/>
          <c:showBubbleSize val="0"/>
        </c:dLbls>
        <c:marker val="1"/>
        <c:smooth val="0"/>
        <c:axId val="1265643259"/>
        <c:axId val="1846221912"/>
      </c:lineChart>
      <c:catAx>
        <c:axId val="126564325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846221912"/>
        <c:crosses val="autoZero"/>
        <c:auto val="1"/>
        <c:lblAlgn val="ctr"/>
        <c:lblOffset val="100"/>
        <c:noMultiLvlLbl val="1"/>
      </c:catAx>
      <c:valAx>
        <c:axId val="184622191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IRR</a:t>
                </a:r>
              </a:p>
            </c:rich>
          </c:tx>
          <c:overlay val="0"/>
        </c:title>
        <c:numFmt formatCode="0%" sourceLinked="1"/>
        <c:majorTickMark val="cross"/>
        <c:minorTickMark val="none"/>
        <c:tickLblPos val="nextTo"/>
        <c:spPr>
          <a:ln/>
        </c:spPr>
        <c:txPr>
          <a:bodyPr/>
          <a:lstStyle/>
          <a:p>
            <a:pPr lvl="0">
              <a:defRPr b="0">
                <a:solidFill>
                  <a:srgbClr val="000000"/>
                </a:solidFill>
                <a:latin typeface="+mn-lt"/>
              </a:defRPr>
            </a:pPr>
            <a:endParaRPr lang="en-US"/>
          </a:p>
        </c:txPr>
        <c:crossAx val="1265643259"/>
        <c:crosses val="autoZero"/>
        <c:crossBetween val="between"/>
      </c:valAx>
    </c:plotArea>
    <c:legend>
      <c:legendPos val="r"/>
      <c:overlay val="0"/>
      <c:txPr>
        <a:bodyPr/>
        <a:lstStyle/>
        <a:p>
          <a:pPr lvl="0">
            <a:defRPr b="1">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3: IRR of cashflows (8, 10 and 15 years)</a:t>
            </a:r>
          </a:p>
        </c:rich>
      </c:tx>
      <c:overlay val="0"/>
    </c:title>
    <c:autoTitleDeleted val="0"/>
    <c:plotArea>
      <c:layout/>
      <c:lineChart>
        <c:grouping val="standard"/>
        <c:varyColors val="1"/>
        <c:ser>
          <c:idx val="0"/>
          <c:order val="0"/>
          <c:tx>
            <c:v>8 years</c:v>
          </c:tx>
          <c:spPr>
            <a:ln cmpd="sng">
              <a:solidFill>
                <a:srgbClr val="4285F4"/>
              </a:solidFill>
            </a:ln>
          </c:spPr>
          <c:marker>
            <c:symbol val="circle"/>
            <c:size val="5"/>
            <c:spPr>
              <a:solidFill>
                <a:srgbClr val="4285F4"/>
              </a:solidFill>
              <a:ln cmpd="sng">
                <a:solidFill>
                  <a:srgbClr val="4285F4"/>
                </a:solidFill>
              </a:ln>
            </c:spPr>
          </c:marker>
          <c:dPt>
            <c:idx val="2"/>
            <c:marker>
              <c:symbol val="none"/>
            </c:marker>
            <c:bubble3D val="0"/>
            <c:extLst>
              <c:ext xmlns:c16="http://schemas.microsoft.com/office/drawing/2014/chart" uri="{C3380CC4-5D6E-409C-BE32-E72D297353CC}">
                <c16:uniqueId val="{00000000-2C16-A54E-A22F-835AC2AA88CE}"/>
              </c:ext>
            </c:extLst>
          </c:dPt>
          <c:cat>
            <c:strRef>
              <c:f>'Project 3'!$V$3:$X$3</c:f>
              <c:strCache>
                <c:ptCount val="3"/>
                <c:pt idx="0">
                  <c:v>3G</c:v>
                </c:pt>
                <c:pt idx="1">
                  <c:v>3H</c:v>
                </c:pt>
                <c:pt idx="2">
                  <c:v>3I</c:v>
                </c:pt>
              </c:strCache>
            </c:strRef>
          </c:cat>
          <c:val>
            <c:numRef>
              <c:f>'Project 3'!$H$66:$J$66</c:f>
              <c:numCache>
                <c:formatCode>0%</c:formatCode>
                <c:ptCount val="3"/>
                <c:pt idx="0">
                  <c:v>0.24951034453125165</c:v>
                </c:pt>
                <c:pt idx="1">
                  <c:v>0.49351089255397596</c:v>
                </c:pt>
                <c:pt idx="2">
                  <c:v>0.5849316031830909</c:v>
                </c:pt>
              </c:numCache>
            </c:numRef>
          </c:val>
          <c:smooth val="0"/>
          <c:extLst>
            <c:ext xmlns:c16="http://schemas.microsoft.com/office/drawing/2014/chart" uri="{C3380CC4-5D6E-409C-BE32-E72D297353CC}">
              <c16:uniqueId val="{00000001-2C16-A54E-A22F-835AC2AA88CE}"/>
            </c:ext>
          </c:extLst>
        </c:ser>
        <c:ser>
          <c:idx val="1"/>
          <c:order val="1"/>
          <c:tx>
            <c:v>10 years</c:v>
          </c:tx>
          <c:spPr>
            <a:ln cmpd="sng">
              <a:solidFill>
                <a:srgbClr val="EA4335"/>
              </a:solidFill>
            </a:ln>
          </c:spPr>
          <c:marker>
            <c:symbol val="circle"/>
            <c:size val="5"/>
            <c:spPr>
              <a:solidFill>
                <a:srgbClr val="EA4335"/>
              </a:solidFill>
              <a:ln cmpd="sng">
                <a:solidFill>
                  <a:srgbClr val="EA4335"/>
                </a:solidFill>
              </a:ln>
            </c:spPr>
          </c:marker>
          <c:cat>
            <c:strRef>
              <c:f>'Project 3'!$V$3:$X$3</c:f>
              <c:strCache>
                <c:ptCount val="3"/>
                <c:pt idx="0">
                  <c:v>3G</c:v>
                </c:pt>
                <c:pt idx="1">
                  <c:v>3H</c:v>
                </c:pt>
                <c:pt idx="2">
                  <c:v>3I</c:v>
                </c:pt>
              </c:strCache>
            </c:strRef>
          </c:cat>
          <c:val>
            <c:numRef>
              <c:f>'Project 3'!$O$68:$Q$68</c:f>
              <c:numCache>
                <c:formatCode>0%</c:formatCode>
                <c:ptCount val="3"/>
                <c:pt idx="0">
                  <c:v>0.27319842410498696</c:v>
                </c:pt>
                <c:pt idx="1">
                  <c:v>0.50569908746184677</c:v>
                </c:pt>
                <c:pt idx="2">
                  <c:v>0.59434640921460646</c:v>
                </c:pt>
              </c:numCache>
            </c:numRef>
          </c:val>
          <c:smooth val="0"/>
          <c:extLst>
            <c:ext xmlns:c16="http://schemas.microsoft.com/office/drawing/2014/chart" uri="{C3380CC4-5D6E-409C-BE32-E72D297353CC}">
              <c16:uniqueId val="{00000002-2C16-A54E-A22F-835AC2AA88CE}"/>
            </c:ext>
          </c:extLst>
        </c:ser>
        <c:ser>
          <c:idx val="2"/>
          <c:order val="2"/>
          <c:tx>
            <c:v>15 years</c:v>
          </c:tx>
          <c:spPr>
            <a:ln cmpd="sng">
              <a:solidFill>
                <a:srgbClr val="FBBC04"/>
              </a:solidFill>
            </a:ln>
          </c:spPr>
          <c:marker>
            <c:symbol val="circle"/>
            <c:size val="5"/>
            <c:spPr>
              <a:solidFill>
                <a:srgbClr val="FBBC04"/>
              </a:solidFill>
              <a:ln cmpd="sng">
                <a:solidFill>
                  <a:srgbClr val="FBBC04"/>
                </a:solidFill>
              </a:ln>
            </c:spPr>
          </c:marker>
          <c:cat>
            <c:strRef>
              <c:f>'Project 3'!$V$3:$X$3</c:f>
              <c:strCache>
                <c:ptCount val="3"/>
                <c:pt idx="0">
                  <c:v>3G</c:v>
                </c:pt>
                <c:pt idx="1">
                  <c:v>3H</c:v>
                </c:pt>
                <c:pt idx="2">
                  <c:v>3I</c:v>
                </c:pt>
              </c:strCache>
            </c:strRef>
          </c:cat>
          <c:val>
            <c:numRef>
              <c:f>'Project 3'!$V$73:$X$73</c:f>
              <c:numCache>
                <c:formatCode>0%</c:formatCode>
                <c:ptCount val="3"/>
                <c:pt idx="0">
                  <c:v>0.2936956629836136</c:v>
                </c:pt>
                <c:pt idx="1">
                  <c:v>0.51325647501682758</c:v>
                </c:pt>
                <c:pt idx="2">
                  <c:v>0.59947702472365649</c:v>
                </c:pt>
              </c:numCache>
            </c:numRef>
          </c:val>
          <c:smooth val="0"/>
          <c:extLst>
            <c:ext xmlns:c16="http://schemas.microsoft.com/office/drawing/2014/chart" uri="{C3380CC4-5D6E-409C-BE32-E72D297353CC}">
              <c16:uniqueId val="{00000003-2C16-A54E-A22F-835AC2AA88CE}"/>
            </c:ext>
          </c:extLst>
        </c:ser>
        <c:dLbls>
          <c:showLegendKey val="0"/>
          <c:showVal val="0"/>
          <c:showCatName val="0"/>
          <c:showSerName val="0"/>
          <c:showPercent val="0"/>
          <c:showBubbleSize val="0"/>
        </c:dLbls>
        <c:marker val="1"/>
        <c:smooth val="0"/>
        <c:axId val="850421233"/>
        <c:axId val="298326984"/>
      </c:lineChart>
      <c:catAx>
        <c:axId val="85042123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98326984"/>
        <c:crosses val="autoZero"/>
        <c:auto val="1"/>
        <c:lblAlgn val="ctr"/>
        <c:lblOffset val="100"/>
        <c:noMultiLvlLbl val="1"/>
      </c:catAx>
      <c:valAx>
        <c:axId val="298326984"/>
        <c:scaling>
          <c:orientation val="minMax"/>
          <c:max val="0.65"/>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IRR</a:t>
                </a:r>
              </a:p>
            </c:rich>
          </c:tx>
          <c:overlay val="0"/>
        </c:title>
        <c:numFmt formatCode="0%" sourceLinked="1"/>
        <c:majorTickMark val="cross"/>
        <c:minorTickMark val="none"/>
        <c:tickLblPos val="nextTo"/>
        <c:spPr>
          <a:ln/>
        </c:spPr>
        <c:txPr>
          <a:bodyPr/>
          <a:lstStyle/>
          <a:p>
            <a:pPr lvl="0">
              <a:defRPr b="0">
                <a:solidFill>
                  <a:srgbClr val="000000"/>
                </a:solidFill>
                <a:latin typeface="+mn-lt"/>
              </a:defRPr>
            </a:pPr>
            <a:endParaRPr lang="en-US"/>
          </a:p>
        </c:txPr>
        <c:crossAx val="850421233"/>
        <c:crosses val="autoZero"/>
        <c:crossBetween val="between"/>
      </c:valAx>
    </c:plotArea>
    <c:legend>
      <c:legendPos val="r"/>
      <c:overlay val="0"/>
      <c:txPr>
        <a:bodyPr/>
        <a:lstStyle/>
        <a:p>
          <a:pPr lvl="0">
            <a:defRPr b="1">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4: IRR of cashflows (8, 10 and 15 years)</a:t>
            </a:r>
          </a:p>
        </c:rich>
      </c:tx>
      <c:overlay val="0"/>
    </c:title>
    <c:autoTitleDeleted val="0"/>
    <c:plotArea>
      <c:layout/>
      <c:lineChart>
        <c:grouping val="standard"/>
        <c:varyColors val="1"/>
        <c:ser>
          <c:idx val="0"/>
          <c:order val="0"/>
          <c:tx>
            <c:v>8 years</c:v>
          </c:tx>
          <c:spPr>
            <a:ln cmpd="sng">
              <a:solidFill>
                <a:srgbClr val="4285F4"/>
              </a:solidFill>
            </a:ln>
          </c:spPr>
          <c:marker>
            <c:symbol val="circle"/>
            <c:size val="5"/>
            <c:spPr>
              <a:solidFill>
                <a:srgbClr val="4285F4"/>
              </a:solidFill>
              <a:ln cmpd="sng">
                <a:solidFill>
                  <a:srgbClr val="4285F4"/>
                </a:solidFill>
              </a:ln>
            </c:spPr>
          </c:marker>
          <c:dPt>
            <c:idx val="2"/>
            <c:marker>
              <c:symbol val="none"/>
            </c:marker>
            <c:bubble3D val="0"/>
            <c:extLst>
              <c:ext xmlns:c16="http://schemas.microsoft.com/office/drawing/2014/chart" uri="{C3380CC4-5D6E-409C-BE32-E72D297353CC}">
                <c16:uniqueId val="{00000000-3FD9-2549-8843-5A30C60ACC0F}"/>
              </c:ext>
            </c:extLst>
          </c:dPt>
          <c:cat>
            <c:strRef>
              <c:f>'Project 3'!$V$3:$X$3</c:f>
              <c:strCache>
                <c:ptCount val="3"/>
                <c:pt idx="0">
                  <c:v>3G</c:v>
                </c:pt>
                <c:pt idx="1">
                  <c:v>3H</c:v>
                </c:pt>
                <c:pt idx="2">
                  <c:v>3I</c:v>
                </c:pt>
              </c:strCache>
            </c:strRef>
          </c:cat>
          <c:val>
            <c:numRef>
              <c:f>'Project 3'!$H$91:$J$91</c:f>
              <c:numCache>
                <c:formatCode>0%</c:formatCode>
                <c:ptCount val="3"/>
                <c:pt idx="0">
                  <c:v>0.18623711889130612</c:v>
                </c:pt>
                <c:pt idx="1">
                  <c:v>0.30111332007199731</c:v>
                </c:pt>
                <c:pt idx="2">
                  <c:v>0.47804871096485835</c:v>
                </c:pt>
              </c:numCache>
            </c:numRef>
          </c:val>
          <c:smooth val="0"/>
          <c:extLst>
            <c:ext xmlns:c16="http://schemas.microsoft.com/office/drawing/2014/chart" uri="{C3380CC4-5D6E-409C-BE32-E72D297353CC}">
              <c16:uniqueId val="{00000001-3FD9-2549-8843-5A30C60ACC0F}"/>
            </c:ext>
          </c:extLst>
        </c:ser>
        <c:ser>
          <c:idx val="1"/>
          <c:order val="1"/>
          <c:tx>
            <c:v>10 years</c:v>
          </c:tx>
          <c:spPr>
            <a:ln cmpd="sng">
              <a:solidFill>
                <a:srgbClr val="EA4335"/>
              </a:solidFill>
            </a:ln>
          </c:spPr>
          <c:marker>
            <c:symbol val="circle"/>
            <c:size val="5"/>
            <c:spPr>
              <a:solidFill>
                <a:srgbClr val="EA4335"/>
              </a:solidFill>
              <a:ln cmpd="sng">
                <a:solidFill>
                  <a:srgbClr val="EA4335"/>
                </a:solidFill>
              </a:ln>
            </c:spPr>
          </c:marker>
          <c:cat>
            <c:strRef>
              <c:f>'Project 3'!$V$3:$X$3</c:f>
              <c:strCache>
                <c:ptCount val="3"/>
                <c:pt idx="0">
                  <c:v>3G</c:v>
                </c:pt>
                <c:pt idx="1">
                  <c:v>3H</c:v>
                </c:pt>
                <c:pt idx="2">
                  <c:v>3I</c:v>
                </c:pt>
              </c:strCache>
            </c:strRef>
          </c:cat>
          <c:val>
            <c:numRef>
              <c:f>'Project 3'!$O$93:$Q$93</c:f>
              <c:numCache>
                <c:formatCode>0%</c:formatCode>
                <c:ptCount val="3"/>
                <c:pt idx="0">
                  <c:v>0.21406465112703454</c:v>
                </c:pt>
                <c:pt idx="1">
                  <c:v>0.321796753664221</c:v>
                </c:pt>
                <c:pt idx="2">
                  <c:v>0.49077765740199686</c:v>
                </c:pt>
              </c:numCache>
            </c:numRef>
          </c:val>
          <c:smooth val="0"/>
          <c:extLst>
            <c:ext xmlns:c16="http://schemas.microsoft.com/office/drawing/2014/chart" uri="{C3380CC4-5D6E-409C-BE32-E72D297353CC}">
              <c16:uniqueId val="{00000002-3FD9-2549-8843-5A30C60ACC0F}"/>
            </c:ext>
          </c:extLst>
        </c:ser>
        <c:ser>
          <c:idx val="2"/>
          <c:order val="2"/>
          <c:tx>
            <c:v>15 years</c:v>
          </c:tx>
          <c:spPr>
            <a:ln cmpd="sng">
              <a:solidFill>
                <a:srgbClr val="FBBC04"/>
              </a:solidFill>
            </a:ln>
          </c:spPr>
          <c:marker>
            <c:symbol val="circle"/>
            <c:size val="5"/>
            <c:spPr>
              <a:solidFill>
                <a:srgbClr val="FBBC04"/>
              </a:solidFill>
              <a:ln cmpd="sng">
                <a:solidFill>
                  <a:srgbClr val="FBBC04"/>
                </a:solidFill>
              </a:ln>
            </c:spPr>
          </c:marker>
          <c:cat>
            <c:strRef>
              <c:f>'Project 3'!$V$3:$X$3</c:f>
              <c:strCache>
                <c:ptCount val="3"/>
                <c:pt idx="0">
                  <c:v>3G</c:v>
                </c:pt>
                <c:pt idx="1">
                  <c:v>3H</c:v>
                </c:pt>
                <c:pt idx="2">
                  <c:v>3I</c:v>
                </c:pt>
              </c:strCache>
            </c:strRef>
          </c:cat>
          <c:val>
            <c:numRef>
              <c:f>'Project 3'!$V$98:$X$98</c:f>
              <c:numCache>
                <c:formatCode>0%</c:formatCode>
                <c:ptCount val="3"/>
                <c:pt idx="0">
                  <c:v>0.24008822973726485</c:v>
                </c:pt>
                <c:pt idx="1">
                  <c:v>0.33853533350867515</c:v>
                </c:pt>
                <c:pt idx="2">
                  <c:v>0.49884489999160153</c:v>
                </c:pt>
              </c:numCache>
            </c:numRef>
          </c:val>
          <c:smooth val="0"/>
          <c:extLst>
            <c:ext xmlns:c16="http://schemas.microsoft.com/office/drawing/2014/chart" uri="{C3380CC4-5D6E-409C-BE32-E72D297353CC}">
              <c16:uniqueId val="{00000003-3FD9-2549-8843-5A30C60ACC0F}"/>
            </c:ext>
          </c:extLst>
        </c:ser>
        <c:dLbls>
          <c:showLegendKey val="0"/>
          <c:showVal val="0"/>
          <c:showCatName val="0"/>
          <c:showSerName val="0"/>
          <c:showPercent val="0"/>
          <c:showBubbleSize val="0"/>
        </c:dLbls>
        <c:marker val="1"/>
        <c:smooth val="0"/>
        <c:axId val="27855763"/>
        <c:axId val="390251488"/>
      </c:lineChart>
      <c:catAx>
        <c:axId val="2785576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90251488"/>
        <c:crosses val="autoZero"/>
        <c:auto val="1"/>
        <c:lblAlgn val="ctr"/>
        <c:lblOffset val="100"/>
        <c:noMultiLvlLbl val="1"/>
      </c:catAx>
      <c:valAx>
        <c:axId val="39025148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IRR</a:t>
                </a:r>
              </a:p>
            </c:rich>
          </c:tx>
          <c:overlay val="0"/>
        </c:title>
        <c:numFmt formatCode="0%" sourceLinked="1"/>
        <c:majorTickMark val="cross"/>
        <c:minorTickMark val="none"/>
        <c:tickLblPos val="nextTo"/>
        <c:spPr>
          <a:ln/>
        </c:spPr>
        <c:txPr>
          <a:bodyPr/>
          <a:lstStyle/>
          <a:p>
            <a:pPr lvl="0">
              <a:defRPr b="0">
                <a:solidFill>
                  <a:srgbClr val="000000"/>
                </a:solidFill>
                <a:latin typeface="+mn-lt"/>
              </a:defRPr>
            </a:pPr>
            <a:endParaRPr lang="en-US"/>
          </a:p>
        </c:txPr>
        <c:crossAx val="27855763"/>
        <c:crosses val="autoZero"/>
        <c:crossBetween val="between"/>
      </c:valAx>
    </c:plotArea>
    <c:legend>
      <c:legendPos val="r"/>
      <c:overlay val="0"/>
      <c:txPr>
        <a:bodyPr/>
        <a:lstStyle/>
        <a:p>
          <a:pPr lvl="0">
            <a:defRPr b="1">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5: IRR of cashflows (8, 10 and 15 years)</a:t>
            </a:r>
          </a:p>
        </c:rich>
      </c:tx>
      <c:overlay val="0"/>
    </c:title>
    <c:autoTitleDeleted val="0"/>
    <c:plotArea>
      <c:layout/>
      <c:lineChart>
        <c:grouping val="standard"/>
        <c:varyColors val="1"/>
        <c:ser>
          <c:idx val="0"/>
          <c:order val="0"/>
          <c:tx>
            <c:v>8 years</c:v>
          </c:tx>
          <c:spPr>
            <a:ln cmpd="sng">
              <a:solidFill>
                <a:srgbClr val="4285F4"/>
              </a:solidFill>
            </a:ln>
          </c:spPr>
          <c:marker>
            <c:symbol val="circle"/>
            <c:size val="5"/>
            <c:spPr>
              <a:solidFill>
                <a:srgbClr val="4285F4"/>
              </a:solidFill>
              <a:ln cmpd="sng">
                <a:solidFill>
                  <a:srgbClr val="4285F4"/>
                </a:solidFill>
              </a:ln>
            </c:spPr>
          </c:marker>
          <c:dPt>
            <c:idx val="2"/>
            <c:marker>
              <c:symbol val="none"/>
            </c:marker>
            <c:bubble3D val="0"/>
            <c:extLst>
              <c:ext xmlns:c16="http://schemas.microsoft.com/office/drawing/2014/chart" uri="{C3380CC4-5D6E-409C-BE32-E72D297353CC}">
                <c16:uniqueId val="{00000000-93F2-2546-ABE9-E7F662A4F429}"/>
              </c:ext>
            </c:extLst>
          </c:dPt>
          <c:cat>
            <c:strRef>
              <c:f>'Project 3'!$V$3:$X$3</c:f>
              <c:strCache>
                <c:ptCount val="3"/>
                <c:pt idx="0">
                  <c:v>3G</c:v>
                </c:pt>
                <c:pt idx="1">
                  <c:v>3H</c:v>
                </c:pt>
                <c:pt idx="2">
                  <c:v>3I</c:v>
                </c:pt>
              </c:strCache>
            </c:strRef>
          </c:cat>
          <c:val>
            <c:numRef>
              <c:f>'Project 3'!$H$116:$J$116</c:f>
              <c:numCache>
                <c:formatCode>0%</c:formatCode>
                <c:ptCount val="3"/>
                <c:pt idx="0">
                  <c:v>0.18623711889130612</c:v>
                </c:pt>
                <c:pt idx="1">
                  <c:v>0.30111332007199731</c:v>
                </c:pt>
                <c:pt idx="2">
                  <c:v>0.28981676986854277</c:v>
                </c:pt>
              </c:numCache>
            </c:numRef>
          </c:val>
          <c:smooth val="0"/>
          <c:extLst>
            <c:ext xmlns:c16="http://schemas.microsoft.com/office/drawing/2014/chart" uri="{C3380CC4-5D6E-409C-BE32-E72D297353CC}">
              <c16:uniqueId val="{00000001-93F2-2546-ABE9-E7F662A4F429}"/>
            </c:ext>
          </c:extLst>
        </c:ser>
        <c:ser>
          <c:idx val="1"/>
          <c:order val="1"/>
          <c:tx>
            <c:v>10 years</c:v>
          </c:tx>
          <c:spPr>
            <a:ln cmpd="sng">
              <a:solidFill>
                <a:srgbClr val="EA4335"/>
              </a:solidFill>
            </a:ln>
          </c:spPr>
          <c:marker>
            <c:symbol val="circle"/>
            <c:size val="5"/>
            <c:spPr>
              <a:solidFill>
                <a:srgbClr val="EA4335"/>
              </a:solidFill>
              <a:ln cmpd="sng">
                <a:solidFill>
                  <a:srgbClr val="EA4335"/>
                </a:solidFill>
              </a:ln>
            </c:spPr>
          </c:marker>
          <c:cat>
            <c:strRef>
              <c:f>'Project 3'!$V$3:$X$3</c:f>
              <c:strCache>
                <c:ptCount val="3"/>
                <c:pt idx="0">
                  <c:v>3G</c:v>
                </c:pt>
                <c:pt idx="1">
                  <c:v>3H</c:v>
                </c:pt>
                <c:pt idx="2">
                  <c:v>3I</c:v>
                </c:pt>
              </c:strCache>
            </c:strRef>
          </c:cat>
          <c:val>
            <c:numRef>
              <c:f>'Project 3'!$O$118:$Q$118</c:f>
              <c:numCache>
                <c:formatCode>0%</c:formatCode>
                <c:ptCount val="3"/>
                <c:pt idx="0">
                  <c:v>0.21406465112703454</c:v>
                </c:pt>
                <c:pt idx="1">
                  <c:v>0.321796753664221</c:v>
                </c:pt>
                <c:pt idx="2">
                  <c:v>0.31112981410738882</c:v>
                </c:pt>
              </c:numCache>
            </c:numRef>
          </c:val>
          <c:smooth val="0"/>
          <c:extLst>
            <c:ext xmlns:c16="http://schemas.microsoft.com/office/drawing/2014/chart" uri="{C3380CC4-5D6E-409C-BE32-E72D297353CC}">
              <c16:uniqueId val="{00000002-93F2-2546-ABE9-E7F662A4F429}"/>
            </c:ext>
          </c:extLst>
        </c:ser>
        <c:ser>
          <c:idx val="2"/>
          <c:order val="2"/>
          <c:tx>
            <c:v>15 years</c:v>
          </c:tx>
          <c:spPr>
            <a:ln cmpd="sng">
              <a:solidFill>
                <a:srgbClr val="FBBC04"/>
              </a:solidFill>
            </a:ln>
          </c:spPr>
          <c:marker>
            <c:symbol val="circle"/>
            <c:size val="5"/>
            <c:spPr>
              <a:solidFill>
                <a:srgbClr val="FBBC04"/>
              </a:solidFill>
              <a:ln cmpd="sng">
                <a:solidFill>
                  <a:srgbClr val="FBBC04"/>
                </a:solidFill>
              </a:ln>
            </c:spPr>
          </c:marker>
          <c:cat>
            <c:strRef>
              <c:f>'Project 3'!$V$3:$X$3</c:f>
              <c:strCache>
                <c:ptCount val="3"/>
                <c:pt idx="0">
                  <c:v>3G</c:v>
                </c:pt>
                <c:pt idx="1">
                  <c:v>3H</c:v>
                </c:pt>
                <c:pt idx="2">
                  <c:v>3I</c:v>
                </c:pt>
              </c:strCache>
            </c:strRef>
          </c:cat>
          <c:val>
            <c:numRef>
              <c:f>'Project 3'!$V$123:$X$123</c:f>
              <c:numCache>
                <c:formatCode>0%</c:formatCode>
                <c:ptCount val="3"/>
                <c:pt idx="0">
                  <c:v>0.24008822973726485</c:v>
                </c:pt>
                <c:pt idx="1">
                  <c:v>0.33853533350867515</c:v>
                </c:pt>
                <c:pt idx="2">
                  <c:v>0.32863671802126482</c:v>
                </c:pt>
              </c:numCache>
            </c:numRef>
          </c:val>
          <c:smooth val="0"/>
          <c:extLst>
            <c:ext xmlns:c16="http://schemas.microsoft.com/office/drawing/2014/chart" uri="{C3380CC4-5D6E-409C-BE32-E72D297353CC}">
              <c16:uniqueId val="{00000003-93F2-2546-ABE9-E7F662A4F429}"/>
            </c:ext>
          </c:extLst>
        </c:ser>
        <c:dLbls>
          <c:showLegendKey val="0"/>
          <c:showVal val="0"/>
          <c:showCatName val="0"/>
          <c:showSerName val="0"/>
          <c:showPercent val="0"/>
          <c:showBubbleSize val="0"/>
        </c:dLbls>
        <c:marker val="1"/>
        <c:smooth val="0"/>
        <c:axId val="1469034051"/>
        <c:axId val="1948759949"/>
      </c:lineChart>
      <c:catAx>
        <c:axId val="146903405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948759949"/>
        <c:crosses val="autoZero"/>
        <c:auto val="1"/>
        <c:lblAlgn val="ctr"/>
        <c:lblOffset val="100"/>
        <c:noMultiLvlLbl val="1"/>
      </c:catAx>
      <c:valAx>
        <c:axId val="194875994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IRR</a:t>
                </a:r>
              </a:p>
            </c:rich>
          </c:tx>
          <c:overlay val="0"/>
        </c:title>
        <c:numFmt formatCode="0%" sourceLinked="1"/>
        <c:majorTickMark val="cross"/>
        <c:minorTickMark val="none"/>
        <c:tickLblPos val="nextTo"/>
        <c:spPr>
          <a:ln/>
        </c:spPr>
        <c:txPr>
          <a:bodyPr/>
          <a:lstStyle/>
          <a:p>
            <a:pPr lvl="0">
              <a:defRPr b="0">
                <a:solidFill>
                  <a:srgbClr val="000000"/>
                </a:solidFill>
                <a:latin typeface="+mn-lt"/>
              </a:defRPr>
            </a:pPr>
            <a:endParaRPr lang="en-US"/>
          </a:p>
        </c:txPr>
        <c:crossAx val="1469034051"/>
        <c:crosses val="autoZero"/>
        <c:crossBetween val="between"/>
      </c:valAx>
    </c:plotArea>
    <c:legend>
      <c:legendPos val="r"/>
      <c:overlay val="0"/>
      <c:txPr>
        <a:bodyPr/>
        <a:lstStyle/>
        <a:p>
          <a:pPr lvl="0">
            <a:defRPr b="1">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1: NPV of cashflows using MARR (8, 10 and 15 years)</a:t>
            </a:r>
          </a:p>
        </c:rich>
      </c:tx>
      <c:overlay val="0"/>
    </c:title>
    <c:autoTitleDeleted val="0"/>
    <c:plotArea>
      <c:layout/>
      <c:barChart>
        <c:barDir val="col"/>
        <c:grouping val="clustered"/>
        <c:varyColors val="1"/>
        <c:ser>
          <c:idx val="0"/>
          <c:order val="0"/>
          <c:tx>
            <c:v>8 years</c:v>
          </c:tx>
          <c:spPr>
            <a:solidFill>
              <a:srgbClr val="4285F4"/>
            </a:solidFill>
            <a:ln w="38100" cmpd="sng">
              <a:solidFill>
                <a:srgbClr val="000000"/>
              </a:solidFill>
            </a:ln>
          </c:spPr>
          <c:invertIfNegative val="1"/>
          <c:cat>
            <c:strRef>
              <c:f>'Project 3'!$H$3:$J$3</c:f>
              <c:strCache>
                <c:ptCount val="3"/>
                <c:pt idx="0">
                  <c:v>3G</c:v>
                </c:pt>
                <c:pt idx="1">
                  <c:v>3H</c:v>
                </c:pt>
                <c:pt idx="2">
                  <c:v>3I</c:v>
                </c:pt>
              </c:strCache>
            </c:strRef>
          </c:cat>
          <c:val>
            <c:numRef>
              <c:f>'Project 3'!$H$14:$J$14</c:f>
              <c:numCache>
                <c:formatCode>"$"#,##0.00</c:formatCode>
                <c:ptCount val="3"/>
                <c:pt idx="0">
                  <c:v>2436.6075384610922</c:v>
                </c:pt>
                <c:pt idx="1">
                  <c:v>18847.858092306626</c:v>
                </c:pt>
                <c:pt idx="2">
                  <c:v>39746.430153844369</c:v>
                </c:pt>
              </c:numCache>
            </c:numRef>
          </c:val>
          <c:extLst>
            <c:ext xmlns:c14="http://schemas.microsoft.com/office/drawing/2007/8/2/chart" uri="{6F2FDCE9-48DA-4B69-8628-5D25D57E5C99}">
              <c14:invertSolidFillFmt>
                <c14:spPr xmlns:c14="http://schemas.microsoft.com/office/drawing/2007/8/2/chart">
                  <a:solidFill>
                    <a:srgbClr val="FFFFFF"/>
                  </a:solidFill>
                  <a:ln w="38100" cmpd="sng">
                    <a:solidFill>
                      <a:srgbClr val="000000"/>
                    </a:solidFill>
                  </a:ln>
                </c14:spPr>
              </c14:invertSolidFillFmt>
            </c:ext>
            <c:ext xmlns:c16="http://schemas.microsoft.com/office/drawing/2014/chart" uri="{C3380CC4-5D6E-409C-BE32-E72D297353CC}">
              <c16:uniqueId val="{00000000-40E4-DF48-A7B1-946105F8A30B}"/>
            </c:ext>
          </c:extLst>
        </c:ser>
        <c:ser>
          <c:idx val="1"/>
          <c:order val="1"/>
          <c:tx>
            <c:v>10 years</c:v>
          </c:tx>
          <c:spPr>
            <a:solidFill>
              <a:srgbClr val="EA4335"/>
            </a:solidFill>
            <a:ln cmpd="sng">
              <a:solidFill>
                <a:srgbClr val="000000"/>
              </a:solidFill>
            </a:ln>
          </c:spPr>
          <c:invertIfNegative val="1"/>
          <c:cat>
            <c:strRef>
              <c:f>'Project 3'!$H$3:$J$3</c:f>
              <c:strCache>
                <c:ptCount val="3"/>
                <c:pt idx="0">
                  <c:v>3G</c:v>
                </c:pt>
                <c:pt idx="1">
                  <c:v>3H</c:v>
                </c:pt>
                <c:pt idx="2">
                  <c:v>3I</c:v>
                </c:pt>
              </c:strCache>
            </c:strRef>
          </c:cat>
          <c:val>
            <c:numRef>
              <c:f>'Project 3'!$O$16:$Q$16</c:f>
              <c:numCache>
                <c:formatCode>"$"#,##0.00</c:formatCode>
                <c:ptCount val="3"/>
                <c:pt idx="0">
                  <c:v>5093.8431292711502</c:v>
                </c:pt>
                <c:pt idx="1">
                  <c:v>25225.223510250762</c:v>
                </c:pt>
                <c:pt idx="2">
                  <c:v>50375.372517084601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40E4-DF48-A7B1-946105F8A30B}"/>
            </c:ext>
          </c:extLst>
        </c:ser>
        <c:ser>
          <c:idx val="2"/>
          <c:order val="2"/>
          <c:tx>
            <c:v>15 years</c:v>
          </c:tx>
          <c:spPr>
            <a:solidFill>
              <a:srgbClr val="FBBC04"/>
            </a:solidFill>
            <a:ln cmpd="sng">
              <a:solidFill>
                <a:srgbClr val="000000"/>
              </a:solidFill>
            </a:ln>
          </c:spPr>
          <c:invertIfNegative val="1"/>
          <c:cat>
            <c:strRef>
              <c:f>'Project 3'!$H$3:$J$3</c:f>
              <c:strCache>
                <c:ptCount val="3"/>
                <c:pt idx="0">
                  <c:v>3G</c:v>
                </c:pt>
                <c:pt idx="1">
                  <c:v>3H</c:v>
                </c:pt>
                <c:pt idx="2">
                  <c:v>3I</c:v>
                </c:pt>
              </c:strCache>
            </c:strRef>
          </c:cat>
          <c:val>
            <c:numRef>
              <c:f>'Project 3'!$V$21:$X$21</c:f>
              <c:numCache>
                <c:formatCode>"$"#,##0.00</c:formatCode>
                <c:ptCount val="3"/>
                <c:pt idx="0">
                  <c:v>9236.8504931554635</c:v>
                </c:pt>
                <c:pt idx="1">
                  <c:v>35168.441183573115</c:v>
                </c:pt>
                <c:pt idx="2">
                  <c:v>66947.401972621854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40E4-DF48-A7B1-946105F8A30B}"/>
            </c:ext>
          </c:extLst>
        </c:ser>
        <c:dLbls>
          <c:showLegendKey val="0"/>
          <c:showVal val="0"/>
          <c:showCatName val="0"/>
          <c:showSerName val="0"/>
          <c:showPercent val="0"/>
          <c:showBubbleSize val="0"/>
        </c:dLbls>
        <c:gapWidth val="150"/>
        <c:axId val="149927694"/>
        <c:axId val="781075078"/>
      </c:barChart>
      <c:catAx>
        <c:axId val="14992769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81075078"/>
        <c:crosses val="autoZero"/>
        <c:auto val="1"/>
        <c:lblAlgn val="ctr"/>
        <c:lblOffset val="100"/>
        <c:noMultiLvlLbl val="1"/>
      </c:catAx>
      <c:valAx>
        <c:axId val="7810750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NPV using MARR</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49927694"/>
        <c:crosses val="autoZero"/>
        <c:crossBetween val="between"/>
      </c:valAx>
    </c:plotArea>
    <c:legend>
      <c:legendPos val="t"/>
      <c:overlay val="0"/>
      <c:txPr>
        <a:bodyPr/>
        <a:lstStyle/>
        <a:p>
          <a:pPr lvl="0">
            <a:defRPr b="1">
              <a:solidFill>
                <a:srgbClr val="1A1A1A"/>
              </a:solidFill>
              <a:latin typeface="Arial"/>
            </a:defRPr>
          </a:pPr>
          <a:endParaRPr lang="en-US"/>
        </a:p>
      </c:txPr>
    </c:legend>
    <c:plotVisOnly val="1"/>
    <c:dispBlanksAs val="zero"/>
    <c:showDLblsOverMax val="1"/>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2: NPV of cashflows using MARR (8, 10 and 15 years) </a:t>
            </a:r>
          </a:p>
        </c:rich>
      </c:tx>
      <c:overlay val="0"/>
    </c:title>
    <c:autoTitleDeleted val="0"/>
    <c:plotArea>
      <c:layout/>
      <c:barChart>
        <c:barDir val="col"/>
        <c:grouping val="clustered"/>
        <c:varyColors val="1"/>
        <c:ser>
          <c:idx val="0"/>
          <c:order val="0"/>
          <c:tx>
            <c:v>8 years</c:v>
          </c:tx>
          <c:spPr>
            <a:solidFill>
              <a:srgbClr val="4285F4"/>
            </a:solidFill>
            <a:ln w="38100" cmpd="sng">
              <a:solidFill>
                <a:srgbClr val="000000"/>
              </a:solidFill>
            </a:ln>
          </c:spPr>
          <c:invertIfNegative val="1"/>
          <c:cat>
            <c:strRef>
              <c:f>'Project 3'!$H$3:$J$3</c:f>
              <c:strCache>
                <c:ptCount val="3"/>
                <c:pt idx="0">
                  <c:v>3G</c:v>
                </c:pt>
                <c:pt idx="1">
                  <c:v>3H</c:v>
                </c:pt>
                <c:pt idx="2">
                  <c:v>3I</c:v>
                </c:pt>
              </c:strCache>
            </c:strRef>
          </c:cat>
          <c:val>
            <c:numRef>
              <c:f>'Project 3'!$H$39:$J$39</c:f>
              <c:numCache>
                <c:formatCode>"$"#,##0.00</c:formatCode>
                <c:ptCount val="3"/>
                <c:pt idx="0">
                  <c:v>-2050.7139692311248</c:v>
                </c:pt>
                <c:pt idx="1">
                  <c:v>5385.893569229971</c:v>
                </c:pt>
                <c:pt idx="2">
                  <c:v>17309.822615383295</c:v>
                </c:pt>
              </c:numCache>
            </c:numRef>
          </c:val>
          <c:extLst>
            <c:ext xmlns:c14="http://schemas.microsoft.com/office/drawing/2007/8/2/chart" uri="{6F2FDCE9-48DA-4B69-8628-5D25D57E5C99}">
              <c14:invertSolidFillFmt>
                <c14:spPr xmlns:c14="http://schemas.microsoft.com/office/drawing/2007/8/2/chart">
                  <a:solidFill>
                    <a:srgbClr val="FFFFFF"/>
                  </a:solidFill>
                  <a:ln w="38100" cmpd="sng">
                    <a:solidFill>
                      <a:srgbClr val="000000"/>
                    </a:solidFill>
                  </a:ln>
                </c14:spPr>
              </c14:invertSolidFillFmt>
            </c:ext>
            <c:ext xmlns:c16="http://schemas.microsoft.com/office/drawing/2014/chart" uri="{C3380CC4-5D6E-409C-BE32-E72D297353CC}">
              <c16:uniqueId val="{00000000-8CEC-9645-A998-109253369912}"/>
            </c:ext>
          </c:extLst>
        </c:ser>
        <c:ser>
          <c:idx val="1"/>
          <c:order val="1"/>
          <c:tx>
            <c:v>10 years</c:v>
          </c:tx>
          <c:spPr>
            <a:solidFill>
              <a:srgbClr val="EA4335"/>
            </a:solidFill>
            <a:ln cmpd="sng">
              <a:solidFill>
                <a:srgbClr val="000000"/>
              </a:solidFill>
            </a:ln>
          </c:spPr>
          <c:invertIfNegative val="1"/>
          <c:cat>
            <c:strRef>
              <c:f>'Project 3'!$H$3:$J$3</c:f>
              <c:strCache>
                <c:ptCount val="3"/>
                <c:pt idx="0">
                  <c:v>3G</c:v>
                </c:pt>
                <c:pt idx="1">
                  <c:v>3H</c:v>
                </c:pt>
                <c:pt idx="2">
                  <c:v>3I</c:v>
                </c:pt>
              </c:strCache>
            </c:strRef>
          </c:cat>
          <c:val>
            <c:numRef>
              <c:f>'Project 3'!$O$41:$Q$41</c:f>
              <c:numCache>
                <c:formatCode>"$"#,##0.00</c:formatCode>
                <c:ptCount val="3"/>
                <c:pt idx="0">
                  <c:v>75.074503416923108</c:v>
                </c:pt>
                <c:pt idx="1">
                  <c:v>10168.917632688077</c:v>
                </c:pt>
                <c:pt idx="2">
                  <c:v>25281.529387813469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8CEC-9645-A998-109253369912}"/>
            </c:ext>
          </c:extLst>
        </c:ser>
        <c:ser>
          <c:idx val="2"/>
          <c:order val="2"/>
          <c:tx>
            <c:v>15 years </c:v>
          </c:tx>
          <c:spPr>
            <a:solidFill>
              <a:srgbClr val="FBBC04"/>
            </a:solidFill>
            <a:ln cmpd="sng">
              <a:solidFill>
                <a:srgbClr val="000000"/>
              </a:solidFill>
            </a:ln>
          </c:spPr>
          <c:invertIfNegative val="1"/>
          <c:cat>
            <c:strRef>
              <c:f>'Project 3'!$H$3:$J$3</c:f>
              <c:strCache>
                <c:ptCount val="3"/>
                <c:pt idx="0">
                  <c:v>3G</c:v>
                </c:pt>
                <c:pt idx="1">
                  <c:v>3H</c:v>
                </c:pt>
                <c:pt idx="2">
                  <c:v>3I</c:v>
                </c:pt>
              </c:strCache>
            </c:strRef>
          </c:cat>
          <c:val>
            <c:numRef>
              <c:f>'Project 3'!$V$46:$X$46</c:f>
              <c:numCache>
                <c:formatCode>"$"#,##0.00</c:formatCode>
                <c:ptCount val="3"/>
                <c:pt idx="0">
                  <c:v>3389.480394524373</c:v>
                </c:pt>
                <c:pt idx="1">
                  <c:v>17626.330887679847</c:v>
                </c:pt>
                <c:pt idx="2">
                  <c:v>37710.55147946642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8CEC-9645-A998-109253369912}"/>
            </c:ext>
          </c:extLst>
        </c:ser>
        <c:dLbls>
          <c:showLegendKey val="0"/>
          <c:showVal val="0"/>
          <c:showCatName val="0"/>
          <c:showSerName val="0"/>
          <c:showPercent val="0"/>
          <c:showBubbleSize val="0"/>
        </c:dLbls>
        <c:gapWidth val="150"/>
        <c:axId val="2101839888"/>
        <c:axId val="694276972"/>
      </c:barChart>
      <c:catAx>
        <c:axId val="210183988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94276972"/>
        <c:crosses val="autoZero"/>
        <c:auto val="1"/>
        <c:lblAlgn val="ctr"/>
        <c:lblOffset val="100"/>
        <c:noMultiLvlLbl val="1"/>
      </c:catAx>
      <c:valAx>
        <c:axId val="6942769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NPV using MARR</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2101839888"/>
        <c:crosses val="autoZero"/>
        <c:crossBetween val="between"/>
      </c:valAx>
    </c:plotArea>
    <c:legend>
      <c:legendPos val="r"/>
      <c:legendEntry>
        <c:idx val="0"/>
        <c:txPr>
          <a:bodyPr/>
          <a:lstStyle/>
          <a:p>
            <a:pPr lvl="0">
              <a:defRPr b="1"/>
            </a:pPr>
            <a:endParaRPr lang="en-US"/>
          </a:p>
        </c:txPr>
      </c:legendEntry>
      <c:legendEntry>
        <c:idx val="1"/>
        <c:txPr>
          <a:bodyPr/>
          <a:lstStyle/>
          <a:p>
            <a:pPr lvl="0">
              <a:defRPr b="1"/>
            </a:pPr>
            <a:endParaRPr lang="en-US"/>
          </a:p>
        </c:txPr>
      </c:legendEntry>
      <c:legendEntry>
        <c:idx val="2"/>
        <c:txPr>
          <a:bodyPr/>
          <a:lstStyle/>
          <a:p>
            <a:pPr lvl="0">
              <a:defRPr b="1"/>
            </a:pPr>
            <a:endParaRPr lang="en-US"/>
          </a:p>
        </c:txPr>
      </c:legendEntry>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3: NPV of cashflows using MARR (8, 10 and 15 years)</a:t>
            </a:r>
          </a:p>
        </c:rich>
      </c:tx>
      <c:overlay val="0"/>
    </c:title>
    <c:autoTitleDeleted val="0"/>
    <c:plotArea>
      <c:layout/>
      <c:barChart>
        <c:barDir val="col"/>
        <c:grouping val="clustered"/>
        <c:varyColors val="1"/>
        <c:ser>
          <c:idx val="0"/>
          <c:order val="0"/>
          <c:tx>
            <c:v>8 years</c:v>
          </c:tx>
          <c:spPr>
            <a:solidFill>
              <a:srgbClr val="4285F4"/>
            </a:solidFill>
            <a:ln w="38100" cmpd="sng">
              <a:solidFill>
                <a:srgbClr val="000000"/>
              </a:solidFill>
            </a:ln>
          </c:spPr>
          <c:invertIfNegative val="1"/>
          <c:cat>
            <c:strRef>
              <c:f>'Project 3'!$H$3:$J$3</c:f>
              <c:strCache>
                <c:ptCount val="3"/>
                <c:pt idx="0">
                  <c:v>3G</c:v>
                </c:pt>
                <c:pt idx="1">
                  <c:v>3H</c:v>
                </c:pt>
                <c:pt idx="2">
                  <c:v>3I</c:v>
                </c:pt>
              </c:strCache>
            </c:strRef>
          </c:cat>
          <c:val>
            <c:numRef>
              <c:f>'Project 3'!$H$64:$J$64</c:f>
              <c:numCache>
                <c:formatCode>"$"#,##0.00</c:formatCode>
                <c:ptCount val="3"/>
                <c:pt idx="0">
                  <c:v>6923.9290461533128</c:v>
                </c:pt>
                <c:pt idx="1">
                  <c:v>45771.787138459942</c:v>
                </c:pt>
                <c:pt idx="2">
                  <c:v>84619.64523076659</c:v>
                </c:pt>
              </c:numCache>
            </c:numRef>
          </c:val>
          <c:extLst>
            <c:ext xmlns:c14="http://schemas.microsoft.com/office/drawing/2007/8/2/chart" uri="{6F2FDCE9-48DA-4B69-8628-5D25D57E5C99}">
              <c14:invertSolidFillFmt>
                <c14:spPr xmlns:c14="http://schemas.microsoft.com/office/drawing/2007/8/2/chart">
                  <a:solidFill>
                    <a:srgbClr val="FFFFFF"/>
                  </a:solidFill>
                  <a:ln w="38100" cmpd="sng">
                    <a:solidFill>
                      <a:srgbClr val="000000"/>
                    </a:solidFill>
                  </a:ln>
                </c14:spPr>
              </c14:invertSolidFillFmt>
            </c:ext>
            <c:ext xmlns:c16="http://schemas.microsoft.com/office/drawing/2014/chart" uri="{C3380CC4-5D6E-409C-BE32-E72D297353CC}">
              <c16:uniqueId val="{00000000-D2B6-B947-B543-4665063A673C}"/>
            </c:ext>
          </c:extLst>
        </c:ser>
        <c:ser>
          <c:idx val="1"/>
          <c:order val="1"/>
          <c:tx>
            <c:v>10 years</c:v>
          </c:tx>
          <c:spPr>
            <a:solidFill>
              <a:srgbClr val="EA4335"/>
            </a:solidFill>
            <a:ln cmpd="sng">
              <a:solidFill>
                <a:srgbClr val="000000"/>
              </a:solidFill>
            </a:ln>
          </c:spPr>
          <c:invertIfNegative val="1"/>
          <c:cat>
            <c:strRef>
              <c:f>'Project 3'!$H$3:$J$3</c:f>
              <c:strCache>
                <c:ptCount val="3"/>
                <c:pt idx="0">
                  <c:v>3G</c:v>
                </c:pt>
                <c:pt idx="1">
                  <c:v>3H</c:v>
                </c:pt>
                <c:pt idx="2">
                  <c:v>3I</c:v>
                </c:pt>
              </c:strCache>
            </c:strRef>
          </c:cat>
          <c:val>
            <c:numRef>
              <c:f>'Project 3'!$O$66:$Q$66</c:f>
              <c:numCache>
                <c:formatCode>"$"#,##0.00</c:formatCode>
                <c:ptCount val="3"/>
                <c:pt idx="0">
                  <c:v>10112.611755125381</c:v>
                </c:pt>
                <c:pt idx="1">
                  <c:v>55337.835265376154</c:v>
                </c:pt>
                <c:pt idx="2">
                  <c:v>100563.05877562694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D2B6-B947-B543-4665063A673C}"/>
            </c:ext>
          </c:extLst>
        </c:ser>
        <c:ser>
          <c:idx val="2"/>
          <c:order val="2"/>
          <c:tx>
            <c:v>15 years</c:v>
          </c:tx>
          <c:spPr>
            <a:solidFill>
              <a:srgbClr val="FBBC04"/>
            </a:solidFill>
            <a:ln cmpd="sng">
              <a:solidFill>
                <a:srgbClr val="000000"/>
              </a:solidFill>
            </a:ln>
          </c:spPr>
          <c:invertIfNegative val="1"/>
          <c:cat>
            <c:strRef>
              <c:f>'Project 3'!$H$3:$J$3</c:f>
              <c:strCache>
                <c:ptCount val="3"/>
                <c:pt idx="0">
                  <c:v>3G</c:v>
                </c:pt>
                <c:pt idx="1">
                  <c:v>3H</c:v>
                </c:pt>
                <c:pt idx="2">
                  <c:v>3I</c:v>
                </c:pt>
              </c:strCache>
            </c:strRef>
          </c:cat>
          <c:val>
            <c:numRef>
              <c:f>'Project 3'!$V$71:$X$71</c:f>
              <c:numCache>
                <c:formatCode>"$"#,##0.00</c:formatCode>
                <c:ptCount val="3"/>
                <c:pt idx="0">
                  <c:v>15084.220591786558</c:v>
                </c:pt>
                <c:pt idx="1">
                  <c:v>70252.661775359695</c:v>
                </c:pt>
                <c:pt idx="2">
                  <c:v>125421.10295893284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D2B6-B947-B543-4665063A673C}"/>
            </c:ext>
          </c:extLst>
        </c:ser>
        <c:dLbls>
          <c:showLegendKey val="0"/>
          <c:showVal val="0"/>
          <c:showCatName val="0"/>
          <c:showSerName val="0"/>
          <c:showPercent val="0"/>
          <c:showBubbleSize val="0"/>
        </c:dLbls>
        <c:gapWidth val="150"/>
        <c:axId val="1264904181"/>
        <c:axId val="368038050"/>
      </c:barChart>
      <c:catAx>
        <c:axId val="126490418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68038050"/>
        <c:crosses val="autoZero"/>
        <c:auto val="1"/>
        <c:lblAlgn val="ctr"/>
        <c:lblOffset val="100"/>
        <c:noMultiLvlLbl val="1"/>
      </c:catAx>
      <c:valAx>
        <c:axId val="3680380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NPV using MARR</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264904181"/>
        <c:crosses val="autoZero"/>
        <c:crossBetween val="between"/>
      </c:valAx>
    </c:plotArea>
    <c:legend>
      <c:legendPos val="r"/>
      <c:overlay val="0"/>
      <c:txPr>
        <a:bodyPr/>
        <a:lstStyle/>
        <a:p>
          <a:pPr lvl="0">
            <a:defRPr b="1">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4: NPV of cashflows using MARR (8, 10 and 15 years) </a:t>
            </a:r>
          </a:p>
        </c:rich>
      </c:tx>
      <c:overlay val="0"/>
    </c:title>
    <c:autoTitleDeleted val="0"/>
    <c:plotArea>
      <c:layout/>
      <c:barChart>
        <c:barDir val="col"/>
        <c:grouping val="clustered"/>
        <c:varyColors val="1"/>
        <c:ser>
          <c:idx val="0"/>
          <c:order val="0"/>
          <c:tx>
            <c:v>8 years</c:v>
          </c:tx>
          <c:spPr>
            <a:solidFill>
              <a:srgbClr val="4285F4"/>
            </a:solidFill>
            <a:ln w="38100" cmpd="sng">
              <a:solidFill>
                <a:srgbClr val="000000"/>
              </a:solidFill>
            </a:ln>
          </c:spPr>
          <c:invertIfNegative val="1"/>
          <c:cat>
            <c:strRef>
              <c:f>'Project 3'!$H$3:$J$3</c:f>
              <c:strCache>
                <c:ptCount val="3"/>
                <c:pt idx="0">
                  <c:v>3G</c:v>
                </c:pt>
                <c:pt idx="1">
                  <c:v>3H</c:v>
                </c:pt>
                <c:pt idx="2">
                  <c:v>3I</c:v>
                </c:pt>
              </c:strCache>
            </c:strRef>
          </c:cat>
          <c:val>
            <c:numRef>
              <c:f>'Project 3'!$H$89:$J$89</c:f>
              <c:numCache>
                <c:formatCode>"$"#,##0.00</c:formatCode>
                <c:ptCount val="3"/>
                <c:pt idx="0">
                  <c:v>2436.6075384610922</c:v>
                </c:pt>
                <c:pt idx="1">
                  <c:v>18847.858092306626</c:v>
                </c:pt>
                <c:pt idx="2">
                  <c:v>49746.430153844369</c:v>
                </c:pt>
              </c:numCache>
            </c:numRef>
          </c:val>
          <c:extLst>
            <c:ext xmlns:c14="http://schemas.microsoft.com/office/drawing/2007/8/2/chart" uri="{6F2FDCE9-48DA-4B69-8628-5D25D57E5C99}">
              <c14:invertSolidFillFmt>
                <c14:spPr xmlns:c14="http://schemas.microsoft.com/office/drawing/2007/8/2/chart">
                  <a:solidFill>
                    <a:srgbClr val="FFFFFF"/>
                  </a:solidFill>
                  <a:ln w="38100" cmpd="sng">
                    <a:solidFill>
                      <a:srgbClr val="000000"/>
                    </a:solidFill>
                  </a:ln>
                </c14:spPr>
              </c14:invertSolidFillFmt>
            </c:ext>
            <c:ext xmlns:c16="http://schemas.microsoft.com/office/drawing/2014/chart" uri="{C3380CC4-5D6E-409C-BE32-E72D297353CC}">
              <c16:uniqueId val="{00000000-A7E5-0647-8682-56BDE8FDD173}"/>
            </c:ext>
          </c:extLst>
        </c:ser>
        <c:ser>
          <c:idx val="1"/>
          <c:order val="1"/>
          <c:tx>
            <c:v>10 years</c:v>
          </c:tx>
          <c:spPr>
            <a:solidFill>
              <a:srgbClr val="EA4335"/>
            </a:solidFill>
            <a:ln cmpd="sng">
              <a:solidFill>
                <a:srgbClr val="000000"/>
              </a:solidFill>
            </a:ln>
          </c:spPr>
          <c:invertIfNegative val="1"/>
          <c:cat>
            <c:strRef>
              <c:f>'Project 3'!$H$3:$J$3</c:f>
              <c:strCache>
                <c:ptCount val="3"/>
                <c:pt idx="0">
                  <c:v>3G</c:v>
                </c:pt>
                <c:pt idx="1">
                  <c:v>3H</c:v>
                </c:pt>
                <c:pt idx="2">
                  <c:v>3I</c:v>
                </c:pt>
              </c:strCache>
            </c:strRef>
          </c:cat>
          <c:val>
            <c:numRef>
              <c:f>'Project 3'!$O$91:$Q$91</c:f>
              <c:numCache>
                <c:formatCode>"$"#,##0.00</c:formatCode>
                <c:ptCount val="3"/>
                <c:pt idx="0">
                  <c:v>5093.8431292711502</c:v>
                </c:pt>
                <c:pt idx="1">
                  <c:v>25225.223510250762</c:v>
                </c:pt>
                <c:pt idx="2">
                  <c:v>60375.372517084601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A7E5-0647-8682-56BDE8FDD173}"/>
            </c:ext>
          </c:extLst>
        </c:ser>
        <c:ser>
          <c:idx val="2"/>
          <c:order val="2"/>
          <c:tx>
            <c:v>15 years</c:v>
          </c:tx>
          <c:spPr>
            <a:solidFill>
              <a:srgbClr val="FBBC04"/>
            </a:solidFill>
            <a:ln cmpd="sng">
              <a:solidFill>
                <a:srgbClr val="000000"/>
              </a:solidFill>
            </a:ln>
          </c:spPr>
          <c:invertIfNegative val="1"/>
          <c:cat>
            <c:strRef>
              <c:f>'Project 3'!$H$3:$J$3</c:f>
              <c:strCache>
                <c:ptCount val="3"/>
                <c:pt idx="0">
                  <c:v>3G</c:v>
                </c:pt>
                <c:pt idx="1">
                  <c:v>3H</c:v>
                </c:pt>
                <c:pt idx="2">
                  <c:v>3I</c:v>
                </c:pt>
              </c:strCache>
            </c:strRef>
          </c:cat>
          <c:val>
            <c:numRef>
              <c:f>'Project 3'!$V$96:$X$96</c:f>
              <c:numCache>
                <c:formatCode>"$"#,##0.00</c:formatCode>
                <c:ptCount val="3"/>
                <c:pt idx="0">
                  <c:v>9236.8504931554635</c:v>
                </c:pt>
                <c:pt idx="1">
                  <c:v>35168.441183573115</c:v>
                </c:pt>
                <c:pt idx="2">
                  <c:v>76947.401972621854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A7E5-0647-8682-56BDE8FDD173}"/>
            </c:ext>
          </c:extLst>
        </c:ser>
        <c:dLbls>
          <c:showLegendKey val="0"/>
          <c:showVal val="0"/>
          <c:showCatName val="0"/>
          <c:showSerName val="0"/>
          <c:showPercent val="0"/>
          <c:showBubbleSize val="0"/>
        </c:dLbls>
        <c:gapWidth val="150"/>
        <c:axId val="1112924631"/>
        <c:axId val="171878341"/>
      </c:barChart>
      <c:catAx>
        <c:axId val="111292463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1878341"/>
        <c:crosses val="autoZero"/>
        <c:auto val="1"/>
        <c:lblAlgn val="ctr"/>
        <c:lblOffset val="100"/>
        <c:noMultiLvlLbl val="1"/>
      </c:catAx>
      <c:valAx>
        <c:axId val="1718783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NPV using MARR</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112924631"/>
        <c:crosses val="autoZero"/>
        <c:crossBetween val="between"/>
      </c:valAx>
    </c:plotArea>
    <c:legend>
      <c:legendPos val="r"/>
      <c:legendEntry>
        <c:idx val="0"/>
        <c:txPr>
          <a:bodyPr/>
          <a:lstStyle/>
          <a:p>
            <a:pPr lvl="0">
              <a:defRPr b="1"/>
            </a:pPr>
            <a:endParaRPr lang="en-US"/>
          </a:p>
        </c:txPr>
      </c:legendEntry>
      <c:legendEntry>
        <c:idx val="1"/>
        <c:txPr>
          <a:bodyPr/>
          <a:lstStyle/>
          <a:p>
            <a:pPr lvl="0">
              <a:defRPr b="1"/>
            </a:pPr>
            <a:endParaRPr lang="en-US"/>
          </a:p>
        </c:txPr>
      </c:legendEntry>
      <c:legendEntry>
        <c:idx val="2"/>
        <c:txPr>
          <a:bodyPr/>
          <a:lstStyle/>
          <a:p>
            <a:pPr lvl="0">
              <a:defRPr b="1"/>
            </a:pPr>
            <a:endParaRPr lang="en-US"/>
          </a:p>
        </c:txPr>
      </c:legendEntry>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5: NPV of cashflows using MARR (8, 10 and 15 years) </a:t>
            </a:r>
          </a:p>
        </c:rich>
      </c:tx>
      <c:overlay val="0"/>
    </c:title>
    <c:autoTitleDeleted val="0"/>
    <c:plotArea>
      <c:layout/>
      <c:barChart>
        <c:barDir val="col"/>
        <c:grouping val="clustered"/>
        <c:varyColors val="1"/>
        <c:ser>
          <c:idx val="0"/>
          <c:order val="0"/>
          <c:tx>
            <c:v>8 years</c:v>
          </c:tx>
          <c:spPr>
            <a:solidFill>
              <a:srgbClr val="4285F4"/>
            </a:solidFill>
            <a:ln w="38100" cmpd="sng">
              <a:solidFill>
                <a:srgbClr val="000000"/>
              </a:solidFill>
            </a:ln>
          </c:spPr>
          <c:invertIfNegative val="1"/>
          <c:cat>
            <c:strRef>
              <c:f>'Project 3'!$H$3:$J$3</c:f>
              <c:strCache>
                <c:ptCount val="3"/>
                <c:pt idx="0">
                  <c:v>3G</c:v>
                </c:pt>
                <c:pt idx="1">
                  <c:v>3H</c:v>
                </c:pt>
                <c:pt idx="2">
                  <c:v>3I</c:v>
                </c:pt>
              </c:strCache>
            </c:strRef>
          </c:cat>
          <c:val>
            <c:numRef>
              <c:f>'Project 3'!$H$114:$J$114</c:f>
              <c:numCache>
                <c:formatCode>"$"#,##0.00</c:formatCode>
                <c:ptCount val="3"/>
                <c:pt idx="0">
                  <c:v>2436.6075384610922</c:v>
                </c:pt>
                <c:pt idx="1">
                  <c:v>18847.858092306626</c:v>
                </c:pt>
                <c:pt idx="2">
                  <c:v>29746.430153844369</c:v>
                </c:pt>
              </c:numCache>
            </c:numRef>
          </c:val>
          <c:extLst>
            <c:ext xmlns:c14="http://schemas.microsoft.com/office/drawing/2007/8/2/chart" uri="{6F2FDCE9-48DA-4B69-8628-5D25D57E5C99}">
              <c14:invertSolidFillFmt>
                <c14:spPr xmlns:c14="http://schemas.microsoft.com/office/drawing/2007/8/2/chart">
                  <a:solidFill>
                    <a:srgbClr val="FFFFFF"/>
                  </a:solidFill>
                  <a:ln w="38100" cmpd="sng">
                    <a:solidFill>
                      <a:srgbClr val="000000"/>
                    </a:solidFill>
                  </a:ln>
                </c14:spPr>
              </c14:invertSolidFillFmt>
            </c:ext>
            <c:ext xmlns:c16="http://schemas.microsoft.com/office/drawing/2014/chart" uri="{C3380CC4-5D6E-409C-BE32-E72D297353CC}">
              <c16:uniqueId val="{00000000-10E5-F647-B500-8B75CAC42133}"/>
            </c:ext>
          </c:extLst>
        </c:ser>
        <c:ser>
          <c:idx val="1"/>
          <c:order val="1"/>
          <c:tx>
            <c:v>10 years</c:v>
          </c:tx>
          <c:spPr>
            <a:solidFill>
              <a:srgbClr val="EA4335"/>
            </a:solidFill>
            <a:ln cmpd="sng">
              <a:solidFill>
                <a:srgbClr val="000000"/>
              </a:solidFill>
            </a:ln>
          </c:spPr>
          <c:invertIfNegative val="1"/>
          <c:cat>
            <c:strRef>
              <c:f>'Project 3'!$H$3:$J$3</c:f>
              <c:strCache>
                <c:ptCount val="3"/>
                <c:pt idx="0">
                  <c:v>3G</c:v>
                </c:pt>
                <c:pt idx="1">
                  <c:v>3H</c:v>
                </c:pt>
                <c:pt idx="2">
                  <c:v>3I</c:v>
                </c:pt>
              </c:strCache>
            </c:strRef>
          </c:cat>
          <c:val>
            <c:numRef>
              <c:f>'Project 3'!$O$116:$Q$116</c:f>
              <c:numCache>
                <c:formatCode>"$"#,##0.00</c:formatCode>
                <c:ptCount val="3"/>
                <c:pt idx="0">
                  <c:v>5093.8431292711502</c:v>
                </c:pt>
                <c:pt idx="1">
                  <c:v>25225.223510250762</c:v>
                </c:pt>
                <c:pt idx="2">
                  <c:v>40375.372517084601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10E5-F647-B500-8B75CAC42133}"/>
            </c:ext>
          </c:extLst>
        </c:ser>
        <c:ser>
          <c:idx val="2"/>
          <c:order val="2"/>
          <c:tx>
            <c:v>15 years</c:v>
          </c:tx>
          <c:spPr>
            <a:solidFill>
              <a:srgbClr val="FBBC04"/>
            </a:solidFill>
            <a:ln cmpd="sng">
              <a:solidFill>
                <a:srgbClr val="000000"/>
              </a:solidFill>
            </a:ln>
          </c:spPr>
          <c:invertIfNegative val="1"/>
          <c:cat>
            <c:strRef>
              <c:f>'Project 3'!$H$3:$J$3</c:f>
              <c:strCache>
                <c:ptCount val="3"/>
                <c:pt idx="0">
                  <c:v>3G</c:v>
                </c:pt>
                <c:pt idx="1">
                  <c:v>3H</c:v>
                </c:pt>
                <c:pt idx="2">
                  <c:v>3I</c:v>
                </c:pt>
              </c:strCache>
            </c:strRef>
          </c:cat>
          <c:val>
            <c:numRef>
              <c:f>'Project 3'!$V$121:$X$121</c:f>
              <c:numCache>
                <c:formatCode>"$"#,##0.00</c:formatCode>
                <c:ptCount val="3"/>
                <c:pt idx="0">
                  <c:v>9236.8504931554635</c:v>
                </c:pt>
                <c:pt idx="1">
                  <c:v>35168.441183573115</c:v>
                </c:pt>
                <c:pt idx="2">
                  <c:v>56947.401972621854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10E5-F647-B500-8B75CAC42133}"/>
            </c:ext>
          </c:extLst>
        </c:ser>
        <c:dLbls>
          <c:showLegendKey val="0"/>
          <c:showVal val="0"/>
          <c:showCatName val="0"/>
          <c:showSerName val="0"/>
          <c:showPercent val="0"/>
          <c:showBubbleSize val="0"/>
        </c:dLbls>
        <c:gapWidth val="150"/>
        <c:axId val="1403403574"/>
        <c:axId val="1755270276"/>
      </c:barChart>
      <c:catAx>
        <c:axId val="140340357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55270276"/>
        <c:crosses val="autoZero"/>
        <c:auto val="1"/>
        <c:lblAlgn val="ctr"/>
        <c:lblOffset val="100"/>
        <c:noMultiLvlLbl val="1"/>
      </c:catAx>
      <c:valAx>
        <c:axId val="17552702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NPV using MARR</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40340357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1: NPV of cashflows using Avg Return (8, 10 and 15 years)</a:t>
            </a:r>
          </a:p>
        </c:rich>
      </c:tx>
      <c:overlay val="0"/>
    </c:title>
    <c:autoTitleDeleted val="0"/>
    <c:plotArea>
      <c:layout/>
      <c:barChart>
        <c:barDir val="col"/>
        <c:grouping val="clustered"/>
        <c:varyColors val="1"/>
        <c:ser>
          <c:idx val="0"/>
          <c:order val="0"/>
          <c:tx>
            <c:v>8 years</c:v>
          </c:tx>
          <c:spPr>
            <a:solidFill>
              <a:srgbClr val="4285F4"/>
            </a:solidFill>
            <a:ln w="38100" cmpd="sng">
              <a:solidFill>
                <a:srgbClr val="000000"/>
              </a:solidFill>
            </a:ln>
          </c:spPr>
          <c:invertIfNegative val="1"/>
          <c:cat>
            <c:strRef>
              <c:f>'Project 3'!$H$3:$J$3</c:f>
              <c:strCache>
                <c:ptCount val="3"/>
                <c:pt idx="0">
                  <c:v>3G</c:v>
                </c:pt>
                <c:pt idx="1">
                  <c:v>3H</c:v>
                </c:pt>
                <c:pt idx="2">
                  <c:v>3I</c:v>
                </c:pt>
              </c:strCache>
            </c:strRef>
          </c:cat>
          <c:val>
            <c:numRef>
              <c:f>'Project 3'!$H$15:$J$15</c:f>
              <c:numCache>
                <c:formatCode>"$"#,##0.00</c:formatCode>
                <c:ptCount val="3"/>
                <c:pt idx="0">
                  <c:v>-814.20098403444354</c:v>
                </c:pt>
                <c:pt idx="1">
                  <c:v>11045.917638317333</c:v>
                </c:pt>
                <c:pt idx="2">
                  <c:v>26743.196063862226</c:v>
                </c:pt>
              </c:numCache>
            </c:numRef>
          </c:val>
          <c:extLst>
            <c:ext xmlns:c14="http://schemas.microsoft.com/office/drawing/2007/8/2/chart" uri="{6F2FDCE9-48DA-4B69-8628-5D25D57E5C99}">
              <c14:invertSolidFillFmt>
                <c14:spPr xmlns:c14="http://schemas.microsoft.com/office/drawing/2007/8/2/chart">
                  <a:solidFill>
                    <a:srgbClr val="FFFFFF"/>
                  </a:solidFill>
                  <a:ln w="38100" cmpd="sng">
                    <a:solidFill>
                      <a:srgbClr val="000000"/>
                    </a:solidFill>
                  </a:ln>
                </c14:spPr>
              </c14:invertSolidFillFmt>
            </c:ext>
            <c:ext xmlns:c16="http://schemas.microsoft.com/office/drawing/2014/chart" uri="{C3380CC4-5D6E-409C-BE32-E72D297353CC}">
              <c16:uniqueId val="{00000000-CB18-984B-93E0-698ED359F007}"/>
            </c:ext>
          </c:extLst>
        </c:ser>
        <c:ser>
          <c:idx val="1"/>
          <c:order val="1"/>
          <c:tx>
            <c:v>10 years</c:v>
          </c:tx>
          <c:spPr>
            <a:solidFill>
              <a:srgbClr val="EA4335"/>
            </a:solidFill>
            <a:ln cmpd="sng">
              <a:solidFill>
                <a:srgbClr val="000000"/>
              </a:solidFill>
            </a:ln>
          </c:spPr>
          <c:invertIfNegative val="1"/>
          <c:cat>
            <c:strRef>
              <c:f>'Project 3'!$H$3:$J$3</c:f>
              <c:strCache>
                <c:ptCount val="3"/>
                <c:pt idx="0">
                  <c:v>3G</c:v>
                </c:pt>
                <c:pt idx="1">
                  <c:v>3H</c:v>
                </c:pt>
                <c:pt idx="2">
                  <c:v>3I</c:v>
                </c:pt>
              </c:strCache>
            </c:strRef>
          </c:cat>
          <c:val>
            <c:numRef>
              <c:f>'Project 3'!$O$17:$Q$17</c:f>
              <c:numCache>
                <c:formatCode>"$"#,##0.00</c:formatCode>
                <c:ptCount val="3"/>
                <c:pt idx="0">
                  <c:v>962.36042775386159</c:v>
                </c:pt>
                <c:pt idx="1">
                  <c:v>15309.665026609262</c:v>
                </c:pt>
                <c:pt idx="2">
                  <c:v>33849.441711015446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B18-984B-93E0-698ED359F007}"/>
            </c:ext>
          </c:extLst>
        </c:ser>
        <c:ser>
          <c:idx val="2"/>
          <c:order val="2"/>
          <c:tx>
            <c:v>15 years</c:v>
          </c:tx>
          <c:spPr>
            <a:solidFill>
              <a:srgbClr val="FBBC04"/>
            </a:solidFill>
            <a:ln cmpd="sng">
              <a:solidFill>
                <a:srgbClr val="000000"/>
              </a:solidFill>
            </a:ln>
          </c:spPr>
          <c:invertIfNegative val="1"/>
          <c:cat>
            <c:strRef>
              <c:f>'Project 3'!$H$3:$J$3</c:f>
              <c:strCache>
                <c:ptCount val="3"/>
                <c:pt idx="0">
                  <c:v>3G</c:v>
                </c:pt>
                <c:pt idx="1">
                  <c:v>3H</c:v>
                </c:pt>
                <c:pt idx="2">
                  <c:v>3I</c:v>
                </c:pt>
              </c:strCache>
            </c:strRef>
          </c:cat>
          <c:val>
            <c:numRef>
              <c:f>'Project 3'!$V$22:$X$22</c:f>
              <c:numCache>
                <c:formatCode>"$"#,##0.00</c:formatCode>
                <c:ptCount val="3"/>
                <c:pt idx="0">
                  <c:v>3377.3632120281472</c:v>
                </c:pt>
                <c:pt idx="1">
                  <c:v>21105.67170886755</c:v>
                </c:pt>
                <c:pt idx="2">
                  <c:v>43509.452848112589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CB18-984B-93E0-698ED359F007}"/>
            </c:ext>
          </c:extLst>
        </c:ser>
        <c:dLbls>
          <c:showLegendKey val="0"/>
          <c:showVal val="0"/>
          <c:showCatName val="0"/>
          <c:showSerName val="0"/>
          <c:showPercent val="0"/>
          <c:showBubbleSize val="0"/>
        </c:dLbls>
        <c:gapWidth val="150"/>
        <c:axId val="24217779"/>
        <c:axId val="305988277"/>
      </c:barChart>
      <c:catAx>
        <c:axId val="242177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05988277"/>
        <c:crosses val="autoZero"/>
        <c:auto val="1"/>
        <c:lblAlgn val="ctr"/>
        <c:lblOffset val="100"/>
        <c:noMultiLvlLbl val="1"/>
      </c:catAx>
      <c:valAx>
        <c:axId val="3059882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NPV using MARR</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24217779"/>
        <c:crosses val="autoZero"/>
        <c:crossBetween val="between"/>
      </c:valAx>
    </c:plotArea>
    <c:legend>
      <c:legendPos val="t"/>
      <c:overlay val="0"/>
      <c:txPr>
        <a:bodyPr/>
        <a:lstStyle/>
        <a:p>
          <a:pPr lvl="0">
            <a:defRPr b="1">
              <a:solidFill>
                <a:srgbClr val="1A1A1A"/>
              </a:solidFill>
              <a:latin typeface="Arial"/>
            </a:defRPr>
          </a:pPr>
          <a:endParaRPr lang="en-US"/>
        </a:p>
      </c:txPr>
    </c:legend>
    <c:plotVisOnly val="1"/>
    <c:dispBlanksAs val="zero"/>
    <c:showDLblsOverMax val="1"/>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2: NPV of cashflows using Avg Return (8, 10 and 15 years)</a:t>
            </a:r>
          </a:p>
        </c:rich>
      </c:tx>
      <c:overlay val="0"/>
    </c:title>
    <c:autoTitleDeleted val="0"/>
    <c:plotArea>
      <c:layout/>
      <c:barChart>
        <c:barDir val="col"/>
        <c:grouping val="clustered"/>
        <c:varyColors val="1"/>
        <c:ser>
          <c:idx val="0"/>
          <c:order val="0"/>
          <c:tx>
            <c:v>8 years</c:v>
          </c:tx>
          <c:spPr>
            <a:solidFill>
              <a:srgbClr val="4285F4"/>
            </a:solidFill>
            <a:ln w="38100" cmpd="sng">
              <a:solidFill>
                <a:srgbClr val="000000"/>
              </a:solidFill>
            </a:ln>
          </c:spPr>
          <c:invertIfNegative val="1"/>
          <c:cat>
            <c:strRef>
              <c:f>'Project 3'!$H$3:$J$3</c:f>
              <c:strCache>
                <c:ptCount val="3"/>
                <c:pt idx="0">
                  <c:v>3G</c:v>
                </c:pt>
                <c:pt idx="1">
                  <c:v>3H</c:v>
                </c:pt>
                <c:pt idx="2">
                  <c:v>3I</c:v>
                </c:pt>
              </c:strCache>
            </c:strRef>
          </c:cat>
          <c:val>
            <c:numRef>
              <c:f>'Project 3'!$H$40:$J$40</c:f>
              <c:numCache>
                <c:formatCode>"$"#,##0.00</c:formatCode>
                <c:ptCount val="3"/>
                <c:pt idx="0">
                  <c:v>-4651.3607872275552</c:v>
                </c:pt>
                <c:pt idx="1">
                  <c:v>-465.56177126200782</c:v>
                </c:pt>
                <c:pt idx="2">
                  <c:v>7557.3970478966658</c:v>
                </c:pt>
              </c:numCache>
            </c:numRef>
          </c:val>
          <c:extLst>
            <c:ext xmlns:c14="http://schemas.microsoft.com/office/drawing/2007/8/2/chart" uri="{6F2FDCE9-48DA-4B69-8628-5D25D57E5C99}">
              <c14:invertSolidFillFmt>
                <c14:spPr xmlns:c14="http://schemas.microsoft.com/office/drawing/2007/8/2/chart">
                  <a:solidFill>
                    <a:srgbClr val="FFFFFF"/>
                  </a:solidFill>
                  <a:ln w="38100" cmpd="sng">
                    <a:solidFill>
                      <a:srgbClr val="000000"/>
                    </a:solidFill>
                  </a:ln>
                </c14:spPr>
              </c14:invertSolidFillFmt>
            </c:ext>
            <c:ext xmlns:c16="http://schemas.microsoft.com/office/drawing/2014/chart" uri="{C3380CC4-5D6E-409C-BE32-E72D297353CC}">
              <c16:uniqueId val="{00000000-EF01-7C44-A43E-680CAFC66E08}"/>
            </c:ext>
          </c:extLst>
        </c:ser>
        <c:ser>
          <c:idx val="1"/>
          <c:order val="1"/>
          <c:tx>
            <c:v>10 years</c:v>
          </c:tx>
          <c:spPr>
            <a:solidFill>
              <a:srgbClr val="EA4335"/>
            </a:solidFill>
            <a:ln cmpd="sng">
              <a:solidFill>
                <a:srgbClr val="000000"/>
              </a:solidFill>
            </a:ln>
          </c:spPr>
          <c:invertIfNegative val="1"/>
          <c:cat>
            <c:strRef>
              <c:f>'Project 3'!$H$3:$J$3</c:f>
              <c:strCache>
                <c:ptCount val="3"/>
                <c:pt idx="0">
                  <c:v>3G</c:v>
                </c:pt>
                <c:pt idx="1">
                  <c:v>3H</c:v>
                </c:pt>
                <c:pt idx="2">
                  <c:v>3I</c:v>
                </c:pt>
              </c:strCache>
            </c:strRef>
          </c:cat>
          <c:val>
            <c:numRef>
              <c:f>'Project 3'!$O$42:$Q$42</c:f>
              <c:numCache>
                <c:formatCode>"$"#,##0.00</c:formatCode>
                <c:ptCount val="3"/>
                <c:pt idx="0">
                  <c:v>-3230.1116577969151</c:v>
                </c:pt>
                <c:pt idx="1">
                  <c:v>2732.2487699569392</c:v>
                </c:pt>
                <c:pt idx="2">
                  <c:v>12887.081283261577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F01-7C44-A43E-680CAFC66E08}"/>
            </c:ext>
          </c:extLst>
        </c:ser>
        <c:ser>
          <c:idx val="2"/>
          <c:order val="2"/>
          <c:tx>
            <c:v>15 years</c:v>
          </c:tx>
          <c:spPr>
            <a:solidFill>
              <a:srgbClr val="FBBC04"/>
            </a:solidFill>
            <a:ln cmpd="sng">
              <a:solidFill>
                <a:srgbClr val="000000"/>
              </a:solidFill>
            </a:ln>
          </c:spPr>
          <c:invertIfNegative val="1"/>
          <c:cat>
            <c:strRef>
              <c:f>'Project 3'!$H$3:$J$3</c:f>
              <c:strCache>
                <c:ptCount val="3"/>
                <c:pt idx="0">
                  <c:v>3G</c:v>
                </c:pt>
                <c:pt idx="1">
                  <c:v>3H</c:v>
                </c:pt>
                <c:pt idx="2">
                  <c:v>3I</c:v>
                </c:pt>
              </c:strCache>
            </c:strRef>
          </c:cat>
          <c:val>
            <c:numRef>
              <c:f>'Project 3'!$V$47:$X$47</c:f>
              <c:numCache>
                <c:formatCode>"$"#,##0.00</c:formatCode>
                <c:ptCount val="3"/>
                <c:pt idx="0">
                  <c:v>-1298.1094303774844</c:v>
                </c:pt>
                <c:pt idx="1">
                  <c:v>7079.2537816506519</c:v>
                </c:pt>
                <c:pt idx="2">
                  <c:v>20132.08963608442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EF01-7C44-A43E-680CAFC66E08}"/>
            </c:ext>
          </c:extLst>
        </c:ser>
        <c:dLbls>
          <c:showLegendKey val="0"/>
          <c:showVal val="0"/>
          <c:showCatName val="0"/>
          <c:showSerName val="0"/>
          <c:showPercent val="0"/>
          <c:showBubbleSize val="0"/>
        </c:dLbls>
        <c:gapWidth val="150"/>
        <c:axId val="1155206742"/>
        <c:axId val="1188392650"/>
      </c:barChart>
      <c:catAx>
        <c:axId val="115520674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188392650"/>
        <c:crosses val="autoZero"/>
        <c:auto val="1"/>
        <c:lblAlgn val="ctr"/>
        <c:lblOffset val="100"/>
        <c:noMultiLvlLbl val="1"/>
      </c:catAx>
      <c:valAx>
        <c:axId val="11883926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NPV using MARR</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155206742"/>
        <c:crosses val="autoZero"/>
        <c:crossBetween val="between"/>
      </c:valAx>
    </c:plotArea>
    <c:legend>
      <c:legendPos val="t"/>
      <c:overlay val="0"/>
      <c:txPr>
        <a:bodyPr/>
        <a:lstStyle/>
        <a:p>
          <a:pPr lvl="0">
            <a:defRPr b="1">
              <a:solidFill>
                <a:srgbClr val="1A1A1A"/>
              </a:solidFill>
              <a:latin typeface="Arial"/>
            </a:defRPr>
          </a:pPr>
          <a:endParaRPr lang="en-US"/>
        </a:p>
      </c:txPr>
    </c:legend>
    <c:plotVisOnly val="1"/>
    <c:dispBlanksAs val="zero"/>
    <c:showDLblsOverMax val="1"/>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3: NPV of cashflows using Avg Return (8, 10 and 15 years)</a:t>
            </a:r>
          </a:p>
        </c:rich>
      </c:tx>
      <c:overlay val="0"/>
    </c:title>
    <c:autoTitleDeleted val="0"/>
    <c:plotArea>
      <c:layout/>
      <c:barChart>
        <c:barDir val="col"/>
        <c:grouping val="clustered"/>
        <c:varyColors val="1"/>
        <c:ser>
          <c:idx val="0"/>
          <c:order val="0"/>
          <c:tx>
            <c:v>8 years</c:v>
          </c:tx>
          <c:spPr>
            <a:solidFill>
              <a:srgbClr val="4285F4"/>
            </a:solidFill>
            <a:ln w="38100" cmpd="sng">
              <a:solidFill>
                <a:srgbClr val="000000"/>
              </a:solidFill>
            </a:ln>
          </c:spPr>
          <c:invertIfNegative val="1"/>
          <c:cat>
            <c:strRef>
              <c:f>'Project 3'!$H$3:$J$3</c:f>
              <c:strCache>
                <c:ptCount val="3"/>
                <c:pt idx="0">
                  <c:v>3G</c:v>
                </c:pt>
                <c:pt idx="1">
                  <c:v>3H</c:v>
                </c:pt>
                <c:pt idx="2">
                  <c:v>3I</c:v>
                </c:pt>
              </c:strCache>
            </c:strRef>
          </c:cat>
          <c:val>
            <c:numRef>
              <c:f>'Project 3'!$H$65:$J$65</c:f>
              <c:numCache>
                <c:formatCode>"$"#,##0.00</c:formatCode>
                <c:ptCount val="3"/>
                <c:pt idx="0">
                  <c:v>3022.9588191586663</c:v>
                </c:pt>
                <c:pt idx="1">
                  <c:v>34068.876457475984</c:v>
                </c:pt>
                <c:pt idx="2">
                  <c:v>65114.794095793332</c:v>
                </c:pt>
              </c:numCache>
            </c:numRef>
          </c:val>
          <c:extLst>
            <c:ext xmlns:c14="http://schemas.microsoft.com/office/drawing/2007/8/2/chart" uri="{6F2FDCE9-48DA-4B69-8628-5D25D57E5C99}">
              <c14:invertSolidFillFmt>
                <c14:spPr xmlns:c14="http://schemas.microsoft.com/office/drawing/2007/8/2/chart">
                  <a:solidFill>
                    <a:srgbClr val="FFFFFF"/>
                  </a:solidFill>
                  <a:ln w="38100" cmpd="sng">
                    <a:solidFill>
                      <a:srgbClr val="000000"/>
                    </a:solidFill>
                  </a:ln>
                </c14:spPr>
              </c14:invertSolidFillFmt>
            </c:ext>
            <c:ext xmlns:c16="http://schemas.microsoft.com/office/drawing/2014/chart" uri="{C3380CC4-5D6E-409C-BE32-E72D297353CC}">
              <c16:uniqueId val="{00000000-AF81-EC48-AFCD-D9881CDA8B2B}"/>
            </c:ext>
          </c:extLst>
        </c:ser>
        <c:ser>
          <c:idx val="1"/>
          <c:order val="1"/>
          <c:tx>
            <c:v>10 years</c:v>
          </c:tx>
          <c:spPr>
            <a:solidFill>
              <a:srgbClr val="EA4335"/>
            </a:solidFill>
            <a:ln cmpd="sng">
              <a:solidFill>
                <a:srgbClr val="000000"/>
              </a:solidFill>
            </a:ln>
          </c:spPr>
          <c:invertIfNegative val="1"/>
          <c:cat>
            <c:strRef>
              <c:f>'Project 3'!$H$3:$J$3</c:f>
              <c:strCache>
                <c:ptCount val="3"/>
                <c:pt idx="0">
                  <c:v>3G</c:v>
                </c:pt>
                <c:pt idx="1">
                  <c:v>3H</c:v>
                </c:pt>
                <c:pt idx="2">
                  <c:v>3I</c:v>
                </c:pt>
              </c:strCache>
            </c:strRef>
          </c:cat>
          <c:val>
            <c:numRef>
              <c:f>'Project 3'!$O$67:$Q$67</c:f>
              <c:numCache>
                <c:formatCode>"$"#,##0.00</c:formatCode>
                <c:ptCount val="3"/>
                <c:pt idx="0">
                  <c:v>5154.832513304631</c:v>
                </c:pt>
                <c:pt idx="1">
                  <c:v>40464.497539913878</c:v>
                </c:pt>
                <c:pt idx="2">
                  <c:v>75774.162566523155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AF81-EC48-AFCD-D9881CDA8B2B}"/>
            </c:ext>
          </c:extLst>
        </c:ser>
        <c:ser>
          <c:idx val="2"/>
          <c:order val="2"/>
          <c:tx>
            <c:v>15 years</c:v>
          </c:tx>
          <c:spPr>
            <a:solidFill>
              <a:srgbClr val="FBBC04"/>
            </a:solidFill>
            <a:ln cmpd="sng">
              <a:solidFill>
                <a:srgbClr val="000000"/>
              </a:solidFill>
            </a:ln>
          </c:spPr>
          <c:invertIfNegative val="1"/>
          <c:cat>
            <c:strRef>
              <c:f>'Project 3'!$H$3:$J$3</c:f>
              <c:strCache>
                <c:ptCount val="3"/>
                <c:pt idx="0">
                  <c:v>3G</c:v>
                </c:pt>
                <c:pt idx="1">
                  <c:v>3H</c:v>
                </c:pt>
                <c:pt idx="2">
                  <c:v>3I</c:v>
                </c:pt>
              </c:strCache>
            </c:strRef>
          </c:cat>
          <c:val>
            <c:numRef>
              <c:f>'Project 3'!$V$72:$X$72</c:f>
              <c:numCache>
                <c:formatCode>"$"#,##0.00</c:formatCode>
                <c:ptCount val="3"/>
                <c:pt idx="0">
                  <c:v>8052.8358544337752</c:v>
                </c:pt>
                <c:pt idx="1">
                  <c:v>49158.507563301304</c:v>
                </c:pt>
                <c:pt idx="2">
                  <c:v>90264.17927216884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AF81-EC48-AFCD-D9881CDA8B2B}"/>
            </c:ext>
          </c:extLst>
        </c:ser>
        <c:dLbls>
          <c:showLegendKey val="0"/>
          <c:showVal val="0"/>
          <c:showCatName val="0"/>
          <c:showSerName val="0"/>
          <c:showPercent val="0"/>
          <c:showBubbleSize val="0"/>
        </c:dLbls>
        <c:gapWidth val="150"/>
        <c:axId val="982681468"/>
        <c:axId val="378168206"/>
      </c:barChart>
      <c:catAx>
        <c:axId val="98268146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78168206"/>
        <c:crosses val="autoZero"/>
        <c:auto val="1"/>
        <c:lblAlgn val="ctr"/>
        <c:lblOffset val="100"/>
        <c:noMultiLvlLbl val="1"/>
      </c:catAx>
      <c:valAx>
        <c:axId val="3781682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NPV using MARR</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982681468"/>
        <c:crosses val="autoZero"/>
        <c:crossBetween val="between"/>
      </c:valAx>
    </c:plotArea>
    <c:legend>
      <c:legendPos val="t"/>
      <c:overlay val="0"/>
      <c:txPr>
        <a:bodyPr/>
        <a:lstStyle/>
        <a:p>
          <a:pPr lvl="0">
            <a:defRPr b="1">
              <a:solidFill>
                <a:srgbClr val="1A1A1A"/>
              </a:solidFill>
              <a:latin typeface="Arial"/>
            </a:defRPr>
          </a:pPr>
          <a:endParaRPr lang="en-US"/>
        </a:p>
      </c:txPr>
    </c:legend>
    <c:plotVisOnly val="1"/>
    <c:dispBlanksAs val="zero"/>
    <c:showDLblsOverMax val="1"/>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4: NPV of cashflows using Avg Return (8, 10 and 15 years)</a:t>
            </a:r>
          </a:p>
        </c:rich>
      </c:tx>
      <c:overlay val="0"/>
    </c:title>
    <c:autoTitleDeleted val="0"/>
    <c:plotArea>
      <c:layout/>
      <c:barChart>
        <c:barDir val="col"/>
        <c:grouping val="clustered"/>
        <c:varyColors val="1"/>
        <c:ser>
          <c:idx val="0"/>
          <c:order val="0"/>
          <c:tx>
            <c:v>8 years</c:v>
          </c:tx>
          <c:spPr>
            <a:solidFill>
              <a:srgbClr val="4285F4"/>
            </a:solidFill>
            <a:ln w="38100" cmpd="sng">
              <a:solidFill>
                <a:srgbClr val="000000"/>
              </a:solidFill>
            </a:ln>
          </c:spPr>
          <c:invertIfNegative val="1"/>
          <c:cat>
            <c:strRef>
              <c:f>'Project 3'!$H$3:$J$3</c:f>
              <c:strCache>
                <c:ptCount val="3"/>
                <c:pt idx="0">
                  <c:v>3G</c:v>
                </c:pt>
                <c:pt idx="1">
                  <c:v>3H</c:v>
                </c:pt>
                <c:pt idx="2">
                  <c:v>3I</c:v>
                </c:pt>
              </c:strCache>
            </c:strRef>
          </c:cat>
          <c:val>
            <c:numRef>
              <c:f>'Project 3'!$H$90:$J$90</c:f>
              <c:numCache>
                <c:formatCode>"$"#,##0.00</c:formatCode>
                <c:ptCount val="3"/>
                <c:pt idx="0">
                  <c:v>-814.20098403444354</c:v>
                </c:pt>
                <c:pt idx="1">
                  <c:v>11045.917638317333</c:v>
                </c:pt>
                <c:pt idx="2">
                  <c:v>36743.196063862226</c:v>
                </c:pt>
              </c:numCache>
            </c:numRef>
          </c:val>
          <c:extLst>
            <c:ext xmlns:c14="http://schemas.microsoft.com/office/drawing/2007/8/2/chart" uri="{6F2FDCE9-48DA-4B69-8628-5D25D57E5C99}">
              <c14:invertSolidFillFmt>
                <c14:spPr xmlns:c14="http://schemas.microsoft.com/office/drawing/2007/8/2/chart">
                  <a:solidFill>
                    <a:srgbClr val="FFFFFF"/>
                  </a:solidFill>
                  <a:ln w="38100" cmpd="sng">
                    <a:solidFill>
                      <a:srgbClr val="000000"/>
                    </a:solidFill>
                  </a:ln>
                </c14:spPr>
              </c14:invertSolidFillFmt>
            </c:ext>
            <c:ext xmlns:c16="http://schemas.microsoft.com/office/drawing/2014/chart" uri="{C3380CC4-5D6E-409C-BE32-E72D297353CC}">
              <c16:uniqueId val="{00000000-F98F-7B47-B92E-F4C54274763D}"/>
            </c:ext>
          </c:extLst>
        </c:ser>
        <c:ser>
          <c:idx val="1"/>
          <c:order val="1"/>
          <c:tx>
            <c:v>10 years</c:v>
          </c:tx>
          <c:spPr>
            <a:solidFill>
              <a:srgbClr val="EA4335"/>
            </a:solidFill>
            <a:ln cmpd="sng">
              <a:solidFill>
                <a:srgbClr val="000000"/>
              </a:solidFill>
            </a:ln>
          </c:spPr>
          <c:invertIfNegative val="1"/>
          <c:cat>
            <c:strRef>
              <c:f>'Project 3'!$H$3:$J$3</c:f>
              <c:strCache>
                <c:ptCount val="3"/>
                <c:pt idx="0">
                  <c:v>3G</c:v>
                </c:pt>
                <c:pt idx="1">
                  <c:v>3H</c:v>
                </c:pt>
                <c:pt idx="2">
                  <c:v>3I</c:v>
                </c:pt>
              </c:strCache>
            </c:strRef>
          </c:cat>
          <c:val>
            <c:numRef>
              <c:f>'Project 3'!$O$92:$Q$92</c:f>
              <c:numCache>
                <c:formatCode>"$"#,##0.00</c:formatCode>
                <c:ptCount val="3"/>
                <c:pt idx="0">
                  <c:v>962.36042775386159</c:v>
                </c:pt>
                <c:pt idx="1">
                  <c:v>15309.665026609262</c:v>
                </c:pt>
                <c:pt idx="2">
                  <c:v>43849.441711015446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98F-7B47-B92E-F4C54274763D}"/>
            </c:ext>
          </c:extLst>
        </c:ser>
        <c:ser>
          <c:idx val="2"/>
          <c:order val="2"/>
          <c:tx>
            <c:v>15 years</c:v>
          </c:tx>
          <c:spPr>
            <a:solidFill>
              <a:srgbClr val="FBBC04"/>
            </a:solidFill>
            <a:ln cmpd="sng">
              <a:solidFill>
                <a:srgbClr val="000000"/>
              </a:solidFill>
            </a:ln>
          </c:spPr>
          <c:invertIfNegative val="1"/>
          <c:cat>
            <c:strRef>
              <c:f>'Project 3'!$H$3:$J$3</c:f>
              <c:strCache>
                <c:ptCount val="3"/>
                <c:pt idx="0">
                  <c:v>3G</c:v>
                </c:pt>
                <c:pt idx="1">
                  <c:v>3H</c:v>
                </c:pt>
                <c:pt idx="2">
                  <c:v>3I</c:v>
                </c:pt>
              </c:strCache>
            </c:strRef>
          </c:cat>
          <c:val>
            <c:numRef>
              <c:f>'Project 3'!$V$97:$X$97</c:f>
              <c:numCache>
                <c:formatCode>"$"#,##0.00</c:formatCode>
                <c:ptCount val="3"/>
                <c:pt idx="0">
                  <c:v>3377.3632120281472</c:v>
                </c:pt>
                <c:pt idx="1">
                  <c:v>21105.67170886755</c:v>
                </c:pt>
                <c:pt idx="2">
                  <c:v>53509.452848112589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F98F-7B47-B92E-F4C54274763D}"/>
            </c:ext>
          </c:extLst>
        </c:ser>
        <c:dLbls>
          <c:showLegendKey val="0"/>
          <c:showVal val="0"/>
          <c:showCatName val="0"/>
          <c:showSerName val="0"/>
          <c:showPercent val="0"/>
          <c:showBubbleSize val="0"/>
        </c:dLbls>
        <c:gapWidth val="150"/>
        <c:axId val="1661028788"/>
        <c:axId val="418994654"/>
      </c:barChart>
      <c:catAx>
        <c:axId val="166102878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418994654"/>
        <c:crosses val="autoZero"/>
        <c:auto val="1"/>
        <c:lblAlgn val="ctr"/>
        <c:lblOffset val="100"/>
        <c:noMultiLvlLbl val="1"/>
      </c:catAx>
      <c:valAx>
        <c:axId val="4189946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NPV using MARR</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661028788"/>
        <c:crosses val="autoZero"/>
        <c:crossBetween val="between"/>
      </c:valAx>
    </c:plotArea>
    <c:legend>
      <c:legendPos val="t"/>
      <c:overlay val="0"/>
      <c:txPr>
        <a:bodyPr/>
        <a:lstStyle/>
        <a:p>
          <a:pPr lvl="0">
            <a:defRPr b="1">
              <a:solidFill>
                <a:srgbClr val="1A1A1A"/>
              </a:solidFill>
              <a:latin typeface="Arial"/>
            </a:defRPr>
          </a:pPr>
          <a:endParaRPr lang="en-US"/>
        </a:p>
      </c:txPr>
    </c:legend>
    <c:plotVisOnly val="1"/>
    <c:dispBlanksAs val="zero"/>
    <c:showDLblsOverMax val="1"/>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b="1">
                <a:solidFill>
                  <a:srgbClr val="757575"/>
                </a:solidFill>
                <a:latin typeface="+mn-lt"/>
              </a:rPr>
              <a:t>Case 5: NPV of cashflows using Avg Return (8, 10 and 15 years)</a:t>
            </a:r>
          </a:p>
        </c:rich>
      </c:tx>
      <c:overlay val="0"/>
    </c:title>
    <c:autoTitleDeleted val="0"/>
    <c:plotArea>
      <c:layout/>
      <c:barChart>
        <c:barDir val="col"/>
        <c:grouping val="clustered"/>
        <c:varyColors val="1"/>
        <c:ser>
          <c:idx val="0"/>
          <c:order val="0"/>
          <c:tx>
            <c:v>8 years</c:v>
          </c:tx>
          <c:spPr>
            <a:solidFill>
              <a:srgbClr val="4285F4"/>
            </a:solidFill>
            <a:ln w="38100" cmpd="sng">
              <a:solidFill>
                <a:srgbClr val="000000"/>
              </a:solidFill>
            </a:ln>
          </c:spPr>
          <c:invertIfNegative val="1"/>
          <c:cat>
            <c:strRef>
              <c:f>'Project 3'!$H$3:$J$3</c:f>
              <c:strCache>
                <c:ptCount val="3"/>
                <c:pt idx="0">
                  <c:v>3G</c:v>
                </c:pt>
                <c:pt idx="1">
                  <c:v>3H</c:v>
                </c:pt>
                <c:pt idx="2">
                  <c:v>3I</c:v>
                </c:pt>
              </c:strCache>
            </c:strRef>
          </c:cat>
          <c:val>
            <c:numRef>
              <c:f>'Project 3'!$H$115:$J$115</c:f>
              <c:numCache>
                <c:formatCode>"$"#,##0.00</c:formatCode>
                <c:ptCount val="3"/>
                <c:pt idx="0">
                  <c:v>-814.20098403444354</c:v>
                </c:pt>
                <c:pt idx="1">
                  <c:v>11045.917638317333</c:v>
                </c:pt>
                <c:pt idx="2">
                  <c:v>16743.196063862226</c:v>
                </c:pt>
              </c:numCache>
            </c:numRef>
          </c:val>
          <c:extLst>
            <c:ext xmlns:c14="http://schemas.microsoft.com/office/drawing/2007/8/2/chart" uri="{6F2FDCE9-48DA-4B69-8628-5D25D57E5C99}">
              <c14:invertSolidFillFmt>
                <c14:spPr xmlns:c14="http://schemas.microsoft.com/office/drawing/2007/8/2/chart">
                  <a:solidFill>
                    <a:srgbClr val="FFFFFF"/>
                  </a:solidFill>
                  <a:ln w="38100" cmpd="sng">
                    <a:solidFill>
                      <a:srgbClr val="000000"/>
                    </a:solidFill>
                  </a:ln>
                </c14:spPr>
              </c14:invertSolidFillFmt>
            </c:ext>
            <c:ext xmlns:c16="http://schemas.microsoft.com/office/drawing/2014/chart" uri="{C3380CC4-5D6E-409C-BE32-E72D297353CC}">
              <c16:uniqueId val="{00000000-3C8C-C146-A2B3-0BE76323703A}"/>
            </c:ext>
          </c:extLst>
        </c:ser>
        <c:ser>
          <c:idx val="1"/>
          <c:order val="1"/>
          <c:tx>
            <c:v>10 years</c:v>
          </c:tx>
          <c:spPr>
            <a:solidFill>
              <a:srgbClr val="EA4335"/>
            </a:solidFill>
            <a:ln cmpd="sng">
              <a:solidFill>
                <a:srgbClr val="000000"/>
              </a:solidFill>
            </a:ln>
          </c:spPr>
          <c:invertIfNegative val="1"/>
          <c:cat>
            <c:strRef>
              <c:f>'Project 3'!$H$3:$J$3</c:f>
              <c:strCache>
                <c:ptCount val="3"/>
                <c:pt idx="0">
                  <c:v>3G</c:v>
                </c:pt>
                <c:pt idx="1">
                  <c:v>3H</c:v>
                </c:pt>
                <c:pt idx="2">
                  <c:v>3I</c:v>
                </c:pt>
              </c:strCache>
            </c:strRef>
          </c:cat>
          <c:val>
            <c:numRef>
              <c:f>'Project 3'!$O$117:$Q$117</c:f>
              <c:numCache>
                <c:formatCode>"$"#,##0.00</c:formatCode>
                <c:ptCount val="3"/>
                <c:pt idx="0">
                  <c:v>962.36042775386159</c:v>
                </c:pt>
                <c:pt idx="1">
                  <c:v>15309.665026609262</c:v>
                </c:pt>
                <c:pt idx="2">
                  <c:v>23849.441711015446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C8C-C146-A2B3-0BE76323703A}"/>
            </c:ext>
          </c:extLst>
        </c:ser>
        <c:ser>
          <c:idx val="2"/>
          <c:order val="2"/>
          <c:tx>
            <c:v>15 years</c:v>
          </c:tx>
          <c:spPr>
            <a:solidFill>
              <a:srgbClr val="FBBC04"/>
            </a:solidFill>
            <a:ln cmpd="sng">
              <a:solidFill>
                <a:srgbClr val="000000"/>
              </a:solidFill>
            </a:ln>
          </c:spPr>
          <c:invertIfNegative val="1"/>
          <c:cat>
            <c:strRef>
              <c:f>'Project 3'!$H$3:$J$3</c:f>
              <c:strCache>
                <c:ptCount val="3"/>
                <c:pt idx="0">
                  <c:v>3G</c:v>
                </c:pt>
                <c:pt idx="1">
                  <c:v>3H</c:v>
                </c:pt>
                <c:pt idx="2">
                  <c:v>3I</c:v>
                </c:pt>
              </c:strCache>
            </c:strRef>
          </c:cat>
          <c:val>
            <c:numRef>
              <c:f>'Project 3'!$V$122:$X$122</c:f>
              <c:numCache>
                <c:formatCode>"$"#,##0.00</c:formatCode>
                <c:ptCount val="3"/>
                <c:pt idx="0">
                  <c:v>3377.3632120281472</c:v>
                </c:pt>
                <c:pt idx="1">
                  <c:v>21105.67170886755</c:v>
                </c:pt>
                <c:pt idx="2">
                  <c:v>33509.452848112589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3C8C-C146-A2B3-0BE76323703A}"/>
            </c:ext>
          </c:extLst>
        </c:ser>
        <c:dLbls>
          <c:showLegendKey val="0"/>
          <c:showVal val="0"/>
          <c:showCatName val="0"/>
          <c:showSerName val="0"/>
          <c:showPercent val="0"/>
          <c:showBubbleSize val="0"/>
        </c:dLbls>
        <c:gapWidth val="150"/>
        <c:axId val="649265904"/>
        <c:axId val="868333405"/>
      </c:barChart>
      <c:catAx>
        <c:axId val="6492659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68333405"/>
        <c:crosses val="autoZero"/>
        <c:auto val="1"/>
        <c:lblAlgn val="ctr"/>
        <c:lblOffset val="100"/>
        <c:noMultiLvlLbl val="1"/>
      </c:catAx>
      <c:valAx>
        <c:axId val="8683334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NPV using MARR</a:t>
                </a: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649265904"/>
        <c:crosses val="autoZero"/>
        <c:crossBetween val="between"/>
      </c:valAx>
    </c:plotArea>
    <c:legend>
      <c:legendPos val="t"/>
      <c:overlay val="0"/>
      <c:txPr>
        <a:bodyPr/>
        <a:lstStyle/>
        <a:p>
          <a:pPr lvl="0">
            <a:defRPr b="1">
              <a:solidFill>
                <a:srgbClr val="1A1A1A"/>
              </a:solidFill>
              <a:latin typeface="Arial"/>
            </a:defRPr>
          </a:pPr>
          <a:endParaRPr lang="en-US"/>
        </a:p>
      </c:txPr>
    </c:legend>
    <c:plotVisOnly val="1"/>
    <c:dispBlanksAs val="zero"/>
    <c:showDLblsOverMax val="1"/>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AW with MARR for 4J</a:t>
            </a:r>
          </a:p>
        </c:rich>
      </c:tx>
      <c:overlay val="0"/>
    </c:title>
    <c:autoTitleDeleted val="0"/>
    <c:plotArea>
      <c:layout/>
      <c:barChart>
        <c:barDir val="col"/>
        <c:grouping val="clustered"/>
        <c:varyColors val="1"/>
        <c:ser>
          <c:idx val="0"/>
          <c:order val="0"/>
          <c:tx>
            <c:v>3,500</c:v>
          </c:tx>
          <c:spPr>
            <a:solidFill>
              <a:srgbClr val="4285F4"/>
            </a:solidFill>
            <a:ln cmpd="sng">
              <a:solidFill>
                <a:srgbClr val="000000"/>
              </a:solidFill>
            </a:ln>
          </c:spPr>
          <c:invertIfNegative val="1"/>
          <c:cat>
            <c:strRef>
              <c:f>'Project 4'!$D$102:$D$104</c:f>
              <c:strCache>
                <c:ptCount val="3"/>
                <c:pt idx="0">
                  <c:v>8 years</c:v>
                </c:pt>
                <c:pt idx="1">
                  <c:v>9 years</c:v>
                </c:pt>
                <c:pt idx="2">
                  <c:v>12 years</c:v>
                </c:pt>
              </c:strCache>
            </c:strRef>
          </c:cat>
          <c:val>
            <c:numRef>
              <c:f>'Project 4'!$E$102:$E$104</c:f>
              <c:numCache>
                <c:formatCode>"$"#,##0.00</c:formatCode>
                <c:ptCount val="3"/>
                <c:pt idx="0">
                  <c:v>157.25</c:v>
                </c:pt>
                <c:pt idx="1">
                  <c:v>356.39</c:v>
                </c:pt>
                <c:pt idx="2">
                  <c:v>732.79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845-4844-98C1-D27881D640BD}"/>
            </c:ext>
          </c:extLst>
        </c:ser>
        <c:ser>
          <c:idx val="1"/>
          <c:order val="1"/>
          <c:tx>
            <c:v>4,000</c:v>
          </c:tx>
          <c:spPr>
            <a:solidFill>
              <a:srgbClr val="EA4335"/>
            </a:solidFill>
            <a:ln cmpd="sng">
              <a:solidFill>
                <a:srgbClr val="000000"/>
              </a:solidFill>
            </a:ln>
          </c:spPr>
          <c:invertIfNegative val="1"/>
          <c:cat>
            <c:strRef>
              <c:f>'Project 4'!$D$102:$D$104</c:f>
              <c:strCache>
                <c:ptCount val="3"/>
                <c:pt idx="0">
                  <c:v>8 years</c:v>
                </c:pt>
                <c:pt idx="1">
                  <c:v>9 years</c:v>
                </c:pt>
                <c:pt idx="2">
                  <c:v>12 years</c:v>
                </c:pt>
              </c:strCache>
            </c:strRef>
          </c:cat>
          <c:val>
            <c:numRef>
              <c:f>'Project 4'!$F$102:$F$104</c:f>
              <c:numCache>
                <c:formatCode>"$"#,##0.00</c:formatCode>
                <c:ptCount val="3"/>
                <c:pt idx="0">
                  <c:v>657.25</c:v>
                </c:pt>
                <c:pt idx="1">
                  <c:v>856.39</c:v>
                </c:pt>
                <c:pt idx="2">
                  <c:v>1232.79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8845-4844-98C1-D27881D640BD}"/>
            </c:ext>
          </c:extLst>
        </c:ser>
        <c:ser>
          <c:idx val="2"/>
          <c:order val="2"/>
          <c:tx>
            <c:v>4,500</c:v>
          </c:tx>
          <c:spPr>
            <a:solidFill>
              <a:srgbClr val="FBBC04"/>
            </a:solidFill>
            <a:ln cmpd="sng">
              <a:solidFill>
                <a:srgbClr val="000000"/>
              </a:solidFill>
            </a:ln>
          </c:spPr>
          <c:invertIfNegative val="1"/>
          <c:cat>
            <c:strRef>
              <c:f>'Project 4'!$D$102:$D$104</c:f>
              <c:strCache>
                <c:ptCount val="3"/>
                <c:pt idx="0">
                  <c:v>8 years</c:v>
                </c:pt>
                <c:pt idx="1">
                  <c:v>9 years</c:v>
                </c:pt>
                <c:pt idx="2">
                  <c:v>12 years</c:v>
                </c:pt>
              </c:strCache>
            </c:strRef>
          </c:cat>
          <c:val>
            <c:numRef>
              <c:f>'Project 4'!$G$102:$G$104</c:f>
              <c:numCache>
                <c:formatCode>"$"#,##0.00</c:formatCode>
                <c:ptCount val="3"/>
                <c:pt idx="0">
                  <c:v>1157.25</c:v>
                </c:pt>
                <c:pt idx="1">
                  <c:v>1356.39</c:v>
                </c:pt>
                <c:pt idx="2">
                  <c:v>1732.79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8845-4844-98C1-D27881D640BD}"/>
            </c:ext>
          </c:extLst>
        </c:ser>
        <c:dLbls>
          <c:showLegendKey val="0"/>
          <c:showVal val="0"/>
          <c:showCatName val="0"/>
          <c:showSerName val="0"/>
          <c:showPercent val="0"/>
          <c:showBubbleSize val="0"/>
        </c:dLbls>
        <c:gapWidth val="150"/>
        <c:axId val="1259053193"/>
        <c:axId val="1025200489"/>
      </c:barChart>
      <c:catAx>
        <c:axId val="1259053193"/>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025200489"/>
        <c:crosses val="autoZero"/>
        <c:auto val="1"/>
        <c:lblAlgn val="ctr"/>
        <c:lblOffset val="100"/>
        <c:noMultiLvlLbl val="1"/>
      </c:catAx>
      <c:valAx>
        <c:axId val="10252004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25905319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AW with Average Return for 4J</a:t>
            </a:r>
          </a:p>
        </c:rich>
      </c:tx>
      <c:overlay val="0"/>
    </c:title>
    <c:autoTitleDeleted val="0"/>
    <c:plotArea>
      <c:layout/>
      <c:barChart>
        <c:barDir val="col"/>
        <c:grouping val="clustered"/>
        <c:varyColors val="1"/>
        <c:ser>
          <c:idx val="0"/>
          <c:order val="0"/>
          <c:tx>
            <c:v>3,500</c:v>
          </c:tx>
          <c:spPr>
            <a:solidFill>
              <a:srgbClr val="4285F4"/>
            </a:solidFill>
            <a:ln cmpd="sng">
              <a:solidFill>
                <a:srgbClr val="000000"/>
              </a:solidFill>
            </a:ln>
          </c:spPr>
          <c:invertIfNegative val="1"/>
          <c:cat>
            <c:strRef>
              <c:f>'Project 4'!$I$102:$I$104</c:f>
              <c:strCache>
                <c:ptCount val="3"/>
                <c:pt idx="0">
                  <c:v>8 years</c:v>
                </c:pt>
                <c:pt idx="1">
                  <c:v>9 years</c:v>
                </c:pt>
                <c:pt idx="2">
                  <c:v>12 years</c:v>
                </c:pt>
              </c:strCache>
            </c:strRef>
          </c:cat>
          <c:val>
            <c:numRef>
              <c:f>'Project 4'!$J$102:$J$104</c:f>
              <c:numCache>
                <c:formatCode>"$"#,##0.00</c:formatCode>
                <c:ptCount val="3"/>
                <c:pt idx="0">
                  <c:v>-409.14</c:v>
                </c:pt>
                <c:pt idx="1">
                  <c:v>-221.19</c:v>
                </c:pt>
                <c:pt idx="2">
                  <c:v>121.03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90F-4448-BE74-D0C0C1DB5A53}"/>
            </c:ext>
          </c:extLst>
        </c:ser>
        <c:ser>
          <c:idx val="1"/>
          <c:order val="1"/>
          <c:tx>
            <c:v>4,000</c:v>
          </c:tx>
          <c:spPr>
            <a:solidFill>
              <a:srgbClr val="EA4335"/>
            </a:solidFill>
            <a:ln cmpd="sng">
              <a:solidFill>
                <a:srgbClr val="000000"/>
              </a:solidFill>
            </a:ln>
          </c:spPr>
          <c:invertIfNegative val="1"/>
          <c:cat>
            <c:strRef>
              <c:f>'Project 4'!$I$102:$I$104</c:f>
              <c:strCache>
                <c:ptCount val="3"/>
                <c:pt idx="0">
                  <c:v>8 years</c:v>
                </c:pt>
                <c:pt idx="1">
                  <c:v>9 years</c:v>
                </c:pt>
                <c:pt idx="2">
                  <c:v>12 years</c:v>
                </c:pt>
              </c:strCache>
            </c:strRef>
          </c:cat>
          <c:val>
            <c:numRef>
              <c:f>'Project 4'!$K$102:$K$104</c:f>
              <c:numCache>
                <c:formatCode>"$"#,##0.00</c:formatCode>
                <c:ptCount val="3"/>
                <c:pt idx="0">
                  <c:v>90.86</c:v>
                </c:pt>
                <c:pt idx="1">
                  <c:v>278.81</c:v>
                </c:pt>
                <c:pt idx="2">
                  <c:v>621.03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90F-4448-BE74-D0C0C1DB5A53}"/>
            </c:ext>
          </c:extLst>
        </c:ser>
        <c:ser>
          <c:idx val="2"/>
          <c:order val="2"/>
          <c:tx>
            <c:v>4,500</c:v>
          </c:tx>
          <c:spPr>
            <a:solidFill>
              <a:srgbClr val="FBBC04"/>
            </a:solidFill>
            <a:ln cmpd="sng">
              <a:solidFill>
                <a:srgbClr val="000000"/>
              </a:solidFill>
            </a:ln>
          </c:spPr>
          <c:invertIfNegative val="1"/>
          <c:cat>
            <c:strRef>
              <c:f>'Project 4'!$I$102:$I$104</c:f>
              <c:strCache>
                <c:ptCount val="3"/>
                <c:pt idx="0">
                  <c:v>8 years</c:v>
                </c:pt>
                <c:pt idx="1">
                  <c:v>9 years</c:v>
                </c:pt>
                <c:pt idx="2">
                  <c:v>12 years</c:v>
                </c:pt>
              </c:strCache>
            </c:strRef>
          </c:cat>
          <c:val>
            <c:numRef>
              <c:f>'Project 4'!$L$102:$L$104</c:f>
              <c:numCache>
                <c:formatCode>"$"#,##0.00</c:formatCode>
                <c:ptCount val="3"/>
                <c:pt idx="0">
                  <c:v>590.86</c:v>
                </c:pt>
                <c:pt idx="1">
                  <c:v>778.81</c:v>
                </c:pt>
                <c:pt idx="2">
                  <c:v>1121.03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E90F-4448-BE74-D0C0C1DB5A53}"/>
            </c:ext>
          </c:extLst>
        </c:ser>
        <c:dLbls>
          <c:showLegendKey val="0"/>
          <c:showVal val="0"/>
          <c:showCatName val="0"/>
          <c:showSerName val="0"/>
          <c:showPercent val="0"/>
          <c:showBubbleSize val="0"/>
        </c:dLbls>
        <c:gapWidth val="150"/>
        <c:axId val="1940299954"/>
        <c:axId val="1954809493"/>
      </c:barChart>
      <c:catAx>
        <c:axId val="194029995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954809493"/>
        <c:crosses val="autoZero"/>
        <c:auto val="1"/>
        <c:lblAlgn val="ctr"/>
        <c:lblOffset val="100"/>
        <c:noMultiLvlLbl val="1"/>
      </c:catAx>
      <c:valAx>
        <c:axId val="19548094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94029995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FW with MARR for 4J</a:t>
            </a:r>
          </a:p>
        </c:rich>
      </c:tx>
      <c:overlay val="0"/>
    </c:title>
    <c:autoTitleDeleted val="0"/>
    <c:plotArea>
      <c:layout/>
      <c:barChart>
        <c:barDir val="col"/>
        <c:grouping val="clustered"/>
        <c:varyColors val="1"/>
        <c:ser>
          <c:idx val="0"/>
          <c:order val="0"/>
          <c:tx>
            <c:v>3,500</c:v>
          </c:tx>
          <c:spPr>
            <a:solidFill>
              <a:srgbClr val="4285F4"/>
            </a:solidFill>
            <a:ln cmpd="sng">
              <a:solidFill>
                <a:srgbClr val="000000"/>
              </a:solidFill>
            </a:ln>
          </c:spPr>
          <c:invertIfNegative val="1"/>
          <c:cat>
            <c:strRef>
              <c:f>'Project 4'!$N$102:$N$104</c:f>
              <c:strCache>
                <c:ptCount val="3"/>
                <c:pt idx="0">
                  <c:v>8 years</c:v>
                </c:pt>
                <c:pt idx="1">
                  <c:v>9 years</c:v>
                </c:pt>
                <c:pt idx="2">
                  <c:v>12 years</c:v>
                </c:pt>
              </c:strCache>
            </c:strRef>
          </c:cat>
          <c:val>
            <c:numRef>
              <c:f>'Project 4'!$O$102:$O$104</c:f>
              <c:numCache>
                <c:formatCode>"$"#,##0.00</c:formatCode>
                <c:ptCount val="3"/>
                <c:pt idx="0">
                  <c:v>2158.52</c:v>
                </c:pt>
                <c:pt idx="1">
                  <c:v>5982.3</c:v>
                </c:pt>
                <c:pt idx="2">
                  <c:v>21252.080000000002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047-7B4E-A7B5-1B4C3D0581C7}"/>
            </c:ext>
          </c:extLst>
        </c:ser>
        <c:ser>
          <c:idx val="1"/>
          <c:order val="1"/>
          <c:tx>
            <c:v>4,000</c:v>
          </c:tx>
          <c:spPr>
            <a:solidFill>
              <a:srgbClr val="EA4335"/>
            </a:solidFill>
            <a:ln cmpd="sng">
              <a:solidFill>
                <a:srgbClr val="000000"/>
              </a:solidFill>
            </a:ln>
          </c:spPr>
          <c:invertIfNegative val="1"/>
          <c:cat>
            <c:strRef>
              <c:f>'Project 4'!$N$102:$N$104</c:f>
              <c:strCache>
                <c:ptCount val="3"/>
                <c:pt idx="0">
                  <c:v>8 years</c:v>
                </c:pt>
                <c:pt idx="1">
                  <c:v>9 years</c:v>
                </c:pt>
                <c:pt idx="2">
                  <c:v>12 years</c:v>
                </c:pt>
              </c:strCache>
            </c:strRef>
          </c:cat>
          <c:val>
            <c:numRef>
              <c:f>'Project 4'!$P$102:$P$104</c:f>
              <c:numCache>
                <c:formatCode>"$"#,##0.00</c:formatCode>
                <c:ptCount val="3"/>
                <c:pt idx="0">
                  <c:v>9021.93</c:v>
                </c:pt>
                <c:pt idx="1">
                  <c:v>14375.22</c:v>
                </c:pt>
                <c:pt idx="2">
                  <c:v>35752.92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047-7B4E-A7B5-1B4C3D0581C7}"/>
            </c:ext>
          </c:extLst>
        </c:ser>
        <c:ser>
          <c:idx val="2"/>
          <c:order val="2"/>
          <c:tx>
            <c:v>4,500</c:v>
          </c:tx>
          <c:spPr>
            <a:solidFill>
              <a:srgbClr val="FBBC04"/>
            </a:solidFill>
            <a:ln cmpd="sng">
              <a:solidFill>
                <a:srgbClr val="000000"/>
              </a:solidFill>
            </a:ln>
          </c:spPr>
          <c:invertIfNegative val="1"/>
          <c:cat>
            <c:strRef>
              <c:f>'Project 4'!$N$102:$N$104</c:f>
              <c:strCache>
                <c:ptCount val="3"/>
                <c:pt idx="0">
                  <c:v>8 years</c:v>
                </c:pt>
                <c:pt idx="1">
                  <c:v>9 years</c:v>
                </c:pt>
                <c:pt idx="2">
                  <c:v>12 years</c:v>
                </c:pt>
              </c:strCache>
            </c:strRef>
          </c:cat>
          <c:val>
            <c:numRef>
              <c:f>'Project 4'!$Q$102:$Q$104</c:f>
              <c:numCache>
                <c:formatCode>"$"#,##0.00</c:formatCode>
                <c:ptCount val="3"/>
                <c:pt idx="0">
                  <c:v>15885.34</c:v>
                </c:pt>
                <c:pt idx="1">
                  <c:v>22768.14</c:v>
                </c:pt>
                <c:pt idx="2">
                  <c:v>50253.75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C047-7B4E-A7B5-1B4C3D0581C7}"/>
            </c:ext>
          </c:extLst>
        </c:ser>
        <c:dLbls>
          <c:showLegendKey val="0"/>
          <c:showVal val="0"/>
          <c:showCatName val="0"/>
          <c:showSerName val="0"/>
          <c:showPercent val="0"/>
          <c:showBubbleSize val="0"/>
        </c:dLbls>
        <c:gapWidth val="150"/>
        <c:axId val="1189752345"/>
        <c:axId val="73125914"/>
      </c:barChart>
      <c:catAx>
        <c:axId val="1189752345"/>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3125914"/>
        <c:crosses val="autoZero"/>
        <c:auto val="1"/>
        <c:lblAlgn val="ctr"/>
        <c:lblOffset val="100"/>
        <c:noMultiLvlLbl val="1"/>
      </c:catAx>
      <c:valAx>
        <c:axId val="731259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189752345"/>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FW with Average Return for 4J</a:t>
            </a:r>
          </a:p>
        </c:rich>
      </c:tx>
      <c:overlay val="0"/>
    </c:title>
    <c:autoTitleDeleted val="0"/>
    <c:plotArea>
      <c:layout/>
      <c:barChart>
        <c:barDir val="col"/>
        <c:grouping val="clustered"/>
        <c:varyColors val="1"/>
        <c:ser>
          <c:idx val="0"/>
          <c:order val="0"/>
          <c:tx>
            <c:v>3,000</c:v>
          </c:tx>
          <c:spPr>
            <a:solidFill>
              <a:srgbClr val="4285F4"/>
            </a:solidFill>
            <a:ln cmpd="sng">
              <a:solidFill>
                <a:srgbClr val="000000"/>
              </a:solidFill>
            </a:ln>
          </c:spPr>
          <c:invertIfNegative val="1"/>
          <c:cat>
            <c:strRef>
              <c:f>'Project 4'!$S$102:$S$104</c:f>
              <c:strCache>
                <c:ptCount val="3"/>
                <c:pt idx="0">
                  <c:v>8 years</c:v>
                </c:pt>
                <c:pt idx="1">
                  <c:v>9 years</c:v>
                </c:pt>
                <c:pt idx="2">
                  <c:v>12 years</c:v>
                </c:pt>
              </c:strCache>
            </c:strRef>
          </c:cat>
          <c:val>
            <c:numRef>
              <c:f>'Project 4'!$T$102:$T$104</c:f>
              <c:numCache>
                <c:formatCode>"$"#,##0.00</c:formatCode>
                <c:ptCount val="3"/>
                <c:pt idx="0">
                  <c:v>-6750.46</c:v>
                </c:pt>
                <c:pt idx="1">
                  <c:v>-4600.55</c:v>
                </c:pt>
                <c:pt idx="2">
                  <c:v>4790.25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B38-9C46-BA06-6DEF323DCA36}"/>
            </c:ext>
          </c:extLst>
        </c:ser>
        <c:ser>
          <c:idx val="1"/>
          <c:order val="1"/>
          <c:tx>
            <c:v>3,500</c:v>
          </c:tx>
          <c:spPr>
            <a:solidFill>
              <a:srgbClr val="EA4335"/>
            </a:solidFill>
            <a:ln cmpd="sng">
              <a:solidFill>
                <a:srgbClr val="000000"/>
              </a:solidFill>
            </a:ln>
          </c:spPr>
          <c:invertIfNegative val="1"/>
          <c:cat>
            <c:strRef>
              <c:f>'Project 4'!$S$102:$S$104</c:f>
              <c:strCache>
                <c:ptCount val="3"/>
                <c:pt idx="0">
                  <c:v>8 years</c:v>
                </c:pt>
                <c:pt idx="1">
                  <c:v>9 years</c:v>
                </c:pt>
                <c:pt idx="2">
                  <c:v>12 years</c:v>
                </c:pt>
              </c:strCache>
            </c:strRef>
          </c:cat>
          <c:val>
            <c:numRef>
              <c:f>'Project 4'!$U$102:$U$104</c:f>
              <c:numCache>
                <c:formatCode>"$"#,##0.00</c:formatCode>
                <c:ptCount val="3"/>
                <c:pt idx="0">
                  <c:v>1499.08</c:v>
                </c:pt>
                <c:pt idx="1">
                  <c:v>5798.9</c:v>
                </c:pt>
                <c:pt idx="2">
                  <c:v>24580.5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B38-9C46-BA06-6DEF323DCA36}"/>
            </c:ext>
          </c:extLst>
        </c:ser>
        <c:ser>
          <c:idx val="2"/>
          <c:order val="2"/>
          <c:tx>
            <c:v>4,500</c:v>
          </c:tx>
          <c:spPr>
            <a:solidFill>
              <a:srgbClr val="FBBC04"/>
            </a:solidFill>
            <a:ln cmpd="sng">
              <a:solidFill>
                <a:srgbClr val="000000"/>
              </a:solidFill>
            </a:ln>
          </c:spPr>
          <c:invertIfNegative val="1"/>
          <c:cat>
            <c:strRef>
              <c:f>'Project 4'!$S$102:$S$104</c:f>
              <c:strCache>
                <c:ptCount val="3"/>
                <c:pt idx="0">
                  <c:v>8 years</c:v>
                </c:pt>
                <c:pt idx="1">
                  <c:v>9 years</c:v>
                </c:pt>
                <c:pt idx="2">
                  <c:v>12 years</c:v>
                </c:pt>
              </c:strCache>
            </c:strRef>
          </c:cat>
          <c:val>
            <c:numRef>
              <c:f>'Project 4'!$V$102:$V$104</c:f>
              <c:numCache>
                <c:formatCode>"$"#,##0.00</c:formatCode>
                <c:ptCount val="3"/>
                <c:pt idx="0">
                  <c:v>9748.6299999999992</c:v>
                </c:pt>
                <c:pt idx="1">
                  <c:v>16198.35</c:v>
                </c:pt>
                <c:pt idx="2">
                  <c:v>44370.75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5B38-9C46-BA06-6DEF323DCA36}"/>
            </c:ext>
          </c:extLst>
        </c:ser>
        <c:dLbls>
          <c:showLegendKey val="0"/>
          <c:showVal val="0"/>
          <c:showCatName val="0"/>
          <c:showSerName val="0"/>
          <c:showPercent val="0"/>
          <c:showBubbleSize val="0"/>
        </c:dLbls>
        <c:gapWidth val="150"/>
        <c:axId val="53461774"/>
        <c:axId val="559641795"/>
      </c:barChart>
      <c:catAx>
        <c:axId val="5346177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59641795"/>
        <c:crosses val="autoZero"/>
        <c:auto val="1"/>
        <c:lblAlgn val="ctr"/>
        <c:lblOffset val="100"/>
        <c:noMultiLvlLbl val="1"/>
      </c:catAx>
      <c:valAx>
        <c:axId val="5596417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5346177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AW with MARR for 4K</a:t>
            </a:r>
          </a:p>
        </c:rich>
      </c:tx>
      <c:overlay val="0"/>
    </c:title>
    <c:autoTitleDeleted val="0"/>
    <c:plotArea>
      <c:layout/>
      <c:lineChart>
        <c:grouping val="standard"/>
        <c:varyColors val="1"/>
        <c:ser>
          <c:idx val="0"/>
          <c:order val="0"/>
          <c:tx>
            <c:strRef>
              <c:f>'Project 4'!$A$127</c:f>
              <c:strCache>
                <c:ptCount val="1"/>
                <c:pt idx="0">
                  <c:v>7 years</c:v>
                </c:pt>
              </c:strCache>
            </c:strRef>
          </c:tx>
          <c:spPr>
            <a:ln cmpd="sng">
              <a:solidFill>
                <a:srgbClr val="4285F4"/>
              </a:solidFill>
            </a:ln>
          </c:spPr>
          <c:marker>
            <c:symbol val="none"/>
          </c:marker>
          <c:val>
            <c:numRef>
              <c:f>'Project 4'!$B$127:$J$127</c:f>
              <c:numCache>
                <c:formatCode>"$"#,##0.00</c:formatCode>
                <c:ptCount val="9"/>
                <c:pt idx="0">
                  <c:v>-1307.21</c:v>
                </c:pt>
                <c:pt idx="1">
                  <c:v>2192.79</c:v>
                </c:pt>
                <c:pt idx="2">
                  <c:v>5192.79</c:v>
                </c:pt>
                <c:pt idx="3">
                  <c:v>-2509.0100000000002</c:v>
                </c:pt>
                <c:pt idx="4">
                  <c:v>990.99</c:v>
                </c:pt>
                <c:pt idx="5">
                  <c:v>3990.99</c:v>
                </c:pt>
                <c:pt idx="6">
                  <c:v>-3710.81</c:v>
                </c:pt>
                <c:pt idx="7">
                  <c:v>-210.81</c:v>
                </c:pt>
                <c:pt idx="8">
                  <c:v>2789.19</c:v>
                </c:pt>
              </c:numCache>
            </c:numRef>
          </c:val>
          <c:smooth val="0"/>
          <c:extLst>
            <c:ext xmlns:c16="http://schemas.microsoft.com/office/drawing/2014/chart" uri="{C3380CC4-5D6E-409C-BE32-E72D297353CC}">
              <c16:uniqueId val="{00000000-D0DF-DD4C-9B52-10D2B1D1F38A}"/>
            </c:ext>
          </c:extLst>
        </c:ser>
        <c:ser>
          <c:idx val="1"/>
          <c:order val="1"/>
          <c:tx>
            <c:strRef>
              <c:f>'Project 4'!$A$128</c:f>
              <c:strCache>
                <c:ptCount val="1"/>
                <c:pt idx="0">
                  <c:v>10 years</c:v>
                </c:pt>
              </c:strCache>
            </c:strRef>
          </c:tx>
          <c:spPr>
            <a:ln cmpd="sng">
              <a:solidFill>
                <a:srgbClr val="EA4335"/>
              </a:solidFill>
            </a:ln>
          </c:spPr>
          <c:marker>
            <c:symbol val="none"/>
          </c:marker>
          <c:val>
            <c:numRef>
              <c:f>'Project 4'!$B$128:$J$128</c:f>
              <c:numCache>
                <c:formatCode>"$"#,##0.00</c:formatCode>
                <c:ptCount val="9"/>
                <c:pt idx="0">
                  <c:v>-485.04</c:v>
                </c:pt>
                <c:pt idx="1">
                  <c:v>3014.96</c:v>
                </c:pt>
                <c:pt idx="2">
                  <c:v>6014.96</c:v>
                </c:pt>
                <c:pt idx="3">
                  <c:v>-1481.3</c:v>
                </c:pt>
                <c:pt idx="4">
                  <c:v>2018.7</c:v>
                </c:pt>
                <c:pt idx="5">
                  <c:v>5018.7</c:v>
                </c:pt>
                <c:pt idx="6">
                  <c:v>-2477.56</c:v>
                </c:pt>
                <c:pt idx="7">
                  <c:v>1022.44</c:v>
                </c:pt>
                <c:pt idx="8">
                  <c:v>4022.44</c:v>
                </c:pt>
              </c:numCache>
            </c:numRef>
          </c:val>
          <c:smooth val="0"/>
          <c:extLst>
            <c:ext xmlns:c16="http://schemas.microsoft.com/office/drawing/2014/chart" uri="{C3380CC4-5D6E-409C-BE32-E72D297353CC}">
              <c16:uniqueId val="{00000001-D0DF-DD4C-9B52-10D2B1D1F38A}"/>
            </c:ext>
          </c:extLst>
        </c:ser>
        <c:ser>
          <c:idx val="2"/>
          <c:order val="2"/>
          <c:tx>
            <c:strRef>
              <c:f>'Project 4'!$A$129</c:f>
              <c:strCache>
                <c:ptCount val="1"/>
                <c:pt idx="0">
                  <c:v>15 years</c:v>
                </c:pt>
              </c:strCache>
            </c:strRef>
          </c:tx>
          <c:spPr>
            <a:ln cmpd="sng">
              <a:solidFill>
                <a:srgbClr val="FBBC04"/>
              </a:solidFill>
            </a:ln>
          </c:spPr>
          <c:marker>
            <c:symbol val="none"/>
          </c:marker>
          <c:val>
            <c:numRef>
              <c:f>'Project 4'!$B$129:$J$129</c:f>
              <c:numCache>
                <c:formatCode>"$"#,##0.00</c:formatCode>
                <c:ptCount val="9"/>
                <c:pt idx="0">
                  <c:v>79.66</c:v>
                </c:pt>
                <c:pt idx="1">
                  <c:v>3579.66</c:v>
                </c:pt>
                <c:pt idx="2">
                  <c:v>6579.66</c:v>
                </c:pt>
                <c:pt idx="3">
                  <c:v>-775.43</c:v>
                </c:pt>
                <c:pt idx="4">
                  <c:v>2724.57</c:v>
                </c:pt>
                <c:pt idx="5">
                  <c:v>5724.57</c:v>
                </c:pt>
                <c:pt idx="6">
                  <c:v>-1630.51</c:v>
                </c:pt>
                <c:pt idx="7">
                  <c:v>1869.49</c:v>
                </c:pt>
                <c:pt idx="8">
                  <c:v>4869.49</c:v>
                </c:pt>
              </c:numCache>
            </c:numRef>
          </c:val>
          <c:smooth val="0"/>
          <c:extLst>
            <c:ext xmlns:c16="http://schemas.microsoft.com/office/drawing/2014/chart" uri="{C3380CC4-5D6E-409C-BE32-E72D297353CC}">
              <c16:uniqueId val="{00000002-D0DF-DD4C-9B52-10D2B1D1F38A}"/>
            </c:ext>
          </c:extLst>
        </c:ser>
        <c:dLbls>
          <c:showLegendKey val="0"/>
          <c:showVal val="0"/>
          <c:showCatName val="0"/>
          <c:showSerName val="0"/>
          <c:showPercent val="0"/>
          <c:showBubbleSize val="0"/>
        </c:dLbls>
        <c:smooth val="0"/>
        <c:axId val="1429932780"/>
        <c:axId val="1070544655"/>
      </c:lineChart>
      <c:catAx>
        <c:axId val="142993278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070544655"/>
        <c:crosses val="autoZero"/>
        <c:auto val="1"/>
        <c:lblAlgn val="ctr"/>
        <c:lblOffset val="100"/>
        <c:noMultiLvlLbl val="1"/>
      </c:catAx>
      <c:valAx>
        <c:axId val="10705446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4299327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AW with Average Return for 4K</a:t>
            </a:r>
          </a:p>
        </c:rich>
      </c:tx>
      <c:overlay val="0"/>
    </c:title>
    <c:autoTitleDeleted val="0"/>
    <c:plotArea>
      <c:layout/>
      <c:lineChart>
        <c:grouping val="standard"/>
        <c:varyColors val="1"/>
        <c:ser>
          <c:idx val="0"/>
          <c:order val="0"/>
          <c:tx>
            <c:strRef>
              <c:f>'Project 4'!$A$154</c:f>
              <c:strCache>
                <c:ptCount val="1"/>
                <c:pt idx="0">
                  <c:v>7 years</c:v>
                </c:pt>
              </c:strCache>
            </c:strRef>
          </c:tx>
          <c:spPr>
            <a:ln cmpd="sng">
              <a:solidFill>
                <a:srgbClr val="4285F4"/>
              </a:solidFill>
            </a:ln>
          </c:spPr>
          <c:marker>
            <c:symbol val="none"/>
          </c:marker>
          <c:val>
            <c:numRef>
              <c:f>'Project 4'!$B$154:$J$154</c:f>
              <c:numCache>
                <c:formatCode>"$"#,##0.00</c:formatCode>
                <c:ptCount val="9"/>
                <c:pt idx="0">
                  <c:v>-2048.48</c:v>
                </c:pt>
                <c:pt idx="1">
                  <c:v>1451.52</c:v>
                </c:pt>
                <c:pt idx="2">
                  <c:v>4451.5200000000004</c:v>
                </c:pt>
                <c:pt idx="3">
                  <c:v>-3435.6</c:v>
                </c:pt>
                <c:pt idx="4">
                  <c:v>64.400000000000006</c:v>
                </c:pt>
                <c:pt idx="5">
                  <c:v>3064.4</c:v>
                </c:pt>
                <c:pt idx="6">
                  <c:v>-4822.72</c:v>
                </c:pt>
                <c:pt idx="7">
                  <c:v>-1322.72</c:v>
                </c:pt>
                <c:pt idx="8">
                  <c:v>1677.28</c:v>
                </c:pt>
              </c:numCache>
            </c:numRef>
          </c:val>
          <c:smooth val="0"/>
          <c:extLst>
            <c:ext xmlns:c16="http://schemas.microsoft.com/office/drawing/2014/chart" uri="{C3380CC4-5D6E-409C-BE32-E72D297353CC}">
              <c16:uniqueId val="{00000000-AD62-D148-AD78-E2C5A525E672}"/>
            </c:ext>
          </c:extLst>
        </c:ser>
        <c:ser>
          <c:idx val="1"/>
          <c:order val="1"/>
          <c:tx>
            <c:strRef>
              <c:f>'Project 4'!$A$155</c:f>
              <c:strCache>
                <c:ptCount val="1"/>
                <c:pt idx="0">
                  <c:v>10 years</c:v>
                </c:pt>
              </c:strCache>
            </c:strRef>
          </c:tx>
          <c:spPr>
            <a:ln cmpd="sng">
              <a:solidFill>
                <a:srgbClr val="EA4335"/>
              </a:solidFill>
            </a:ln>
          </c:spPr>
          <c:marker>
            <c:symbol val="none"/>
          </c:marker>
          <c:val>
            <c:numRef>
              <c:f>'Project 4'!$B$155:$J$155</c:f>
              <c:numCache>
                <c:formatCode>"$"#,##0.00</c:formatCode>
                <c:ptCount val="9"/>
                <c:pt idx="0">
                  <c:v>-1270.46</c:v>
                </c:pt>
                <c:pt idx="1">
                  <c:v>2229.54</c:v>
                </c:pt>
                <c:pt idx="2">
                  <c:v>5229.54</c:v>
                </c:pt>
                <c:pt idx="3">
                  <c:v>-2463.0700000000002</c:v>
                </c:pt>
                <c:pt idx="4">
                  <c:v>1036.93</c:v>
                </c:pt>
                <c:pt idx="5">
                  <c:v>4036.93</c:v>
                </c:pt>
                <c:pt idx="6">
                  <c:v>-3655.68</c:v>
                </c:pt>
                <c:pt idx="7">
                  <c:v>-155.68</c:v>
                </c:pt>
                <c:pt idx="8">
                  <c:v>2844.32</c:v>
                </c:pt>
              </c:numCache>
            </c:numRef>
          </c:val>
          <c:smooth val="0"/>
          <c:extLst>
            <c:ext xmlns:c16="http://schemas.microsoft.com/office/drawing/2014/chart" uri="{C3380CC4-5D6E-409C-BE32-E72D297353CC}">
              <c16:uniqueId val="{00000001-AD62-D148-AD78-E2C5A525E672}"/>
            </c:ext>
          </c:extLst>
        </c:ser>
        <c:ser>
          <c:idx val="2"/>
          <c:order val="2"/>
          <c:tx>
            <c:strRef>
              <c:f>'Project 4'!$A$156</c:f>
              <c:strCache>
                <c:ptCount val="1"/>
                <c:pt idx="0">
                  <c:v>15 years</c:v>
                </c:pt>
              </c:strCache>
            </c:strRef>
          </c:tx>
          <c:spPr>
            <a:ln cmpd="sng">
              <a:solidFill>
                <a:srgbClr val="FBBC04"/>
              </a:solidFill>
            </a:ln>
          </c:spPr>
          <c:marker>
            <c:symbol val="none"/>
          </c:marker>
          <c:val>
            <c:numRef>
              <c:f>'Project 4'!$B$156:$J$156</c:f>
              <c:numCache>
                <c:formatCode>"$"#,##0.00</c:formatCode>
                <c:ptCount val="9"/>
                <c:pt idx="0">
                  <c:v>-777.64</c:v>
                </c:pt>
                <c:pt idx="1">
                  <c:v>2722.36</c:v>
                </c:pt>
                <c:pt idx="2">
                  <c:v>5722.36</c:v>
                </c:pt>
                <c:pt idx="3">
                  <c:v>-1847.05</c:v>
                </c:pt>
                <c:pt idx="4">
                  <c:v>1652.95</c:v>
                </c:pt>
                <c:pt idx="5">
                  <c:v>4652.95</c:v>
                </c:pt>
                <c:pt idx="6">
                  <c:v>-2916.46</c:v>
                </c:pt>
                <c:pt idx="7">
                  <c:v>583.54</c:v>
                </c:pt>
                <c:pt idx="8">
                  <c:v>3583.54</c:v>
                </c:pt>
              </c:numCache>
            </c:numRef>
          </c:val>
          <c:smooth val="0"/>
          <c:extLst>
            <c:ext xmlns:c16="http://schemas.microsoft.com/office/drawing/2014/chart" uri="{C3380CC4-5D6E-409C-BE32-E72D297353CC}">
              <c16:uniqueId val="{00000002-AD62-D148-AD78-E2C5A525E672}"/>
            </c:ext>
          </c:extLst>
        </c:ser>
        <c:dLbls>
          <c:showLegendKey val="0"/>
          <c:showVal val="0"/>
          <c:showCatName val="0"/>
          <c:showSerName val="0"/>
          <c:showPercent val="0"/>
          <c:showBubbleSize val="0"/>
        </c:dLbls>
        <c:smooth val="0"/>
        <c:axId val="895667100"/>
        <c:axId val="1372140856"/>
      </c:lineChart>
      <c:catAx>
        <c:axId val="89566710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72140856"/>
        <c:crosses val="autoZero"/>
        <c:auto val="1"/>
        <c:lblAlgn val="ctr"/>
        <c:lblOffset val="100"/>
        <c:noMultiLvlLbl val="1"/>
      </c:catAx>
      <c:valAx>
        <c:axId val="13721408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89566710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FW with MARR for 4K</a:t>
            </a:r>
          </a:p>
        </c:rich>
      </c:tx>
      <c:overlay val="0"/>
    </c:title>
    <c:autoTitleDeleted val="0"/>
    <c:plotArea>
      <c:layout/>
      <c:lineChart>
        <c:grouping val="standard"/>
        <c:varyColors val="1"/>
        <c:ser>
          <c:idx val="0"/>
          <c:order val="0"/>
          <c:tx>
            <c:strRef>
              <c:f>'Project 4'!$A$179</c:f>
              <c:strCache>
                <c:ptCount val="1"/>
                <c:pt idx="0">
                  <c:v>7 years</c:v>
                </c:pt>
              </c:strCache>
            </c:strRef>
          </c:tx>
          <c:spPr>
            <a:ln cmpd="sng">
              <a:solidFill>
                <a:srgbClr val="4285F4"/>
              </a:solidFill>
            </a:ln>
          </c:spPr>
          <c:marker>
            <c:symbol val="none"/>
          </c:marker>
          <c:val>
            <c:numRef>
              <c:f>'Project 4'!$B$179:$J$179</c:f>
              <c:numCache>
                <c:formatCode>"$"#,##0.00</c:formatCode>
                <c:ptCount val="9"/>
                <c:pt idx="0">
                  <c:v>-14466.6</c:v>
                </c:pt>
                <c:pt idx="1">
                  <c:v>24267.200000000001</c:v>
                </c:pt>
                <c:pt idx="2">
                  <c:v>57467.59</c:v>
                </c:pt>
                <c:pt idx="3">
                  <c:v>-27766.7</c:v>
                </c:pt>
                <c:pt idx="4">
                  <c:v>10967.1</c:v>
                </c:pt>
                <c:pt idx="5">
                  <c:v>44167.5</c:v>
                </c:pt>
                <c:pt idx="6">
                  <c:v>-41066.800000000003</c:v>
                </c:pt>
                <c:pt idx="7">
                  <c:v>-2333</c:v>
                </c:pt>
                <c:pt idx="8">
                  <c:v>30867.4</c:v>
                </c:pt>
              </c:numCache>
            </c:numRef>
          </c:val>
          <c:smooth val="0"/>
          <c:extLst>
            <c:ext xmlns:c16="http://schemas.microsoft.com/office/drawing/2014/chart" uri="{C3380CC4-5D6E-409C-BE32-E72D297353CC}">
              <c16:uniqueId val="{00000000-97C1-9F42-9851-01CD8B2EC9E6}"/>
            </c:ext>
          </c:extLst>
        </c:ser>
        <c:ser>
          <c:idx val="1"/>
          <c:order val="1"/>
          <c:tx>
            <c:strRef>
              <c:f>'Project 4'!$A$180</c:f>
              <c:strCache>
                <c:ptCount val="1"/>
                <c:pt idx="0">
                  <c:v>10 years</c:v>
                </c:pt>
              </c:strCache>
            </c:strRef>
          </c:tx>
          <c:spPr>
            <a:ln cmpd="sng">
              <a:solidFill>
                <a:srgbClr val="EA4335"/>
              </a:solidFill>
            </a:ln>
          </c:spPr>
          <c:marker>
            <c:symbol val="none"/>
          </c:marker>
          <c:val>
            <c:numRef>
              <c:f>'Project 4'!$B$180:$J$180</c:f>
              <c:numCache>
                <c:formatCode>"$"#,##0.00</c:formatCode>
                <c:ptCount val="9"/>
                <c:pt idx="0">
                  <c:v>-9848.14</c:v>
                </c:pt>
                <c:pt idx="1">
                  <c:v>61214.87</c:v>
                </c:pt>
                <c:pt idx="2">
                  <c:v>122126.03</c:v>
                </c:pt>
                <c:pt idx="3">
                  <c:v>-30075.93</c:v>
                </c:pt>
                <c:pt idx="4">
                  <c:v>40987.08</c:v>
                </c:pt>
                <c:pt idx="5">
                  <c:v>101898.24000000001</c:v>
                </c:pt>
                <c:pt idx="6">
                  <c:v>-50303.72</c:v>
                </c:pt>
                <c:pt idx="7">
                  <c:v>20759.3</c:v>
                </c:pt>
                <c:pt idx="8">
                  <c:v>81670.45</c:v>
                </c:pt>
              </c:numCache>
            </c:numRef>
          </c:val>
          <c:smooth val="0"/>
          <c:extLst>
            <c:ext xmlns:c16="http://schemas.microsoft.com/office/drawing/2014/chart" uri="{C3380CC4-5D6E-409C-BE32-E72D297353CC}">
              <c16:uniqueId val="{00000001-97C1-9F42-9851-01CD8B2EC9E6}"/>
            </c:ext>
          </c:extLst>
        </c:ser>
        <c:ser>
          <c:idx val="2"/>
          <c:order val="2"/>
          <c:tx>
            <c:strRef>
              <c:f>'Project 4'!$A$181</c:f>
              <c:strCache>
                <c:ptCount val="1"/>
                <c:pt idx="0">
                  <c:v>15 years</c:v>
                </c:pt>
              </c:strCache>
            </c:strRef>
          </c:tx>
          <c:spPr>
            <a:ln cmpd="sng">
              <a:solidFill>
                <a:srgbClr val="FBBC04"/>
              </a:solidFill>
            </a:ln>
          </c:spPr>
          <c:marker>
            <c:symbol val="none"/>
          </c:marker>
          <c:val>
            <c:numRef>
              <c:f>'Project 4'!$B$181:$J$181</c:f>
              <c:numCache>
                <c:formatCode>"$"#,##0.00</c:formatCode>
                <c:ptCount val="9"/>
                <c:pt idx="0">
                  <c:v>3790.21</c:v>
                </c:pt>
                <c:pt idx="1">
                  <c:v>170321.64</c:v>
                </c:pt>
                <c:pt idx="2">
                  <c:v>313062.88</c:v>
                </c:pt>
                <c:pt idx="3">
                  <c:v>-36895.1</c:v>
                </c:pt>
                <c:pt idx="4">
                  <c:v>129636.34</c:v>
                </c:pt>
                <c:pt idx="5">
                  <c:v>272377.57</c:v>
                </c:pt>
                <c:pt idx="6">
                  <c:v>-77580.41</c:v>
                </c:pt>
                <c:pt idx="7">
                  <c:v>88951.03</c:v>
                </c:pt>
                <c:pt idx="8">
                  <c:v>231692.26</c:v>
                </c:pt>
              </c:numCache>
            </c:numRef>
          </c:val>
          <c:smooth val="0"/>
          <c:extLst>
            <c:ext xmlns:c16="http://schemas.microsoft.com/office/drawing/2014/chart" uri="{C3380CC4-5D6E-409C-BE32-E72D297353CC}">
              <c16:uniqueId val="{00000002-97C1-9F42-9851-01CD8B2EC9E6}"/>
            </c:ext>
          </c:extLst>
        </c:ser>
        <c:dLbls>
          <c:showLegendKey val="0"/>
          <c:showVal val="0"/>
          <c:showCatName val="0"/>
          <c:showSerName val="0"/>
          <c:showPercent val="0"/>
          <c:showBubbleSize val="0"/>
        </c:dLbls>
        <c:smooth val="0"/>
        <c:axId val="1859075491"/>
        <c:axId val="846239173"/>
      </c:lineChart>
      <c:catAx>
        <c:axId val="185907549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46239173"/>
        <c:crosses val="autoZero"/>
        <c:auto val="1"/>
        <c:lblAlgn val="ctr"/>
        <c:lblOffset val="100"/>
        <c:noMultiLvlLbl val="1"/>
      </c:catAx>
      <c:valAx>
        <c:axId val="8462391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185907549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FW with Average Return for 4K</a:t>
            </a:r>
          </a:p>
        </c:rich>
      </c:tx>
      <c:overlay val="0"/>
    </c:title>
    <c:autoTitleDeleted val="0"/>
    <c:plotArea>
      <c:layout/>
      <c:lineChart>
        <c:grouping val="standard"/>
        <c:varyColors val="1"/>
        <c:ser>
          <c:idx val="0"/>
          <c:order val="0"/>
          <c:tx>
            <c:strRef>
              <c:f>'Project 4'!$A$203</c:f>
              <c:strCache>
                <c:ptCount val="1"/>
                <c:pt idx="0">
                  <c:v>7 years</c:v>
                </c:pt>
              </c:strCache>
            </c:strRef>
          </c:tx>
          <c:spPr>
            <a:ln cmpd="sng">
              <a:solidFill>
                <a:srgbClr val="4285F4"/>
              </a:solidFill>
            </a:ln>
          </c:spPr>
          <c:marker>
            <c:symbol val="none"/>
          </c:marker>
          <c:val>
            <c:numRef>
              <c:f>'Project 4'!$B$203:$J$203</c:f>
              <c:numCache>
                <c:formatCode>"$"#,##0.00</c:formatCode>
                <c:ptCount val="9"/>
                <c:pt idx="0">
                  <c:v>-26457.95</c:v>
                </c:pt>
                <c:pt idx="1">
                  <c:v>18747.71</c:v>
                </c:pt>
                <c:pt idx="2">
                  <c:v>57495.42</c:v>
                </c:pt>
                <c:pt idx="3">
                  <c:v>-44373.86</c:v>
                </c:pt>
                <c:pt idx="4">
                  <c:v>831.81</c:v>
                </c:pt>
                <c:pt idx="5">
                  <c:v>38579.519999999997</c:v>
                </c:pt>
                <c:pt idx="6">
                  <c:v>-62289.760000000002</c:v>
                </c:pt>
                <c:pt idx="7">
                  <c:v>-17084.099999999999</c:v>
                </c:pt>
                <c:pt idx="8">
                  <c:v>21663.62</c:v>
                </c:pt>
              </c:numCache>
            </c:numRef>
          </c:val>
          <c:smooth val="0"/>
          <c:extLst>
            <c:ext xmlns:c16="http://schemas.microsoft.com/office/drawing/2014/chart" uri="{C3380CC4-5D6E-409C-BE32-E72D297353CC}">
              <c16:uniqueId val="{00000000-BCA4-534B-A92F-B0381695ACFD}"/>
            </c:ext>
          </c:extLst>
        </c:ser>
        <c:ser>
          <c:idx val="1"/>
          <c:order val="1"/>
          <c:tx>
            <c:strRef>
              <c:f>'Project 4'!$A$204</c:f>
              <c:strCache>
                <c:ptCount val="1"/>
                <c:pt idx="0">
                  <c:v>10 years</c:v>
                </c:pt>
              </c:strCache>
            </c:strRef>
          </c:tx>
          <c:spPr>
            <a:ln cmpd="sng">
              <a:solidFill>
                <a:srgbClr val="EA4335"/>
              </a:solidFill>
            </a:ln>
          </c:spPr>
          <c:marker>
            <c:symbol val="none"/>
          </c:marker>
          <c:val>
            <c:numRef>
              <c:f>'Project 4'!$B$204:$J$204</c:f>
              <c:numCache>
                <c:formatCode>"$"#,##0.00</c:formatCode>
                <c:ptCount val="9"/>
                <c:pt idx="0">
                  <c:v>-32979.339999999997</c:v>
                </c:pt>
                <c:pt idx="1">
                  <c:v>57876.05</c:v>
                </c:pt>
                <c:pt idx="2">
                  <c:v>135752.09</c:v>
                </c:pt>
                <c:pt idx="3">
                  <c:v>63938.02</c:v>
                </c:pt>
                <c:pt idx="4">
                  <c:v>26917.360000000001</c:v>
                </c:pt>
                <c:pt idx="5">
                  <c:v>104793.41</c:v>
                </c:pt>
                <c:pt idx="6">
                  <c:v>-94896.71</c:v>
                </c:pt>
                <c:pt idx="7">
                  <c:v>-4041.32</c:v>
                </c:pt>
                <c:pt idx="8">
                  <c:v>73834.73</c:v>
                </c:pt>
              </c:numCache>
            </c:numRef>
          </c:val>
          <c:smooth val="0"/>
          <c:extLst>
            <c:ext xmlns:c16="http://schemas.microsoft.com/office/drawing/2014/chart" uri="{C3380CC4-5D6E-409C-BE32-E72D297353CC}">
              <c16:uniqueId val="{00000001-BCA4-534B-A92F-B0381695ACFD}"/>
            </c:ext>
          </c:extLst>
        </c:ser>
        <c:ser>
          <c:idx val="2"/>
          <c:order val="2"/>
          <c:tx>
            <c:strRef>
              <c:f>'Project 4'!$A$205</c:f>
              <c:strCache>
                <c:ptCount val="1"/>
                <c:pt idx="0">
                  <c:v>15 years</c:v>
                </c:pt>
              </c:strCache>
            </c:strRef>
          </c:tx>
          <c:spPr>
            <a:ln cmpd="sng">
              <a:solidFill>
                <a:srgbClr val="FBBC04"/>
              </a:solidFill>
            </a:ln>
          </c:spPr>
          <c:marker>
            <c:symbol val="none"/>
          </c:marker>
          <c:val>
            <c:numRef>
              <c:f>'Project 4'!$B$205:$J$205</c:f>
              <c:numCache>
                <c:formatCode>"$"#,##0.00</c:formatCode>
                <c:ptCount val="9"/>
                <c:pt idx="0">
                  <c:v>-56017.55</c:v>
                </c:pt>
                <c:pt idx="1">
                  <c:v>196105.32</c:v>
                </c:pt>
                <c:pt idx="2">
                  <c:v>412210.65</c:v>
                </c:pt>
                <c:pt idx="3">
                  <c:v>-133052.66</c:v>
                </c:pt>
                <c:pt idx="4">
                  <c:v>119070.22</c:v>
                </c:pt>
                <c:pt idx="5">
                  <c:v>335175.53999999998</c:v>
                </c:pt>
                <c:pt idx="6">
                  <c:v>-210087.77</c:v>
                </c:pt>
                <c:pt idx="7">
                  <c:v>42035.11</c:v>
                </c:pt>
                <c:pt idx="8">
                  <c:v>258140.43</c:v>
                </c:pt>
              </c:numCache>
            </c:numRef>
          </c:val>
          <c:smooth val="0"/>
          <c:extLst>
            <c:ext xmlns:c16="http://schemas.microsoft.com/office/drawing/2014/chart" uri="{C3380CC4-5D6E-409C-BE32-E72D297353CC}">
              <c16:uniqueId val="{00000002-BCA4-534B-A92F-B0381695ACFD}"/>
            </c:ext>
          </c:extLst>
        </c:ser>
        <c:dLbls>
          <c:showLegendKey val="0"/>
          <c:showVal val="0"/>
          <c:showCatName val="0"/>
          <c:showSerName val="0"/>
          <c:showPercent val="0"/>
          <c:showBubbleSize val="0"/>
        </c:dLbls>
        <c:smooth val="0"/>
        <c:axId val="438377158"/>
        <c:axId val="1731513842"/>
      </c:lineChart>
      <c:catAx>
        <c:axId val="43837715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31513842"/>
        <c:crosses val="autoZero"/>
        <c:auto val="1"/>
        <c:lblAlgn val="ctr"/>
        <c:lblOffset val="100"/>
        <c:noMultiLvlLbl val="1"/>
      </c:catAx>
      <c:valAx>
        <c:axId val="17315138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quot;$&quot;#,##0.00" sourceLinked="1"/>
        <c:majorTickMark val="none"/>
        <c:minorTickMark val="none"/>
        <c:tickLblPos val="nextTo"/>
        <c:spPr>
          <a:ln/>
        </c:spPr>
        <c:txPr>
          <a:bodyPr/>
          <a:lstStyle/>
          <a:p>
            <a:pPr lvl="0">
              <a:defRPr b="0">
                <a:solidFill>
                  <a:srgbClr val="000000"/>
                </a:solidFill>
                <a:latin typeface="+mn-lt"/>
              </a:defRPr>
            </a:pPr>
            <a:endParaRPr lang="en-US"/>
          </a:p>
        </c:txPr>
        <c:crossAx val="43837715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3" Type="http://schemas.openxmlformats.org/officeDocument/2006/relationships/chart" Target="../charts/chart4.xml"/><Relationship Id="rId7" Type="http://schemas.openxmlformats.org/officeDocument/2006/relationships/chart" Target="../charts/chart8.xml"/><Relationship Id="rId12" Type="http://schemas.openxmlformats.org/officeDocument/2006/relationships/chart" Target="../charts/chart13.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chart" Target="../charts/chart6.xml"/><Relationship Id="rId15" Type="http://schemas.openxmlformats.org/officeDocument/2006/relationships/chart" Target="../charts/chart1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 Id="rId14" Type="http://schemas.openxmlformats.org/officeDocument/2006/relationships/chart" Target="../charts/chart1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5" Type="http://schemas.openxmlformats.org/officeDocument/2006/relationships/chart" Target="../charts/chart21.xml"/><Relationship Id="rId4" Type="http://schemas.openxmlformats.org/officeDocument/2006/relationships/chart" Target="../charts/chart20.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0.xml"/><Relationship Id="rId13" Type="http://schemas.openxmlformats.org/officeDocument/2006/relationships/chart" Target="../charts/chart35.xml"/><Relationship Id="rId3" Type="http://schemas.openxmlformats.org/officeDocument/2006/relationships/chart" Target="../charts/chart25.xml"/><Relationship Id="rId7" Type="http://schemas.openxmlformats.org/officeDocument/2006/relationships/chart" Target="../charts/chart29.xml"/><Relationship Id="rId12" Type="http://schemas.openxmlformats.org/officeDocument/2006/relationships/chart" Target="../charts/chart34.xml"/><Relationship Id="rId2" Type="http://schemas.openxmlformats.org/officeDocument/2006/relationships/chart" Target="../charts/chart24.xml"/><Relationship Id="rId1" Type="http://schemas.openxmlformats.org/officeDocument/2006/relationships/chart" Target="../charts/chart23.xml"/><Relationship Id="rId6" Type="http://schemas.openxmlformats.org/officeDocument/2006/relationships/chart" Target="../charts/chart28.xml"/><Relationship Id="rId11" Type="http://schemas.openxmlformats.org/officeDocument/2006/relationships/chart" Target="../charts/chart33.xml"/><Relationship Id="rId5" Type="http://schemas.openxmlformats.org/officeDocument/2006/relationships/chart" Target="../charts/chart27.xml"/><Relationship Id="rId15" Type="http://schemas.openxmlformats.org/officeDocument/2006/relationships/chart" Target="../charts/chart37.xml"/><Relationship Id="rId10" Type="http://schemas.openxmlformats.org/officeDocument/2006/relationships/chart" Target="../charts/chart32.xml"/><Relationship Id="rId4" Type="http://schemas.openxmlformats.org/officeDocument/2006/relationships/chart" Target="../charts/chart26.xml"/><Relationship Id="rId9" Type="http://schemas.openxmlformats.org/officeDocument/2006/relationships/chart" Target="../charts/chart31.xml"/><Relationship Id="rId14" Type="http://schemas.openxmlformats.org/officeDocument/2006/relationships/chart" Target="../charts/chart36.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oneCellAnchor>
    <xdr:from>
      <xdr:col>4</xdr:col>
      <xdr:colOff>342900</xdr:colOff>
      <xdr:row>44</xdr:row>
      <xdr:rowOff>133350</xdr:rowOff>
    </xdr:from>
    <xdr:ext cx="7410450" cy="4572000"/>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30</xdr:row>
      <xdr:rowOff>9525</xdr:rowOff>
    </xdr:from>
    <xdr:ext cx="3838575" cy="2857500"/>
    <xdr:graphicFrame macro="">
      <xdr:nvGraphicFramePr>
        <xdr:cNvPr id="2" name="Chart 2"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942975</xdr:colOff>
      <xdr:row>30</xdr:row>
      <xdr:rowOff>9525</xdr:rowOff>
    </xdr:from>
    <xdr:ext cx="3838575" cy="2857500"/>
    <xdr:graphicFrame macro="">
      <xdr:nvGraphicFramePr>
        <xdr:cNvPr id="3" name="Chart 3" title="Chart">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0</xdr:colOff>
      <xdr:row>42</xdr:row>
      <xdr:rowOff>47625</xdr:rowOff>
    </xdr:from>
    <xdr:ext cx="3838575" cy="2419350"/>
    <xdr:graphicFrame macro="">
      <xdr:nvGraphicFramePr>
        <xdr:cNvPr id="4" name="Chart 4" title="Chart">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3</xdr:col>
      <xdr:colOff>923925</xdr:colOff>
      <xdr:row>42</xdr:row>
      <xdr:rowOff>47625</xdr:rowOff>
    </xdr:from>
    <xdr:ext cx="3876675" cy="2495550"/>
    <xdr:graphicFrame macro="">
      <xdr:nvGraphicFramePr>
        <xdr:cNvPr id="5" name="Chart 5" title="Chart">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0</xdr:col>
      <xdr:colOff>0</xdr:colOff>
      <xdr:row>54</xdr:row>
      <xdr:rowOff>0</xdr:rowOff>
    </xdr:from>
    <xdr:ext cx="3838575" cy="2724150"/>
    <xdr:graphicFrame macro="">
      <xdr:nvGraphicFramePr>
        <xdr:cNvPr id="6" name="Chart 6" title="Chart">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7</xdr:col>
      <xdr:colOff>942975</xdr:colOff>
      <xdr:row>31</xdr:row>
      <xdr:rowOff>352425</xdr:rowOff>
    </xdr:from>
    <xdr:ext cx="3705225" cy="2628900"/>
    <xdr:graphicFrame macro="">
      <xdr:nvGraphicFramePr>
        <xdr:cNvPr id="7" name="Chart 7" title="Chart">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11</xdr:col>
      <xdr:colOff>809625</xdr:colOff>
      <xdr:row>32</xdr:row>
      <xdr:rowOff>0</xdr:rowOff>
    </xdr:from>
    <xdr:ext cx="3990975" cy="2628900"/>
    <xdr:graphicFrame macro="">
      <xdr:nvGraphicFramePr>
        <xdr:cNvPr id="8" name="Chart 8" title="Chart">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7</xdr:col>
      <xdr:colOff>942975</xdr:colOff>
      <xdr:row>44</xdr:row>
      <xdr:rowOff>57150</xdr:rowOff>
    </xdr:from>
    <xdr:ext cx="3724275" cy="2571750"/>
    <xdr:graphicFrame macro="">
      <xdr:nvGraphicFramePr>
        <xdr:cNvPr id="9" name="Chart 9" title="Chart">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11</xdr:col>
      <xdr:colOff>809625</xdr:colOff>
      <xdr:row>44</xdr:row>
      <xdr:rowOff>57150</xdr:rowOff>
    </xdr:from>
    <xdr:ext cx="3990975" cy="2571750"/>
    <xdr:graphicFrame macro="">
      <xdr:nvGraphicFramePr>
        <xdr:cNvPr id="10" name="Chart 10" title="Chart">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7</xdr:col>
      <xdr:colOff>942975</xdr:colOff>
      <xdr:row>57</xdr:row>
      <xdr:rowOff>9525</xdr:rowOff>
    </xdr:from>
    <xdr:ext cx="3724275" cy="2628900"/>
    <xdr:graphicFrame macro="">
      <xdr:nvGraphicFramePr>
        <xdr:cNvPr id="11" name="Chart 11" title="Chart">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15</xdr:col>
      <xdr:colOff>942975</xdr:colOff>
      <xdr:row>33</xdr:row>
      <xdr:rowOff>352425</xdr:rowOff>
    </xdr:from>
    <xdr:ext cx="3943350" cy="2857500"/>
    <xdr:graphicFrame macro="">
      <xdr:nvGraphicFramePr>
        <xdr:cNvPr id="12" name="Chart 12" title="Chart">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20</xdr:col>
      <xdr:colOff>66675</xdr:colOff>
      <xdr:row>34</xdr:row>
      <xdr:rowOff>0</xdr:rowOff>
    </xdr:from>
    <xdr:ext cx="3838575" cy="2857500"/>
    <xdr:graphicFrame macro="">
      <xdr:nvGraphicFramePr>
        <xdr:cNvPr id="13" name="Chart 13" title="Chart">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15</xdr:col>
      <xdr:colOff>885825</xdr:colOff>
      <xdr:row>48</xdr:row>
      <xdr:rowOff>28575</xdr:rowOff>
    </xdr:from>
    <xdr:ext cx="3990975" cy="2628900"/>
    <xdr:graphicFrame macro="">
      <xdr:nvGraphicFramePr>
        <xdr:cNvPr id="14" name="Chart 14" title="Chart">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oneCellAnchor>
    <xdr:from>
      <xdr:col>20</xdr:col>
      <xdr:colOff>57150</xdr:colOff>
      <xdr:row>48</xdr:row>
      <xdr:rowOff>19050</xdr:rowOff>
    </xdr:from>
    <xdr:ext cx="3838575" cy="2628900"/>
    <xdr:graphicFrame macro="">
      <xdr:nvGraphicFramePr>
        <xdr:cNvPr id="15" name="Chart 15" title="Chart">
          <a:extLst>
            <a:ext uri="{FF2B5EF4-FFF2-40B4-BE49-F238E27FC236}">
              <a16:creationId xmlns:a16="http://schemas.microsoft.com/office/drawing/2014/main" id="{00000000-0008-0000-02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fLocksWithSheet="0"/>
  </xdr:oneCellAnchor>
  <xdr:oneCellAnchor>
    <xdr:from>
      <xdr:col>15</xdr:col>
      <xdr:colOff>885825</xdr:colOff>
      <xdr:row>61</xdr:row>
      <xdr:rowOff>28575</xdr:rowOff>
    </xdr:from>
    <xdr:ext cx="3990975" cy="2628900"/>
    <xdr:graphicFrame macro="">
      <xdr:nvGraphicFramePr>
        <xdr:cNvPr id="16" name="Chart 16" title="Chart">
          <a:extLst>
            <a:ext uri="{FF2B5EF4-FFF2-40B4-BE49-F238E27FC236}">
              <a16:creationId xmlns:a16="http://schemas.microsoft.com/office/drawing/2014/main" id="{00000000-0008-0000-02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fLocksWithSheet="0"/>
  </xdr:oneCellAnchor>
  <xdr:oneCellAnchor>
    <xdr:from>
      <xdr:col>11</xdr:col>
      <xdr:colOff>244475</xdr:colOff>
      <xdr:row>0</xdr:row>
      <xdr:rowOff>0</xdr:rowOff>
    </xdr:from>
    <xdr:ext cx="4111625" cy="2761303"/>
    <xdr:sp macro="" textlink="">
      <xdr:nvSpPr>
        <xdr:cNvPr id="17" name="Shape 3">
          <a:extLst>
            <a:ext uri="{FF2B5EF4-FFF2-40B4-BE49-F238E27FC236}">
              <a16:creationId xmlns:a16="http://schemas.microsoft.com/office/drawing/2014/main" id="{00000000-0008-0000-0200-000011000000}"/>
            </a:ext>
          </a:extLst>
        </xdr:cNvPr>
        <xdr:cNvSpPr txBox="1"/>
      </xdr:nvSpPr>
      <xdr:spPr>
        <a:xfrm>
          <a:off x="10861675" y="0"/>
          <a:ext cx="4111625" cy="2761303"/>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lnSpc>
              <a:spcPct val="115000"/>
            </a:lnSpc>
            <a:spcBef>
              <a:spcPts val="0"/>
            </a:spcBef>
            <a:spcAft>
              <a:spcPts val="0"/>
            </a:spcAft>
            <a:buNone/>
          </a:pPr>
          <a:r>
            <a:rPr lang="en-US" sz="800" b="1"/>
            <a:t>For Useful life of 8 years:</a:t>
          </a:r>
          <a:endParaRPr sz="800" b="1"/>
        </a:p>
        <a:p>
          <a:pPr marL="0" lvl="0" indent="0" algn="l" rtl="0">
            <a:lnSpc>
              <a:spcPct val="115000"/>
            </a:lnSpc>
            <a:spcBef>
              <a:spcPts val="0"/>
            </a:spcBef>
            <a:spcAft>
              <a:spcPts val="0"/>
            </a:spcAft>
            <a:buNone/>
          </a:pPr>
          <a:r>
            <a:rPr lang="en-US" sz="800"/>
            <a:t>NPV using MARR would favor: Project 1C</a:t>
          </a:r>
          <a:endParaRPr sz="800"/>
        </a:p>
        <a:p>
          <a:pPr marL="0" lvl="0" indent="0" algn="l" rtl="0">
            <a:lnSpc>
              <a:spcPct val="115000"/>
            </a:lnSpc>
            <a:spcBef>
              <a:spcPts val="0"/>
            </a:spcBef>
            <a:spcAft>
              <a:spcPts val="0"/>
            </a:spcAft>
            <a:buNone/>
          </a:pPr>
          <a:r>
            <a:rPr lang="en-US" sz="800"/>
            <a:t>NPV using AR would favor: Project 1D</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IRR comparison of multiple alternatives requires us to look at projects in pairs:</a:t>
          </a:r>
          <a:endParaRPr sz="800"/>
        </a:p>
        <a:p>
          <a:pPr marL="0" lvl="0" indent="0" algn="l" rtl="0">
            <a:lnSpc>
              <a:spcPct val="115000"/>
            </a:lnSpc>
            <a:spcBef>
              <a:spcPts val="0"/>
            </a:spcBef>
            <a:spcAft>
              <a:spcPts val="0"/>
            </a:spcAft>
            <a:buNone/>
          </a:pPr>
          <a:r>
            <a:rPr lang="en-US" sz="800"/>
            <a:t>IRR (1A) &lt; IRR (1B)</a:t>
          </a:r>
          <a:endParaRPr sz="800"/>
        </a:p>
        <a:p>
          <a:pPr marL="0" lvl="0" indent="0" algn="l" rtl="0">
            <a:lnSpc>
              <a:spcPct val="115000"/>
            </a:lnSpc>
            <a:spcBef>
              <a:spcPts val="0"/>
            </a:spcBef>
            <a:spcAft>
              <a:spcPts val="0"/>
            </a:spcAft>
            <a:buNone/>
          </a:pPr>
          <a:r>
            <a:rPr lang="en-US" sz="800"/>
            <a:t>IRR (1B) &lt; IRR (1C)</a:t>
          </a:r>
          <a:endParaRPr sz="800"/>
        </a:p>
        <a:p>
          <a:pPr marL="0" lvl="0" indent="0" algn="l" rtl="0">
            <a:lnSpc>
              <a:spcPct val="115000"/>
            </a:lnSpc>
            <a:spcBef>
              <a:spcPts val="0"/>
            </a:spcBef>
            <a:spcAft>
              <a:spcPts val="0"/>
            </a:spcAft>
            <a:buNone/>
          </a:pPr>
          <a:r>
            <a:rPr lang="en-US" sz="800"/>
            <a:t>IRR (1C) &gt; IRR (1D)</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Thus, 1C would be favored.</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ERR comparison decision rule: If ERR &gt; MARR, the project is economically justified.</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1A, 1B, 1C, 1D are all higher than MARR, therefore economically justified.</a:t>
          </a:r>
          <a:endParaRPr sz="800"/>
        </a:p>
        <a:p>
          <a:pPr marL="0" lvl="0" indent="0" algn="l" rtl="0">
            <a:lnSpc>
              <a:spcPct val="115000"/>
            </a:lnSpc>
            <a:spcBef>
              <a:spcPts val="0"/>
            </a:spcBef>
            <a:spcAft>
              <a:spcPts val="0"/>
            </a:spcAft>
            <a:buNone/>
          </a:pPr>
          <a:r>
            <a:rPr lang="en-US" sz="800"/>
            <a:t>Thus, all projects are more beneficial than doing nothing according to this KPI</a:t>
          </a:r>
          <a:endParaRPr sz="800"/>
        </a:p>
        <a:p>
          <a:pPr marL="0" lvl="0" indent="0" algn="l" rtl="0">
            <a:lnSpc>
              <a:spcPct val="115000"/>
            </a:lnSpc>
            <a:spcBef>
              <a:spcPts val="0"/>
            </a:spcBef>
            <a:spcAft>
              <a:spcPts val="0"/>
            </a:spcAft>
            <a:buNone/>
          </a:pPr>
          <a:r>
            <a:rPr lang="en-US" sz="800"/>
            <a:t>However, 1C has highest ERR using MARR and AR.</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Thus, 1C would be favored.</a:t>
          </a:r>
          <a:endParaRPr sz="800"/>
        </a:p>
      </xdr:txBody>
    </xdr:sp>
    <xdr:clientData fLocksWithSheet="0"/>
  </xdr:oneCellAnchor>
  <xdr:oneCellAnchor>
    <xdr:from>
      <xdr:col>5</xdr:col>
      <xdr:colOff>66674</xdr:colOff>
      <xdr:row>1</xdr:row>
      <xdr:rowOff>0</xdr:rowOff>
    </xdr:from>
    <xdr:ext cx="2765425" cy="1216970"/>
    <xdr:sp macro="" textlink="">
      <xdr:nvSpPr>
        <xdr:cNvPr id="18" name="Shape 4">
          <a:extLst>
            <a:ext uri="{FF2B5EF4-FFF2-40B4-BE49-F238E27FC236}">
              <a16:creationId xmlns:a16="http://schemas.microsoft.com/office/drawing/2014/main" id="{00000000-0008-0000-0200-000012000000}"/>
            </a:ext>
          </a:extLst>
        </xdr:cNvPr>
        <xdr:cNvSpPr txBox="1"/>
      </xdr:nvSpPr>
      <xdr:spPr>
        <a:xfrm>
          <a:off x="4892674" y="190500"/>
          <a:ext cx="2765425" cy="1216970"/>
        </a:xfrm>
        <a:prstGeom prst="rect">
          <a:avLst/>
        </a:prstGeom>
        <a:solidFill>
          <a:srgbClr val="FFF2CC"/>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b="1"/>
            <a:t>Context of Project 1:</a:t>
          </a:r>
          <a:endParaRPr sz="1000" b="1"/>
        </a:p>
        <a:p>
          <a:pPr marL="457200" lvl="0" indent="-292100" algn="l" rtl="0">
            <a:spcBef>
              <a:spcPts val="0"/>
            </a:spcBef>
            <a:spcAft>
              <a:spcPts val="0"/>
            </a:spcAft>
            <a:buSzPts val="1000"/>
            <a:buChar char="●"/>
          </a:pPr>
          <a:r>
            <a:rPr lang="en-US" sz="1000"/>
            <a:t>All alternatives for Project 1 only vary in base case annual benefit. </a:t>
          </a:r>
          <a:endParaRPr sz="1000"/>
        </a:p>
        <a:p>
          <a:pPr marL="457200" lvl="0" indent="-292100" algn="l" rtl="0">
            <a:spcBef>
              <a:spcPts val="0"/>
            </a:spcBef>
            <a:spcAft>
              <a:spcPts val="0"/>
            </a:spcAft>
            <a:buSzPts val="1000"/>
            <a:buChar char="●"/>
          </a:pPr>
          <a:r>
            <a:rPr lang="en-US" sz="1000"/>
            <a:t>All other variables are the same.</a:t>
          </a:r>
          <a:endParaRPr sz="1000"/>
        </a:p>
        <a:p>
          <a:pPr marL="457200" lvl="0" indent="-292100" algn="l" rtl="0">
            <a:spcBef>
              <a:spcPts val="0"/>
            </a:spcBef>
            <a:spcAft>
              <a:spcPts val="0"/>
            </a:spcAft>
            <a:buSzPts val="1000"/>
            <a:buChar char="●"/>
          </a:pPr>
          <a:r>
            <a:rPr lang="en-US" sz="1000"/>
            <a:t>All alternatives have useful lives of 8, 10, 12 to be considered for comparison. </a:t>
          </a:r>
          <a:endParaRPr sz="1400"/>
        </a:p>
      </xdr:txBody>
    </xdr:sp>
    <xdr:clientData fLocksWithSheet="0"/>
  </xdr:oneCellAnchor>
  <xdr:oneCellAnchor>
    <xdr:from>
      <xdr:col>15</xdr:col>
      <xdr:colOff>434975</xdr:colOff>
      <xdr:row>0</xdr:row>
      <xdr:rowOff>1</xdr:rowOff>
    </xdr:from>
    <xdr:ext cx="4111625" cy="2761303"/>
    <xdr:sp macro="" textlink="">
      <xdr:nvSpPr>
        <xdr:cNvPr id="19" name="Shape 5">
          <a:extLst>
            <a:ext uri="{FF2B5EF4-FFF2-40B4-BE49-F238E27FC236}">
              <a16:creationId xmlns:a16="http://schemas.microsoft.com/office/drawing/2014/main" id="{00000000-0008-0000-0200-000013000000}"/>
            </a:ext>
          </a:extLst>
        </xdr:cNvPr>
        <xdr:cNvSpPr txBox="1"/>
      </xdr:nvSpPr>
      <xdr:spPr>
        <a:xfrm>
          <a:off x="14912975" y="1"/>
          <a:ext cx="4111625" cy="2761303"/>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lnSpc>
              <a:spcPct val="115000"/>
            </a:lnSpc>
            <a:spcBef>
              <a:spcPts val="0"/>
            </a:spcBef>
            <a:spcAft>
              <a:spcPts val="0"/>
            </a:spcAft>
            <a:buNone/>
          </a:pPr>
          <a:r>
            <a:rPr lang="en-US" sz="800" b="1"/>
            <a:t>For Useful life of 10 years:</a:t>
          </a:r>
          <a:endParaRPr sz="800" b="1"/>
        </a:p>
        <a:p>
          <a:pPr marL="0" lvl="0" indent="0" algn="l" rtl="0">
            <a:lnSpc>
              <a:spcPct val="115000"/>
            </a:lnSpc>
            <a:spcBef>
              <a:spcPts val="0"/>
            </a:spcBef>
            <a:spcAft>
              <a:spcPts val="0"/>
            </a:spcAft>
            <a:buNone/>
          </a:pPr>
          <a:r>
            <a:rPr lang="en-US" sz="800"/>
            <a:t>NPV using MARR would favor: Project 1C</a:t>
          </a:r>
          <a:endParaRPr sz="800"/>
        </a:p>
        <a:p>
          <a:pPr marL="0" lvl="0" indent="0" algn="l" rtl="0">
            <a:lnSpc>
              <a:spcPct val="115000"/>
            </a:lnSpc>
            <a:spcBef>
              <a:spcPts val="0"/>
            </a:spcBef>
            <a:spcAft>
              <a:spcPts val="0"/>
            </a:spcAft>
            <a:buNone/>
          </a:pPr>
          <a:r>
            <a:rPr lang="en-US" sz="800"/>
            <a:t>NPV using AR would favor: Project 1C</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IRR comparison of multiple alternatives requires us to look at projects in pairs:</a:t>
          </a:r>
          <a:endParaRPr sz="800"/>
        </a:p>
        <a:p>
          <a:pPr marL="0" lvl="0" indent="0" algn="l" rtl="0">
            <a:lnSpc>
              <a:spcPct val="115000"/>
            </a:lnSpc>
            <a:spcBef>
              <a:spcPts val="0"/>
            </a:spcBef>
            <a:spcAft>
              <a:spcPts val="0"/>
            </a:spcAft>
            <a:buNone/>
          </a:pPr>
          <a:r>
            <a:rPr lang="en-US" sz="800"/>
            <a:t>IRR (1A) &lt; IRR (1B)</a:t>
          </a:r>
          <a:endParaRPr sz="800"/>
        </a:p>
        <a:p>
          <a:pPr marL="0" lvl="0" indent="0" algn="l" rtl="0">
            <a:lnSpc>
              <a:spcPct val="115000"/>
            </a:lnSpc>
            <a:spcBef>
              <a:spcPts val="0"/>
            </a:spcBef>
            <a:spcAft>
              <a:spcPts val="0"/>
            </a:spcAft>
            <a:buNone/>
          </a:pPr>
          <a:r>
            <a:rPr lang="en-US" sz="800"/>
            <a:t>IRR (1B) &lt; IRR (1C)</a:t>
          </a:r>
          <a:endParaRPr sz="800"/>
        </a:p>
        <a:p>
          <a:pPr marL="0" lvl="0" indent="0" algn="l" rtl="0">
            <a:lnSpc>
              <a:spcPct val="115000"/>
            </a:lnSpc>
            <a:spcBef>
              <a:spcPts val="0"/>
            </a:spcBef>
            <a:spcAft>
              <a:spcPts val="0"/>
            </a:spcAft>
            <a:buNone/>
          </a:pPr>
          <a:r>
            <a:rPr lang="en-US" sz="800"/>
            <a:t>IRR (1C) &gt; IRR (1D)</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Thus, 1C would be favored.</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ERR comparison decision rule: If ERR &gt; MARR, the project is economically justified.</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1A, 1B, 1C, 1D are all higher than MARR, therefore economically justified.</a:t>
          </a:r>
          <a:endParaRPr sz="800"/>
        </a:p>
        <a:p>
          <a:pPr marL="0" lvl="0" indent="0" algn="l" rtl="0">
            <a:lnSpc>
              <a:spcPct val="115000"/>
            </a:lnSpc>
            <a:spcBef>
              <a:spcPts val="0"/>
            </a:spcBef>
            <a:spcAft>
              <a:spcPts val="0"/>
            </a:spcAft>
            <a:buNone/>
          </a:pPr>
          <a:r>
            <a:rPr lang="en-US" sz="800"/>
            <a:t>Thus, all projects are more beneficial than doing nothing according to this KPI</a:t>
          </a:r>
          <a:endParaRPr sz="800"/>
        </a:p>
        <a:p>
          <a:pPr marL="0" lvl="0" indent="0" algn="l" rtl="0">
            <a:lnSpc>
              <a:spcPct val="115000"/>
            </a:lnSpc>
            <a:spcBef>
              <a:spcPts val="0"/>
            </a:spcBef>
            <a:spcAft>
              <a:spcPts val="0"/>
            </a:spcAft>
            <a:buNone/>
          </a:pPr>
          <a:r>
            <a:rPr lang="en-US" sz="800"/>
            <a:t>However, 1C has highest ERR using MARR and AR.</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Thus, 1C would be favored.</a:t>
          </a:r>
          <a:endParaRPr sz="800"/>
        </a:p>
      </xdr:txBody>
    </xdr:sp>
    <xdr:clientData fLocksWithSheet="0"/>
  </xdr:oneCellAnchor>
  <xdr:oneCellAnchor>
    <xdr:from>
      <xdr:col>19</xdr:col>
      <xdr:colOff>628650</xdr:colOff>
      <xdr:row>0</xdr:row>
      <xdr:rowOff>12700</xdr:rowOff>
    </xdr:from>
    <xdr:ext cx="4057650" cy="2761303"/>
    <xdr:sp macro="" textlink="">
      <xdr:nvSpPr>
        <xdr:cNvPr id="20" name="Shape 6">
          <a:extLst>
            <a:ext uri="{FF2B5EF4-FFF2-40B4-BE49-F238E27FC236}">
              <a16:creationId xmlns:a16="http://schemas.microsoft.com/office/drawing/2014/main" id="{00000000-0008-0000-0200-000014000000}"/>
            </a:ext>
          </a:extLst>
        </xdr:cNvPr>
        <xdr:cNvSpPr txBox="1"/>
      </xdr:nvSpPr>
      <xdr:spPr>
        <a:xfrm>
          <a:off x="18967450" y="12700"/>
          <a:ext cx="4057650" cy="2761303"/>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lnSpc>
              <a:spcPct val="115000"/>
            </a:lnSpc>
            <a:spcBef>
              <a:spcPts val="0"/>
            </a:spcBef>
            <a:spcAft>
              <a:spcPts val="0"/>
            </a:spcAft>
            <a:buNone/>
          </a:pPr>
          <a:r>
            <a:rPr lang="en-US" sz="800" b="1"/>
            <a:t>For Useful life of 12:</a:t>
          </a:r>
          <a:endParaRPr sz="800" b="1"/>
        </a:p>
        <a:p>
          <a:pPr marL="0" lvl="0" indent="0" algn="l" rtl="0">
            <a:lnSpc>
              <a:spcPct val="115000"/>
            </a:lnSpc>
            <a:spcBef>
              <a:spcPts val="0"/>
            </a:spcBef>
            <a:spcAft>
              <a:spcPts val="0"/>
            </a:spcAft>
            <a:buNone/>
          </a:pPr>
          <a:r>
            <a:rPr lang="en-US" sz="800"/>
            <a:t>NPV using MARR would favor: Project 1C</a:t>
          </a:r>
          <a:endParaRPr sz="800"/>
        </a:p>
        <a:p>
          <a:pPr marL="0" lvl="0" indent="0" algn="l" rtl="0">
            <a:lnSpc>
              <a:spcPct val="115000"/>
            </a:lnSpc>
            <a:spcBef>
              <a:spcPts val="0"/>
            </a:spcBef>
            <a:spcAft>
              <a:spcPts val="0"/>
            </a:spcAft>
            <a:buNone/>
          </a:pPr>
          <a:r>
            <a:rPr lang="en-US" sz="800"/>
            <a:t>NPV using AR would favor: Project 1C</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IRR comparison of multiple alternatives requires us to look at projects in pairs:</a:t>
          </a:r>
          <a:endParaRPr sz="800"/>
        </a:p>
        <a:p>
          <a:pPr marL="0" lvl="0" indent="0" algn="l" rtl="0">
            <a:lnSpc>
              <a:spcPct val="115000"/>
            </a:lnSpc>
            <a:spcBef>
              <a:spcPts val="0"/>
            </a:spcBef>
            <a:spcAft>
              <a:spcPts val="0"/>
            </a:spcAft>
            <a:buNone/>
          </a:pPr>
          <a:r>
            <a:rPr lang="en-US" sz="800"/>
            <a:t>IRR (1A) &lt; IRR (1B)</a:t>
          </a:r>
          <a:endParaRPr sz="800"/>
        </a:p>
        <a:p>
          <a:pPr marL="0" lvl="0" indent="0" algn="l" rtl="0">
            <a:lnSpc>
              <a:spcPct val="115000"/>
            </a:lnSpc>
            <a:spcBef>
              <a:spcPts val="0"/>
            </a:spcBef>
            <a:spcAft>
              <a:spcPts val="0"/>
            </a:spcAft>
            <a:buNone/>
          </a:pPr>
          <a:r>
            <a:rPr lang="en-US" sz="800"/>
            <a:t>IRR (1B) &lt; IRR (1C)</a:t>
          </a:r>
          <a:endParaRPr sz="800"/>
        </a:p>
        <a:p>
          <a:pPr marL="0" lvl="0" indent="0" algn="l" rtl="0">
            <a:lnSpc>
              <a:spcPct val="115000"/>
            </a:lnSpc>
            <a:spcBef>
              <a:spcPts val="0"/>
            </a:spcBef>
            <a:spcAft>
              <a:spcPts val="0"/>
            </a:spcAft>
            <a:buNone/>
          </a:pPr>
          <a:r>
            <a:rPr lang="en-US" sz="800"/>
            <a:t>IRR (1C) &gt; IRR (1D)</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Thus, 1C would be favored.</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ERR comparison decision rule: If ERR &gt; MARR, the project is economically justified.</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1A, 1B, 1C, 1D are all higher than MARR, therefore economically justified.</a:t>
          </a:r>
          <a:endParaRPr sz="800"/>
        </a:p>
        <a:p>
          <a:pPr marL="0" lvl="0" indent="0" algn="l" rtl="0">
            <a:lnSpc>
              <a:spcPct val="115000"/>
            </a:lnSpc>
            <a:spcBef>
              <a:spcPts val="0"/>
            </a:spcBef>
            <a:spcAft>
              <a:spcPts val="0"/>
            </a:spcAft>
            <a:buNone/>
          </a:pPr>
          <a:r>
            <a:rPr lang="en-US" sz="800"/>
            <a:t>Thus, all projects are more beneficial than doing nothing according to this KPI</a:t>
          </a:r>
          <a:endParaRPr sz="800"/>
        </a:p>
        <a:p>
          <a:pPr marL="0" lvl="0" indent="0" algn="l" rtl="0">
            <a:lnSpc>
              <a:spcPct val="115000"/>
            </a:lnSpc>
            <a:spcBef>
              <a:spcPts val="0"/>
            </a:spcBef>
            <a:spcAft>
              <a:spcPts val="0"/>
            </a:spcAft>
            <a:buNone/>
          </a:pPr>
          <a:r>
            <a:rPr lang="en-US" sz="800"/>
            <a:t>However, 1C has highest ERR using MARR and AR.</a:t>
          </a:r>
          <a:endParaRPr sz="800"/>
        </a:p>
        <a:p>
          <a:pPr marL="0" lvl="0" indent="0" algn="l" rtl="0">
            <a:lnSpc>
              <a:spcPct val="115000"/>
            </a:lnSpc>
            <a:spcBef>
              <a:spcPts val="0"/>
            </a:spcBef>
            <a:spcAft>
              <a:spcPts val="0"/>
            </a:spcAft>
            <a:buNone/>
          </a:pPr>
          <a:r>
            <a:rPr lang="en-US" sz="800"/>
            <a:t> </a:t>
          </a:r>
          <a:endParaRPr sz="800"/>
        </a:p>
        <a:p>
          <a:pPr marL="0" lvl="0" indent="0" algn="l" rtl="0">
            <a:lnSpc>
              <a:spcPct val="115000"/>
            </a:lnSpc>
            <a:spcBef>
              <a:spcPts val="0"/>
            </a:spcBef>
            <a:spcAft>
              <a:spcPts val="0"/>
            </a:spcAft>
            <a:buNone/>
          </a:pPr>
          <a:r>
            <a:rPr lang="en-US" sz="800"/>
            <a:t>Thus, 1C would be favored.</a:t>
          </a:r>
          <a:endParaRPr sz="800"/>
        </a:p>
      </xdr:txBody>
    </xdr:sp>
    <xdr:clientData fLocksWithSheet="0"/>
  </xdr:oneCellAnchor>
  <xdr:oneCellAnchor>
    <xdr:from>
      <xdr:col>7</xdr:col>
      <xdr:colOff>904875</xdr:colOff>
      <xdr:row>0</xdr:row>
      <xdr:rowOff>9525</xdr:rowOff>
    </xdr:from>
    <xdr:ext cx="5734050" cy="361950"/>
    <xdr:sp macro="" textlink="">
      <xdr:nvSpPr>
        <xdr:cNvPr id="21" name="Shape 7">
          <a:extLst>
            <a:ext uri="{FF2B5EF4-FFF2-40B4-BE49-F238E27FC236}">
              <a16:creationId xmlns:a16="http://schemas.microsoft.com/office/drawing/2014/main" id="{00000000-0008-0000-0200-000015000000}"/>
            </a:ext>
          </a:extLst>
        </xdr:cNvPr>
        <xdr:cNvSpPr txBox="1"/>
      </xdr:nvSpPr>
      <xdr:spPr>
        <a:xfrm>
          <a:off x="7661275" y="9525"/>
          <a:ext cx="5734050" cy="36195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b="1">
              <a:highlight>
                <a:srgbClr val="FFFFFF"/>
              </a:highlight>
              <a:latin typeface="Roboto"/>
              <a:ea typeface="Roboto"/>
              <a:cs typeface="Roboto"/>
              <a:sym typeface="Roboto"/>
            </a:rPr>
            <a:t>Analysis of all KPI's for all three useful lives (8,10,12):</a:t>
          </a:r>
          <a:endParaRPr sz="1400" b="1"/>
        </a:p>
      </xdr:txBody>
    </xdr:sp>
    <xdr:clientData fLocksWithSheet="0"/>
  </xdr:oneCellAnchor>
  <xdr:oneCellAnchor>
    <xdr:from>
      <xdr:col>5</xdr:col>
      <xdr:colOff>41275</xdr:colOff>
      <xdr:row>7</xdr:row>
      <xdr:rowOff>12700</xdr:rowOff>
    </xdr:from>
    <xdr:ext cx="2663825" cy="1481722"/>
    <xdr:sp macro="" textlink="">
      <xdr:nvSpPr>
        <xdr:cNvPr id="22" name="Shape 8">
          <a:extLst>
            <a:ext uri="{FF2B5EF4-FFF2-40B4-BE49-F238E27FC236}">
              <a16:creationId xmlns:a16="http://schemas.microsoft.com/office/drawing/2014/main" id="{00000000-0008-0000-0200-000016000000}"/>
            </a:ext>
          </a:extLst>
        </xdr:cNvPr>
        <xdr:cNvSpPr txBox="1"/>
      </xdr:nvSpPr>
      <xdr:spPr>
        <a:xfrm>
          <a:off x="4867275" y="1346200"/>
          <a:ext cx="2663825" cy="1481722"/>
        </a:xfrm>
        <a:prstGeom prst="rect">
          <a:avLst/>
        </a:prstGeom>
        <a:solidFill>
          <a:srgbClr val="FFFFFF"/>
        </a:solidFill>
        <a:ln w="19050" cap="flat" cmpd="sng">
          <a:solidFill>
            <a:srgbClr val="C9DAF8"/>
          </a:solidFill>
          <a:prstDash val="solid"/>
          <a:round/>
          <a:headEnd type="none" w="sm" len="sm"/>
          <a:tailEnd type="none" w="sm" len="sm"/>
        </a:ln>
      </xdr:spPr>
      <xdr:txBody>
        <a:bodyPr spcFirstLastPara="1" wrap="square" lIns="91425" tIns="91425" rIns="91425" bIns="91425" anchor="t" anchorCtr="0">
          <a:spAutoFit/>
        </a:bodyPr>
        <a:lstStyle/>
        <a:p>
          <a:pPr marL="0" lvl="0" indent="0" algn="l" rtl="0">
            <a:spcBef>
              <a:spcPts val="0"/>
            </a:spcBef>
            <a:spcAft>
              <a:spcPts val="0"/>
            </a:spcAft>
            <a:buNone/>
          </a:pPr>
          <a:r>
            <a:rPr lang="en-US" sz="800"/>
            <a:t>Conclusion:</a:t>
          </a:r>
          <a:endParaRPr sz="800"/>
        </a:p>
        <a:p>
          <a:pPr marL="0" lvl="0" indent="0" algn="l" rtl="0">
            <a:spcBef>
              <a:spcPts val="0"/>
            </a:spcBef>
            <a:spcAft>
              <a:spcPts val="0"/>
            </a:spcAft>
            <a:buNone/>
          </a:pPr>
          <a:r>
            <a:rPr lang="en-US" sz="800" b="1">
              <a:highlight>
                <a:srgbClr val="FFF2CC"/>
              </a:highlight>
            </a:rPr>
            <a:t>1C would be the best alternative for Project 1 based on ALL KPI’s.</a:t>
          </a:r>
          <a:endParaRPr sz="800" b="1">
            <a:highlight>
              <a:srgbClr val="FFF2CC"/>
            </a:highlight>
          </a:endParaRPr>
        </a:p>
        <a:p>
          <a:pPr marL="0" lvl="0" indent="0" algn="l" rtl="0">
            <a:spcBef>
              <a:spcPts val="0"/>
            </a:spcBef>
            <a:spcAft>
              <a:spcPts val="0"/>
            </a:spcAft>
            <a:buNone/>
          </a:pPr>
          <a:endParaRPr sz="800"/>
        </a:p>
        <a:p>
          <a:pPr marL="0" lvl="0" indent="0" algn="l" rtl="0">
            <a:spcBef>
              <a:spcPts val="0"/>
            </a:spcBef>
            <a:spcAft>
              <a:spcPts val="0"/>
            </a:spcAft>
            <a:buNone/>
          </a:pPr>
          <a:r>
            <a:rPr lang="en-US" sz="800"/>
            <a:t>On the basis of our ERR, all alternatives are better than doing nothing since they all show an ERR&gt;MARR.</a:t>
          </a:r>
          <a:endParaRPr sz="800"/>
        </a:p>
        <a:p>
          <a:pPr marL="0" lvl="0" indent="0" algn="l" rtl="0">
            <a:spcBef>
              <a:spcPts val="0"/>
            </a:spcBef>
            <a:spcAft>
              <a:spcPts val="0"/>
            </a:spcAft>
            <a:buNone/>
          </a:pPr>
          <a:endParaRPr sz="800"/>
        </a:p>
        <a:p>
          <a:pPr marL="0" lvl="0" indent="0" algn="l" rtl="0">
            <a:spcBef>
              <a:spcPts val="0"/>
            </a:spcBef>
            <a:spcAft>
              <a:spcPts val="0"/>
            </a:spcAft>
            <a:buNone/>
          </a:pPr>
          <a:r>
            <a:rPr lang="en-US" sz="800"/>
            <a:t>1D was shown to be a justified option based on NPV using Average Return, this could be a close second favored alternative. </a:t>
          </a:r>
          <a:endParaRPr sz="8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22</xdr:row>
      <xdr:rowOff>133350</xdr:rowOff>
    </xdr:from>
    <xdr:ext cx="5715000" cy="3533775"/>
    <xdr:graphicFrame macro="">
      <xdr:nvGraphicFramePr>
        <xdr:cNvPr id="17" name="Chart 17" title="Chart">
          <a:extLst>
            <a:ext uri="{FF2B5EF4-FFF2-40B4-BE49-F238E27FC236}">
              <a16:creationId xmlns:a16="http://schemas.microsoft.com/office/drawing/2014/main" id="{00000000-0008-0000-03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152400</xdr:colOff>
      <xdr:row>39</xdr:row>
      <xdr:rowOff>142875</xdr:rowOff>
    </xdr:from>
    <xdr:ext cx="5715000" cy="3533775"/>
    <xdr:graphicFrame macro="">
      <xdr:nvGraphicFramePr>
        <xdr:cNvPr id="18" name="Chart 18" title="Chart">
          <a:extLst>
            <a:ext uri="{FF2B5EF4-FFF2-40B4-BE49-F238E27FC236}">
              <a16:creationId xmlns:a16="http://schemas.microsoft.com/office/drawing/2014/main" id="{00000000-0008-0000-03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36</xdr:col>
      <xdr:colOff>266700</xdr:colOff>
      <xdr:row>29</xdr:row>
      <xdr:rowOff>95250</xdr:rowOff>
    </xdr:from>
    <xdr:ext cx="5715000" cy="3533775"/>
    <xdr:graphicFrame macro="">
      <xdr:nvGraphicFramePr>
        <xdr:cNvPr id="19" name="Chart 19" title="Chart">
          <a:extLst>
            <a:ext uri="{FF2B5EF4-FFF2-40B4-BE49-F238E27FC236}">
              <a16:creationId xmlns:a16="http://schemas.microsoft.com/office/drawing/2014/main" id="{00000000-0008-0000-03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42</xdr:col>
      <xdr:colOff>285750</xdr:colOff>
      <xdr:row>29</xdr:row>
      <xdr:rowOff>95250</xdr:rowOff>
    </xdr:from>
    <xdr:ext cx="5715000" cy="3533775"/>
    <xdr:graphicFrame macro="">
      <xdr:nvGraphicFramePr>
        <xdr:cNvPr id="20" name="Chart 20" title="Chart">
          <a:extLst>
            <a:ext uri="{FF2B5EF4-FFF2-40B4-BE49-F238E27FC236}">
              <a16:creationId xmlns:a16="http://schemas.microsoft.com/office/drawing/2014/main" id="{00000000-0008-0000-03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36</xdr:col>
      <xdr:colOff>266700</xdr:colOff>
      <xdr:row>46</xdr:row>
      <xdr:rowOff>95250</xdr:rowOff>
    </xdr:from>
    <xdr:ext cx="5715000" cy="3533775"/>
    <xdr:graphicFrame macro="">
      <xdr:nvGraphicFramePr>
        <xdr:cNvPr id="21" name="Chart 21" title="Chart">
          <a:extLst>
            <a:ext uri="{FF2B5EF4-FFF2-40B4-BE49-F238E27FC236}">
              <a16:creationId xmlns:a16="http://schemas.microsoft.com/office/drawing/2014/main" id="{00000000-0008-0000-03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42</xdr:col>
      <xdr:colOff>285750</xdr:colOff>
      <xdr:row>46</xdr:row>
      <xdr:rowOff>95250</xdr:rowOff>
    </xdr:from>
    <xdr:ext cx="5715000" cy="3533775"/>
    <xdr:graphicFrame macro="">
      <xdr:nvGraphicFramePr>
        <xdr:cNvPr id="22" name="Chart 22" title="Chart">
          <a:extLst>
            <a:ext uri="{FF2B5EF4-FFF2-40B4-BE49-F238E27FC236}">
              <a16:creationId xmlns:a16="http://schemas.microsoft.com/office/drawing/2014/main" id="{00000000-0008-0000-03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514350</xdr:colOff>
      <xdr:row>131</xdr:row>
      <xdr:rowOff>142875</xdr:rowOff>
    </xdr:from>
    <xdr:ext cx="5934075" cy="3676650"/>
    <xdr:graphicFrame macro="">
      <xdr:nvGraphicFramePr>
        <xdr:cNvPr id="23" name="Chart 23" title="Chart">
          <a:extLst>
            <a:ext uri="{FF2B5EF4-FFF2-40B4-BE49-F238E27FC236}">
              <a16:creationId xmlns:a16="http://schemas.microsoft.com/office/drawing/2014/main" id="{00000000-0008-0000-04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xdr:col>
      <xdr:colOff>1962150</xdr:colOff>
      <xdr:row>131</xdr:row>
      <xdr:rowOff>142875</xdr:rowOff>
    </xdr:from>
    <xdr:ext cx="5943600" cy="3676650"/>
    <xdr:graphicFrame macro="">
      <xdr:nvGraphicFramePr>
        <xdr:cNvPr id="24" name="Chart 24" title="Chart">
          <a:extLst>
            <a:ext uri="{FF2B5EF4-FFF2-40B4-BE49-F238E27FC236}">
              <a16:creationId xmlns:a16="http://schemas.microsoft.com/office/drawing/2014/main" id="{00000000-0008-0000-04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13</xdr:col>
      <xdr:colOff>1238250</xdr:colOff>
      <xdr:row>131</xdr:row>
      <xdr:rowOff>142875</xdr:rowOff>
    </xdr:from>
    <xdr:ext cx="5943600" cy="3676650"/>
    <xdr:graphicFrame macro="">
      <xdr:nvGraphicFramePr>
        <xdr:cNvPr id="25" name="Chart 25" title="Chart">
          <a:extLst>
            <a:ext uri="{FF2B5EF4-FFF2-40B4-BE49-F238E27FC236}">
              <a16:creationId xmlns:a16="http://schemas.microsoft.com/office/drawing/2014/main" id="{00000000-0008-0000-04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3</xdr:col>
      <xdr:colOff>409575</xdr:colOff>
      <xdr:row>151</xdr:row>
      <xdr:rowOff>200025</xdr:rowOff>
    </xdr:from>
    <xdr:ext cx="5943600" cy="3676650"/>
    <xdr:graphicFrame macro="">
      <xdr:nvGraphicFramePr>
        <xdr:cNvPr id="26" name="Chart 26" title="Chart">
          <a:extLst>
            <a:ext uri="{FF2B5EF4-FFF2-40B4-BE49-F238E27FC236}">
              <a16:creationId xmlns:a16="http://schemas.microsoft.com/office/drawing/2014/main" id="{00000000-0008-0000-04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11</xdr:col>
      <xdr:colOff>447675</xdr:colOff>
      <xdr:row>151</xdr:row>
      <xdr:rowOff>200025</xdr:rowOff>
    </xdr:from>
    <xdr:ext cx="5943600" cy="3676650"/>
    <xdr:graphicFrame macro="">
      <xdr:nvGraphicFramePr>
        <xdr:cNvPr id="27" name="Chart 27" title="Chart">
          <a:extLst>
            <a:ext uri="{FF2B5EF4-FFF2-40B4-BE49-F238E27FC236}">
              <a16:creationId xmlns:a16="http://schemas.microsoft.com/office/drawing/2014/main" id="{00000000-0008-0000-04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0</xdr:col>
      <xdr:colOff>752475</xdr:colOff>
      <xdr:row>175</xdr:row>
      <xdr:rowOff>171450</xdr:rowOff>
    </xdr:from>
    <xdr:ext cx="5943600" cy="3886200"/>
    <xdr:graphicFrame macro="">
      <xdr:nvGraphicFramePr>
        <xdr:cNvPr id="28" name="Chart 28" title="Chart">
          <a:extLst>
            <a:ext uri="{FF2B5EF4-FFF2-40B4-BE49-F238E27FC236}">
              <a16:creationId xmlns:a16="http://schemas.microsoft.com/office/drawing/2014/main" id="{00000000-0008-0000-04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6</xdr:col>
      <xdr:colOff>2124075</xdr:colOff>
      <xdr:row>175</xdr:row>
      <xdr:rowOff>161925</xdr:rowOff>
    </xdr:from>
    <xdr:ext cx="5943600" cy="3886200"/>
    <xdr:graphicFrame macro="">
      <xdr:nvGraphicFramePr>
        <xdr:cNvPr id="29" name="Chart 29" title="Chart">
          <a:extLst>
            <a:ext uri="{FF2B5EF4-FFF2-40B4-BE49-F238E27FC236}">
              <a16:creationId xmlns:a16="http://schemas.microsoft.com/office/drawing/2014/main" id="{00000000-0008-0000-04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13</xdr:col>
      <xdr:colOff>1304925</xdr:colOff>
      <xdr:row>175</xdr:row>
      <xdr:rowOff>171450</xdr:rowOff>
    </xdr:from>
    <xdr:ext cx="5943600" cy="3886200"/>
    <xdr:graphicFrame macro="">
      <xdr:nvGraphicFramePr>
        <xdr:cNvPr id="30" name="Chart 30" title="Chart">
          <a:extLst>
            <a:ext uri="{FF2B5EF4-FFF2-40B4-BE49-F238E27FC236}">
              <a16:creationId xmlns:a16="http://schemas.microsoft.com/office/drawing/2014/main" id="{00000000-0008-0000-04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3</xdr:col>
      <xdr:colOff>733425</xdr:colOff>
      <xdr:row>198</xdr:row>
      <xdr:rowOff>104775</xdr:rowOff>
    </xdr:from>
    <xdr:ext cx="5943600" cy="3886200"/>
    <xdr:graphicFrame macro="">
      <xdr:nvGraphicFramePr>
        <xdr:cNvPr id="31" name="Chart 31" title="Chart">
          <a:extLst>
            <a:ext uri="{FF2B5EF4-FFF2-40B4-BE49-F238E27FC236}">
              <a16:creationId xmlns:a16="http://schemas.microsoft.com/office/drawing/2014/main" id="{00000000-0008-0000-04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11</xdr:col>
      <xdr:colOff>47625</xdr:colOff>
      <xdr:row>198</xdr:row>
      <xdr:rowOff>104775</xdr:rowOff>
    </xdr:from>
    <xdr:ext cx="5943600" cy="3886200"/>
    <xdr:graphicFrame macro="">
      <xdr:nvGraphicFramePr>
        <xdr:cNvPr id="32" name="Chart 32" title="Chart">
          <a:extLst>
            <a:ext uri="{FF2B5EF4-FFF2-40B4-BE49-F238E27FC236}">
              <a16:creationId xmlns:a16="http://schemas.microsoft.com/office/drawing/2014/main" id="{00000000-0008-0000-0400-00002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0</xdr:col>
      <xdr:colOff>752475</xdr:colOff>
      <xdr:row>223</xdr:row>
      <xdr:rowOff>171450</xdr:rowOff>
    </xdr:from>
    <xdr:ext cx="6562725" cy="3886200"/>
    <xdr:graphicFrame macro="">
      <xdr:nvGraphicFramePr>
        <xdr:cNvPr id="33" name="Chart 33" title="Chart">
          <a:extLst>
            <a:ext uri="{FF2B5EF4-FFF2-40B4-BE49-F238E27FC236}">
              <a16:creationId xmlns:a16="http://schemas.microsoft.com/office/drawing/2014/main" id="{00000000-0008-0000-04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7</xdr:col>
      <xdr:colOff>38100</xdr:colOff>
      <xdr:row>223</xdr:row>
      <xdr:rowOff>171450</xdr:rowOff>
    </xdr:from>
    <xdr:ext cx="6562725" cy="3886200"/>
    <xdr:graphicFrame macro="">
      <xdr:nvGraphicFramePr>
        <xdr:cNvPr id="34" name="Chart 34" title="Chart">
          <a:extLst>
            <a:ext uri="{FF2B5EF4-FFF2-40B4-BE49-F238E27FC236}">
              <a16:creationId xmlns:a16="http://schemas.microsoft.com/office/drawing/2014/main" id="{00000000-0008-0000-0400-00002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14</xdr:col>
      <xdr:colOff>485775</xdr:colOff>
      <xdr:row>223</xdr:row>
      <xdr:rowOff>171450</xdr:rowOff>
    </xdr:from>
    <xdr:ext cx="6562725" cy="3886200"/>
    <xdr:graphicFrame macro="">
      <xdr:nvGraphicFramePr>
        <xdr:cNvPr id="35" name="Chart 35" title="Chart">
          <a:extLst>
            <a:ext uri="{FF2B5EF4-FFF2-40B4-BE49-F238E27FC236}">
              <a16:creationId xmlns:a16="http://schemas.microsoft.com/office/drawing/2014/main" id="{00000000-0008-0000-0400-00002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oneCellAnchor>
    <xdr:from>
      <xdr:col>3</xdr:col>
      <xdr:colOff>428625</xdr:colOff>
      <xdr:row>244</xdr:row>
      <xdr:rowOff>142875</xdr:rowOff>
    </xdr:from>
    <xdr:ext cx="6562725" cy="3886200"/>
    <xdr:graphicFrame macro="">
      <xdr:nvGraphicFramePr>
        <xdr:cNvPr id="36" name="Chart 36" title="Chart">
          <a:extLst>
            <a:ext uri="{FF2B5EF4-FFF2-40B4-BE49-F238E27FC236}">
              <a16:creationId xmlns:a16="http://schemas.microsoft.com/office/drawing/2014/main" id="{00000000-0008-0000-0400-00002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fLocksWithSheet="0"/>
  </xdr:oneCellAnchor>
  <xdr:oneCellAnchor>
    <xdr:from>
      <xdr:col>11</xdr:col>
      <xdr:colOff>457200</xdr:colOff>
      <xdr:row>244</xdr:row>
      <xdr:rowOff>133350</xdr:rowOff>
    </xdr:from>
    <xdr:ext cx="6562725" cy="3886200"/>
    <xdr:graphicFrame macro="">
      <xdr:nvGraphicFramePr>
        <xdr:cNvPr id="37" name="Chart 37" title="Chart">
          <a:extLst>
            <a:ext uri="{FF2B5EF4-FFF2-40B4-BE49-F238E27FC236}">
              <a16:creationId xmlns:a16="http://schemas.microsoft.com/office/drawing/2014/main" id="{00000000-0008-0000-0400-00002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762000</xdr:colOff>
      <xdr:row>105</xdr:row>
      <xdr:rowOff>123825</xdr:rowOff>
    </xdr:from>
    <xdr:ext cx="5715000" cy="3533775"/>
    <xdr:graphicFrame macro="">
      <xdr:nvGraphicFramePr>
        <xdr:cNvPr id="38" name="Chart 38" title="Chart">
          <a:extLst>
            <a:ext uri="{FF2B5EF4-FFF2-40B4-BE49-F238E27FC236}">
              <a16:creationId xmlns:a16="http://schemas.microsoft.com/office/drawing/2014/main" id="{00000000-0008-0000-0500-00002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5</xdr:col>
      <xdr:colOff>238125</xdr:colOff>
      <xdr:row>105</xdr:row>
      <xdr:rowOff>190500</xdr:rowOff>
    </xdr:from>
    <xdr:ext cx="5715000" cy="3533775"/>
    <xdr:graphicFrame macro="">
      <xdr:nvGraphicFramePr>
        <xdr:cNvPr id="39" name="Chart 39" title="Chart">
          <a:extLst>
            <a:ext uri="{FF2B5EF4-FFF2-40B4-BE49-F238E27FC236}">
              <a16:creationId xmlns:a16="http://schemas.microsoft.com/office/drawing/2014/main" id="{00000000-0008-0000-0500-00002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11</xdr:col>
      <xdr:colOff>228600</xdr:colOff>
      <xdr:row>106</xdr:row>
      <xdr:rowOff>47625</xdr:rowOff>
    </xdr:from>
    <xdr:ext cx="5715000" cy="3533775"/>
    <xdr:graphicFrame macro="">
      <xdr:nvGraphicFramePr>
        <xdr:cNvPr id="40" name="Chart 40" title="Chart">
          <a:extLst>
            <a:ext uri="{FF2B5EF4-FFF2-40B4-BE49-F238E27FC236}">
              <a16:creationId xmlns:a16="http://schemas.microsoft.com/office/drawing/2014/main" id="{00000000-0008-0000-0500-00002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17</xdr:col>
      <xdr:colOff>0</xdr:colOff>
      <xdr:row>106</xdr:row>
      <xdr:rowOff>95250</xdr:rowOff>
    </xdr:from>
    <xdr:ext cx="5715000" cy="3533775"/>
    <xdr:graphicFrame macro="">
      <xdr:nvGraphicFramePr>
        <xdr:cNvPr id="41" name="Chart 41" title="Chart">
          <a:extLst>
            <a:ext uri="{FF2B5EF4-FFF2-40B4-BE49-F238E27FC236}">
              <a16:creationId xmlns:a16="http://schemas.microsoft.com/office/drawing/2014/main" id="{00000000-0008-0000-0500-00002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0</xdr:col>
      <xdr:colOff>1209675</xdr:colOff>
      <xdr:row>132</xdr:row>
      <xdr:rowOff>161925</xdr:rowOff>
    </xdr:from>
    <xdr:ext cx="5715000" cy="3533775"/>
    <xdr:graphicFrame macro="">
      <xdr:nvGraphicFramePr>
        <xdr:cNvPr id="42" name="Chart 42" title="Chart">
          <a:extLst>
            <a:ext uri="{FF2B5EF4-FFF2-40B4-BE49-F238E27FC236}">
              <a16:creationId xmlns:a16="http://schemas.microsoft.com/office/drawing/2014/main" id="{00000000-0008-0000-0500-00002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0</xdr:col>
      <xdr:colOff>1133475</xdr:colOff>
      <xdr:row>158</xdr:row>
      <xdr:rowOff>19050</xdr:rowOff>
    </xdr:from>
    <xdr:ext cx="5715000" cy="3533775"/>
    <xdr:graphicFrame macro="">
      <xdr:nvGraphicFramePr>
        <xdr:cNvPr id="43" name="Chart 43" title="Chart">
          <a:extLst>
            <a:ext uri="{FF2B5EF4-FFF2-40B4-BE49-F238E27FC236}">
              <a16:creationId xmlns:a16="http://schemas.microsoft.com/office/drawing/2014/main" id="{00000000-0008-0000-0500-00002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0</xdr:col>
      <xdr:colOff>1133475</xdr:colOff>
      <xdr:row>182</xdr:row>
      <xdr:rowOff>104775</xdr:rowOff>
    </xdr:from>
    <xdr:ext cx="5715000" cy="3533775"/>
    <xdr:graphicFrame macro="">
      <xdr:nvGraphicFramePr>
        <xdr:cNvPr id="44" name="Chart 44" title="Chart">
          <a:extLst>
            <a:ext uri="{FF2B5EF4-FFF2-40B4-BE49-F238E27FC236}">
              <a16:creationId xmlns:a16="http://schemas.microsoft.com/office/drawing/2014/main" id="{00000000-0008-0000-0500-00002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xdr:col>
      <xdr:colOff>428625</xdr:colOff>
      <xdr:row>206</xdr:row>
      <xdr:rowOff>28575</xdr:rowOff>
    </xdr:from>
    <xdr:ext cx="5715000" cy="3533775"/>
    <xdr:graphicFrame macro="">
      <xdr:nvGraphicFramePr>
        <xdr:cNvPr id="45" name="Chart 45" title="Chart">
          <a:extLst>
            <a:ext uri="{FF2B5EF4-FFF2-40B4-BE49-F238E27FC236}">
              <a16:creationId xmlns:a16="http://schemas.microsoft.com/office/drawing/2014/main" id="{00000000-0008-0000-0500-00002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4"/>
  <sheetViews>
    <sheetView tabSelected="1" workbookViewId="0">
      <selection activeCell="A3" sqref="A3"/>
    </sheetView>
  </sheetViews>
  <sheetFormatPr defaultColWidth="12.6328125" defaultRowHeight="15.75" customHeight="1" x14ac:dyDescent="0.25"/>
  <cols>
    <col min="1" max="6" width="18.1796875" customWidth="1"/>
    <col min="7" max="7" width="8" customWidth="1"/>
    <col min="8" max="8" width="11.6328125" customWidth="1"/>
    <col min="9" max="14" width="8.36328125" customWidth="1"/>
    <col min="15" max="17" width="3.6328125" customWidth="1"/>
    <col min="18" max="19" width="3.453125" customWidth="1"/>
    <col min="20" max="20" width="8.1796875" customWidth="1"/>
  </cols>
  <sheetData>
    <row r="1" spans="1:32" ht="15.75" customHeight="1"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15.75" customHeight="1" x14ac:dyDescent="0.25">
      <c r="A2" s="2" t="s">
        <v>208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15.75" customHeight="1" x14ac:dyDescent="0.25">
      <c r="A3" s="3"/>
      <c r="B3" s="3"/>
      <c r="C3" s="3"/>
      <c r="D3" s="3"/>
      <c r="E3" s="3"/>
      <c r="F3" s="3"/>
      <c r="G3" s="3"/>
      <c r="H3" s="4"/>
      <c r="I3" s="4"/>
      <c r="J3" s="4"/>
      <c r="K3" s="4"/>
      <c r="L3" s="4"/>
      <c r="M3" s="4"/>
      <c r="N3" s="4"/>
      <c r="O3" s="4"/>
      <c r="P3" s="4"/>
      <c r="Q3" s="4"/>
      <c r="R3" s="4"/>
      <c r="S3" s="4"/>
      <c r="T3" s="4"/>
      <c r="U3" s="4"/>
      <c r="V3" s="4"/>
      <c r="W3" s="4"/>
      <c r="X3" s="4"/>
      <c r="Y3" s="4"/>
      <c r="Z3" s="4"/>
      <c r="AA3" s="4"/>
      <c r="AB3" s="4"/>
      <c r="AC3" s="4"/>
      <c r="AD3" s="4"/>
      <c r="AE3" s="4"/>
      <c r="AF3" s="4"/>
    </row>
    <row r="4" spans="1:32" ht="15.75" customHeight="1" x14ac:dyDescent="0.25">
      <c r="A4" s="471" t="s">
        <v>1</v>
      </c>
      <c r="B4" s="466"/>
      <c r="C4" s="466"/>
      <c r="D4" s="466"/>
      <c r="E4" s="466"/>
      <c r="F4" s="466"/>
      <c r="G4" s="3"/>
      <c r="H4" s="5" t="s">
        <v>2</v>
      </c>
      <c r="I4" s="6" t="s">
        <v>3</v>
      </c>
      <c r="J4" s="7"/>
      <c r="K4" s="7"/>
      <c r="L4" s="7"/>
      <c r="M4" s="7"/>
      <c r="N4" s="7"/>
      <c r="O4" s="7"/>
      <c r="P4" s="7"/>
      <c r="Q4" s="7"/>
      <c r="R4" s="7"/>
      <c r="S4" s="7"/>
      <c r="T4" s="8"/>
      <c r="U4" s="4"/>
      <c r="V4" s="4"/>
      <c r="W4" s="4"/>
      <c r="X4" s="4"/>
      <c r="Y4" s="4"/>
      <c r="Z4" s="4"/>
      <c r="AA4" s="4"/>
      <c r="AB4" s="4"/>
      <c r="AC4" s="4"/>
      <c r="AD4" s="4"/>
      <c r="AE4" s="4"/>
      <c r="AF4" s="4"/>
    </row>
    <row r="5" spans="1:32" ht="15.75" customHeight="1" x14ac:dyDescent="0.25">
      <c r="A5" s="466"/>
      <c r="B5" s="466"/>
      <c r="C5" s="466"/>
      <c r="D5" s="466"/>
      <c r="E5" s="466"/>
      <c r="F5" s="466"/>
      <c r="G5" s="3"/>
      <c r="H5" s="475" t="s">
        <v>4</v>
      </c>
      <c r="I5" s="477" t="s">
        <v>5</v>
      </c>
      <c r="J5" s="461"/>
      <c r="K5" s="478"/>
      <c r="L5" s="477" t="s">
        <v>6</v>
      </c>
      <c r="M5" s="461"/>
      <c r="N5" s="478"/>
      <c r="O5" s="460" t="s">
        <v>7</v>
      </c>
      <c r="P5" s="461"/>
      <c r="Q5" s="478"/>
      <c r="R5" s="460" t="s">
        <v>8</v>
      </c>
      <c r="S5" s="461"/>
      <c r="T5" s="462"/>
      <c r="U5" s="4"/>
      <c r="V5" s="4"/>
      <c r="W5" s="4"/>
      <c r="X5" s="4"/>
      <c r="Y5" s="4"/>
      <c r="Z5" s="4"/>
      <c r="AA5" s="4"/>
      <c r="AB5" s="4"/>
      <c r="AC5" s="4"/>
      <c r="AD5" s="4"/>
      <c r="AE5" s="4"/>
      <c r="AF5" s="4"/>
    </row>
    <row r="6" spans="1:32" ht="15.75" customHeight="1" x14ac:dyDescent="0.25">
      <c r="A6" s="466"/>
      <c r="B6" s="466"/>
      <c r="C6" s="466"/>
      <c r="D6" s="466"/>
      <c r="E6" s="466"/>
      <c r="F6" s="466"/>
      <c r="G6" s="3"/>
      <c r="H6" s="476"/>
      <c r="I6" s="463"/>
      <c r="J6" s="463"/>
      <c r="K6" s="479"/>
      <c r="L6" s="463"/>
      <c r="M6" s="463"/>
      <c r="N6" s="479"/>
      <c r="O6" s="463"/>
      <c r="P6" s="463"/>
      <c r="Q6" s="479"/>
      <c r="R6" s="463"/>
      <c r="S6" s="463"/>
      <c r="T6" s="464"/>
      <c r="U6" s="4"/>
      <c r="V6" s="4"/>
      <c r="W6" s="4"/>
      <c r="X6" s="4"/>
      <c r="Y6" s="4"/>
      <c r="Z6" s="4"/>
      <c r="AA6" s="4"/>
      <c r="AB6" s="4"/>
      <c r="AC6" s="4"/>
      <c r="AD6" s="4"/>
      <c r="AE6" s="4"/>
      <c r="AF6" s="4"/>
    </row>
    <row r="7" spans="1:32" ht="15.75" customHeight="1" x14ac:dyDescent="0.25">
      <c r="A7" s="466"/>
      <c r="B7" s="466"/>
      <c r="C7" s="466"/>
      <c r="D7" s="466"/>
      <c r="E7" s="466"/>
      <c r="F7" s="466"/>
      <c r="G7" s="3"/>
      <c r="H7" s="9" t="s">
        <v>9</v>
      </c>
      <c r="I7" s="10"/>
      <c r="J7" s="10">
        <v>20000</v>
      </c>
      <c r="K7" s="11"/>
      <c r="L7" s="12"/>
      <c r="M7" s="10">
        <v>4900</v>
      </c>
      <c r="N7" s="11"/>
      <c r="O7" s="12">
        <v>8</v>
      </c>
      <c r="P7" s="12">
        <v>10</v>
      </c>
      <c r="Q7" s="13">
        <v>12</v>
      </c>
      <c r="R7" s="14"/>
      <c r="S7" s="14">
        <v>0</v>
      </c>
      <c r="T7" s="15"/>
      <c r="U7" s="4"/>
      <c r="V7" s="4"/>
      <c r="W7" s="4"/>
      <c r="X7" s="4"/>
      <c r="Y7" s="4"/>
      <c r="Z7" s="4"/>
      <c r="AA7" s="4"/>
      <c r="AB7" s="4"/>
      <c r="AC7" s="4"/>
      <c r="AD7" s="4"/>
      <c r="AE7" s="4"/>
      <c r="AF7" s="4"/>
    </row>
    <row r="8" spans="1:32" ht="15.75" customHeight="1" x14ac:dyDescent="0.25">
      <c r="A8" s="465" t="s">
        <v>10</v>
      </c>
      <c r="B8" s="466"/>
      <c r="C8" s="466"/>
      <c r="D8" s="466"/>
      <c r="E8" s="466"/>
      <c r="F8" s="466"/>
      <c r="G8" s="16"/>
      <c r="H8" s="17" t="s">
        <v>11</v>
      </c>
      <c r="I8" s="18"/>
      <c r="J8" s="18">
        <v>30000</v>
      </c>
      <c r="K8" s="19"/>
      <c r="L8" s="20"/>
      <c r="M8" s="18">
        <v>7500</v>
      </c>
      <c r="N8" s="19"/>
      <c r="O8" s="20">
        <v>8</v>
      </c>
      <c r="P8" s="20">
        <v>10</v>
      </c>
      <c r="Q8" s="21">
        <v>12</v>
      </c>
      <c r="R8" s="22"/>
      <c r="S8" s="22">
        <v>0</v>
      </c>
      <c r="T8" s="23"/>
      <c r="U8" s="4"/>
      <c r="V8" s="4"/>
      <c r="W8" s="4"/>
      <c r="X8" s="4"/>
      <c r="Y8" s="4"/>
      <c r="Z8" s="4"/>
      <c r="AA8" s="4"/>
      <c r="AB8" s="4"/>
      <c r="AC8" s="4"/>
      <c r="AD8" s="4"/>
      <c r="AE8" s="4"/>
      <c r="AF8" s="4"/>
    </row>
    <row r="9" spans="1:32" ht="15.75" customHeight="1" x14ac:dyDescent="0.25">
      <c r="A9" s="465" t="s">
        <v>12</v>
      </c>
      <c r="B9" s="466"/>
      <c r="C9" s="466"/>
      <c r="D9" s="466"/>
      <c r="E9" s="466"/>
      <c r="F9" s="466"/>
      <c r="G9" s="4"/>
      <c r="H9" s="24" t="s">
        <v>13</v>
      </c>
      <c r="I9" s="25"/>
      <c r="J9" s="25">
        <v>35000</v>
      </c>
      <c r="K9" s="26"/>
      <c r="L9" s="27"/>
      <c r="M9" s="25">
        <v>9100</v>
      </c>
      <c r="N9" s="26"/>
      <c r="O9" s="27">
        <v>8</v>
      </c>
      <c r="P9" s="27">
        <v>10</v>
      </c>
      <c r="Q9" s="28">
        <v>12</v>
      </c>
      <c r="R9" s="29"/>
      <c r="S9" s="29">
        <v>0</v>
      </c>
      <c r="T9" s="30"/>
      <c r="U9" s="4"/>
      <c r="V9" s="4"/>
      <c r="W9" s="4"/>
      <c r="X9" s="4"/>
      <c r="Y9" s="4"/>
      <c r="Z9" s="4"/>
      <c r="AA9" s="4"/>
      <c r="AB9" s="4"/>
      <c r="AC9" s="4"/>
      <c r="AD9" s="4"/>
      <c r="AE9" s="4"/>
      <c r="AF9" s="4"/>
    </row>
    <row r="10" spans="1:32" ht="15.75" customHeight="1" x14ac:dyDescent="0.25">
      <c r="A10" s="471" t="s">
        <v>14</v>
      </c>
      <c r="B10" s="466"/>
      <c r="C10" s="466"/>
      <c r="D10" s="466"/>
      <c r="E10" s="466"/>
      <c r="F10" s="466"/>
      <c r="G10" s="4"/>
      <c r="H10" s="31" t="s">
        <v>15</v>
      </c>
      <c r="I10" s="32"/>
      <c r="J10" s="32">
        <v>40000</v>
      </c>
      <c r="K10" s="33"/>
      <c r="L10" s="34"/>
      <c r="M10" s="32">
        <v>10000</v>
      </c>
      <c r="N10" s="33"/>
      <c r="O10" s="35">
        <v>8</v>
      </c>
      <c r="P10" s="35">
        <v>10</v>
      </c>
      <c r="Q10" s="33">
        <v>12</v>
      </c>
      <c r="R10" s="34"/>
      <c r="S10" s="34">
        <v>0</v>
      </c>
      <c r="T10" s="36"/>
      <c r="U10" s="4"/>
      <c r="V10" s="4"/>
      <c r="W10" s="4"/>
      <c r="X10" s="4"/>
      <c r="Y10" s="4"/>
      <c r="Z10" s="4"/>
      <c r="AA10" s="4"/>
      <c r="AB10" s="4"/>
      <c r="AC10" s="4"/>
      <c r="AD10" s="4"/>
      <c r="AE10" s="4"/>
      <c r="AF10" s="4"/>
    </row>
    <row r="11" spans="1:32" ht="15.75" customHeight="1" x14ac:dyDescent="0.25">
      <c r="A11" s="466"/>
      <c r="B11" s="466"/>
      <c r="C11" s="466"/>
      <c r="D11" s="466"/>
      <c r="E11" s="466"/>
      <c r="F11" s="466"/>
      <c r="G11" s="4"/>
      <c r="H11" s="9" t="s">
        <v>16</v>
      </c>
      <c r="I11" s="14"/>
      <c r="J11" s="37">
        <v>24000</v>
      </c>
      <c r="K11" s="13"/>
      <c r="L11" s="37">
        <v>4000</v>
      </c>
      <c r="M11" s="37">
        <v>6500</v>
      </c>
      <c r="N11" s="38">
        <v>7500</v>
      </c>
      <c r="O11" s="12">
        <v>6</v>
      </c>
      <c r="P11" s="12">
        <v>10</v>
      </c>
      <c r="Q11" s="13">
        <v>15</v>
      </c>
      <c r="R11" s="14">
        <v>0</v>
      </c>
      <c r="S11" s="14">
        <v>0</v>
      </c>
      <c r="T11" s="39">
        <v>5000</v>
      </c>
      <c r="U11" s="4"/>
      <c r="V11" s="4"/>
      <c r="W11" s="4"/>
      <c r="X11" s="4"/>
      <c r="Y11" s="4"/>
      <c r="Z11" s="4"/>
      <c r="AA11" s="4"/>
      <c r="AB11" s="4"/>
      <c r="AC11" s="4"/>
      <c r="AD11" s="4"/>
      <c r="AE11" s="4"/>
      <c r="AF11" s="4"/>
    </row>
    <row r="12" spans="1:32" ht="15.75" customHeight="1" x14ac:dyDescent="0.25">
      <c r="A12" s="466"/>
      <c r="B12" s="466"/>
      <c r="C12" s="466"/>
      <c r="D12" s="466"/>
      <c r="E12" s="466"/>
      <c r="F12" s="466"/>
      <c r="G12" s="4"/>
      <c r="H12" s="31" t="s">
        <v>17</v>
      </c>
      <c r="I12" s="34"/>
      <c r="J12" s="32">
        <v>25000</v>
      </c>
      <c r="K12" s="33"/>
      <c r="L12" s="32">
        <v>2000</v>
      </c>
      <c r="M12" s="32">
        <v>8000</v>
      </c>
      <c r="N12" s="40">
        <v>9000</v>
      </c>
      <c r="O12" s="35">
        <v>8</v>
      </c>
      <c r="P12" s="35">
        <v>10</v>
      </c>
      <c r="Q12" s="33">
        <v>12</v>
      </c>
      <c r="R12" s="34">
        <v>0</v>
      </c>
      <c r="S12" s="34">
        <v>0</v>
      </c>
      <c r="T12" s="41">
        <v>10000</v>
      </c>
      <c r="U12" s="4"/>
      <c r="V12" s="4"/>
      <c r="W12" s="4"/>
      <c r="X12" s="4"/>
      <c r="Y12" s="4"/>
      <c r="Z12" s="4"/>
      <c r="AA12" s="4"/>
      <c r="AB12" s="4"/>
      <c r="AC12" s="4"/>
      <c r="AD12" s="4"/>
      <c r="AE12" s="4"/>
      <c r="AF12" s="4"/>
    </row>
    <row r="13" spans="1:32" ht="15.75" customHeight="1" x14ac:dyDescent="0.25">
      <c r="A13" s="472" t="s">
        <v>18</v>
      </c>
      <c r="B13" s="466"/>
      <c r="C13" s="466"/>
      <c r="D13" s="466"/>
      <c r="E13" s="466"/>
      <c r="F13" s="466"/>
      <c r="G13" s="4"/>
      <c r="H13" s="9" t="s">
        <v>19</v>
      </c>
      <c r="I13" s="14"/>
      <c r="J13" s="37">
        <v>20000</v>
      </c>
      <c r="K13" s="13"/>
      <c r="L13" s="37">
        <v>4000</v>
      </c>
      <c r="M13" s="37">
        <v>5000</v>
      </c>
      <c r="N13" s="38">
        <v>6000</v>
      </c>
      <c r="O13" s="12">
        <v>8</v>
      </c>
      <c r="P13" s="12">
        <v>10</v>
      </c>
      <c r="Q13" s="13">
        <v>15</v>
      </c>
      <c r="R13" s="14"/>
      <c r="S13" s="14">
        <v>0</v>
      </c>
      <c r="T13" s="15"/>
      <c r="U13" s="4"/>
      <c r="V13" s="4"/>
      <c r="W13" s="4"/>
      <c r="X13" s="4"/>
      <c r="Y13" s="4"/>
      <c r="Z13" s="4"/>
      <c r="AA13" s="4"/>
      <c r="AB13" s="4"/>
      <c r="AC13" s="4"/>
      <c r="AD13" s="4"/>
      <c r="AE13" s="4"/>
      <c r="AF13" s="4"/>
    </row>
    <row r="14" spans="1:32" ht="15.75" customHeight="1" x14ac:dyDescent="0.25">
      <c r="A14" s="4"/>
      <c r="B14" s="4"/>
      <c r="C14" s="4"/>
      <c r="D14" s="4"/>
      <c r="E14" s="4"/>
      <c r="F14" s="4"/>
      <c r="G14" s="4"/>
      <c r="H14" s="17" t="s">
        <v>20</v>
      </c>
      <c r="I14" s="22"/>
      <c r="J14" s="42">
        <v>35000</v>
      </c>
      <c r="K14" s="21"/>
      <c r="L14" s="42">
        <v>9000</v>
      </c>
      <c r="M14" s="42">
        <v>12000</v>
      </c>
      <c r="N14" s="43">
        <v>18000</v>
      </c>
      <c r="O14" s="20">
        <v>8</v>
      </c>
      <c r="P14" s="20">
        <v>10</v>
      </c>
      <c r="Q14" s="21">
        <v>15</v>
      </c>
      <c r="R14" s="22"/>
      <c r="S14" s="22">
        <v>0</v>
      </c>
      <c r="T14" s="23"/>
      <c r="U14" s="4"/>
      <c r="V14" s="4"/>
      <c r="W14" s="4"/>
      <c r="X14" s="4"/>
      <c r="Y14" s="4"/>
      <c r="Z14" s="4"/>
      <c r="AA14" s="4"/>
      <c r="AB14" s="4"/>
      <c r="AC14" s="4"/>
      <c r="AD14" s="4"/>
      <c r="AE14" s="4"/>
      <c r="AF14" s="4"/>
    </row>
    <row r="15" spans="1:32" ht="15.75" customHeight="1" x14ac:dyDescent="0.25">
      <c r="A15" s="4"/>
      <c r="B15" s="4"/>
      <c r="C15" s="4"/>
      <c r="D15" s="4"/>
      <c r="E15" s="4"/>
      <c r="F15" s="4"/>
      <c r="G15" s="4"/>
      <c r="H15" s="44" t="s">
        <v>21</v>
      </c>
      <c r="I15" s="45">
        <v>40000</v>
      </c>
      <c r="J15" s="45">
        <v>50000</v>
      </c>
      <c r="K15" s="46">
        <v>60000</v>
      </c>
      <c r="L15" s="45">
        <v>15000</v>
      </c>
      <c r="M15" s="45">
        <v>20000</v>
      </c>
      <c r="N15" s="46">
        <v>30000</v>
      </c>
      <c r="O15" s="47">
        <v>8</v>
      </c>
      <c r="P15" s="47">
        <v>10</v>
      </c>
      <c r="Q15" s="48">
        <v>15</v>
      </c>
      <c r="R15" s="49">
        <v>0</v>
      </c>
      <c r="S15" s="49">
        <v>0</v>
      </c>
      <c r="T15" s="50">
        <v>10000</v>
      </c>
      <c r="U15" s="4"/>
      <c r="V15" s="4"/>
      <c r="W15" s="4"/>
      <c r="X15" s="4"/>
      <c r="Y15" s="4"/>
      <c r="Z15" s="4"/>
      <c r="AA15" s="4"/>
      <c r="AB15" s="4"/>
      <c r="AC15" s="4"/>
      <c r="AD15" s="4"/>
      <c r="AE15" s="4"/>
      <c r="AF15" s="4"/>
    </row>
    <row r="16" spans="1:32" ht="15.75" customHeight="1" x14ac:dyDescent="0.25">
      <c r="A16" s="4"/>
      <c r="B16" s="4"/>
      <c r="C16" s="4"/>
      <c r="D16" s="4"/>
      <c r="E16" s="4"/>
      <c r="F16" s="4"/>
      <c r="G16" s="4"/>
      <c r="H16" s="51" t="s">
        <v>22</v>
      </c>
      <c r="I16" s="52"/>
      <c r="J16" s="53">
        <v>15000</v>
      </c>
      <c r="K16" s="54"/>
      <c r="L16" s="53">
        <v>3500</v>
      </c>
      <c r="M16" s="53">
        <v>4000</v>
      </c>
      <c r="N16" s="55">
        <v>4500</v>
      </c>
      <c r="O16" s="56">
        <v>8</v>
      </c>
      <c r="P16" s="56">
        <v>9</v>
      </c>
      <c r="Q16" s="54">
        <v>12</v>
      </c>
      <c r="R16" s="52"/>
      <c r="S16" s="52">
        <v>0</v>
      </c>
      <c r="T16" s="57"/>
      <c r="U16" s="4"/>
      <c r="V16" s="4"/>
      <c r="W16" s="4"/>
      <c r="X16" s="4"/>
      <c r="Y16" s="4"/>
      <c r="Z16" s="4"/>
      <c r="AA16" s="4"/>
      <c r="AB16" s="4"/>
      <c r="AC16" s="4"/>
      <c r="AD16" s="4"/>
      <c r="AE16" s="4"/>
      <c r="AF16" s="4"/>
    </row>
    <row r="17" spans="1:32" ht="15.75" customHeight="1" x14ac:dyDescent="0.25">
      <c r="A17" s="4"/>
      <c r="B17" s="4"/>
      <c r="C17" s="4"/>
      <c r="D17" s="4"/>
      <c r="E17" s="4"/>
      <c r="F17" s="4"/>
      <c r="G17" s="4"/>
      <c r="H17" s="44" t="s">
        <v>23</v>
      </c>
      <c r="I17" s="45">
        <v>20000</v>
      </c>
      <c r="J17" s="45">
        <v>25000</v>
      </c>
      <c r="K17" s="46">
        <v>30000</v>
      </c>
      <c r="L17" s="45">
        <v>3500</v>
      </c>
      <c r="M17" s="45">
        <v>7000</v>
      </c>
      <c r="N17" s="46">
        <v>10000</v>
      </c>
      <c r="O17" s="47">
        <v>7</v>
      </c>
      <c r="P17" s="47">
        <v>10</v>
      </c>
      <c r="Q17" s="48">
        <v>15</v>
      </c>
      <c r="R17" s="49"/>
      <c r="S17" s="49">
        <v>0</v>
      </c>
      <c r="T17" s="58"/>
      <c r="U17" s="4"/>
      <c r="V17" s="4"/>
      <c r="W17" s="4"/>
      <c r="X17" s="4"/>
      <c r="Y17" s="4"/>
      <c r="Z17" s="4"/>
      <c r="AA17" s="4"/>
      <c r="AB17" s="4"/>
      <c r="AC17" s="4"/>
      <c r="AD17" s="4"/>
      <c r="AE17" s="4"/>
      <c r="AF17" s="4"/>
    </row>
    <row r="18" spans="1:32" ht="15.75" customHeight="1" x14ac:dyDescent="0.2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ht="15.75" customHeight="1" x14ac:dyDescent="0.25">
      <c r="A19" s="4"/>
      <c r="B19" s="4"/>
      <c r="C19" s="4"/>
      <c r="D19" s="4"/>
      <c r="E19" s="4"/>
      <c r="F19" s="4"/>
      <c r="G19" s="4"/>
      <c r="H19" s="473" t="s">
        <v>24</v>
      </c>
      <c r="I19" s="474"/>
      <c r="J19" s="59">
        <v>0.15</v>
      </c>
      <c r="K19" s="4"/>
      <c r="L19" s="4"/>
      <c r="M19" s="4"/>
      <c r="N19" s="4"/>
      <c r="O19" s="4"/>
      <c r="P19" s="4"/>
      <c r="Q19" s="4"/>
      <c r="R19" s="4"/>
      <c r="S19" s="4"/>
      <c r="T19" s="4"/>
      <c r="U19" s="4"/>
      <c r="V19" s="4"/>
      <c r="W19" s="4"/>
      <c r="X19" s="4"/>
      <c r="Y19" s="4"/>
      <c r="Z19" s="4"/>
      <c r="AA19" s="4"/>
      <c r="AB19" s="4"/>
      <c r="AC19" s="4"/>
      <c r="AD19" s="4"/>
      <c r="AE19" s="4"/>
      <c r="AF19" s="4"/>
    </row>
    <row r="20" spans="1:32" ht="15.75" customHeight="1" x14ac:dyDescent="0.25">
      <c r="A20" s="4"/>
      <c r="B20" s="4"/>
      <c r="C20" s="4"/>
      <c r="D20" s="4"/>
      <c r="E20" s="4"/>
      <c r="F20" s="4"/>
      <c r="G20" s="4"/>
      <c r="H20" s="467" t="s">
        <v>25</v>
      </c>
      <c r="I20" s="468"/>
      <c r="J20" s="60">
        <v>0.2</v>
      </c>
      <c r="K20" s="4"/>
      <c r="L20" s="4"/>
      <c r="M20" s="4"/>
      <c r="N20" s="4"/>
      <c r="O20" s="4"/>
      <c r="P20" s="4"/>
      <c r="Q20" s="4"/>
      <c r="R20" s="4"/>
      <c r="S20" s="4"/>
      <c r="T20" s="4"/>
      <c r="U20" s="4"/>
      <c r="V20" s="4"/>
      <c r="W20" s="4"/>
      <c r="X20" s="4"/>
      <c r="Y20" s="4"/>
      <c r="Z20" s="4"/>
      <c r="AA20" s="4"/>
      <c r="AB20" s="4"/>
      <c r="AC20" s="4"/>
      <c r="AD20" s="4"/>
      <c r="AE20" s="4"/>
      <c r="AF20" s="4"/>
    </row>
    <row r="21" spans="1:32" ht="15.75" customHeight="1" x14ac:dyDescent="0.25">
      <c r="A21" s="4"/>
      <c r="B21" s="4"/>
      <c r="C21" s="4"/>
      <c r="D21" s="4"/>
      <c r="E21" s="4"/>
      <c r="F21" s="4"/>
      <c r="G21" s="4"/>
      <c r="H21" s="467" t="s">
        <v>26</v>
      </c>
      <c r="I21" s="468"/>
      <c r="J21" s="61">
        <v>100000</v>
      </c>
      <c r="K21" s="4"/>
      <c r="L21" s="4"/>
      <c r="M21" s="4"/>
      <c r="N21" s="4"/>
      <c r="O21" s="4"/>
      <c r="P21" s="4"/>
      <c r="Q21" s="4"/>
      <c r="R21" s="4"/>
      <c r="S21" s="4"/>
      <c r="T21" s="4"/>
      <c r="U21" s="4"/>
      <c r="V21" s="4"/>
      <c r="W21" s="4"/>
      <c r="X21" s="4"/>
      <c r="Y21" s="4"/>
      <c r="Z21" s="4"/>
      <c r="AA21" s="4"/>
      <c r="AB21" s="4"/>
      <c r="AC21" s="4"/>
      <c r="AD21" s="4"/>
      <c r="AE21" s="4"/>
      <c r="AF21" s="4"/>
    </row>
    <row r="22" spans="1:32" ht="15.75" customHeight="1" x14ac:dyDescent="0.25">
      <c r="A22" s="4"/>
      <c r="B22" s="4"/>
      <c r="C22" s="4"/>
      <c r="D22" s="4"/>
      <c r="E22" s="4"/>
      <c r="F22" s="4"/>
      <c r="G22" s="4"/>
      <c r="H22" s="467" t="s">
        <v>27</v>
      </c>
      <c r="I22" s="468"/>
      <c r="J22" s="61">
        <v>10000</v>
      </c>
      <c r="K22" s="4"/>
      <c r="L22" s="4"/>
      <c r="M22" s="4"/>
      <c r="N22" s="4"/>
      <c r="O22" s="4"/>
      <c r="P22" s="4"/>
      <c r="Q22" s="4"/>
      <c r="R22" s="4"/>
      <c r="S22" s="4"/>
      <c r="T22" s="4"/>
      <c r="U22" s="4"/>
      <c r="V22" s="4"/>
      <c r="W22" s="4"/>
      <c r="X22" s="4"/>
      <c r="Y22" s="4"/>
      <c r="Z22" s="4"/>
      <c r="AA22" s="4"/>
      <c r="AB22" s="4"/>
      <c r="AC22" s="4"/>
      <c r="AD22" s="4"/>
      <c r="AE22" s="4"/>
      <c r="AF22" s="4"/>
    </row>
    <row r="23" spans="1:32" ht="15.75" customHeight="1" x14ac:dyDescent="0.25">
      <c r="A23" s="4"/>
      <c r="B23" s="4"/>
      <c r="C23" s="4"/>
      <c r="D23" s="4"/>
      <c r="E23" s="4"/>
      <c r="F23" s="4"/>
      <c r="G23" s="4"/>
      <c r="H23" s="467" t="s">
        <v>28</v>
      </c>
      <c r="I23" s="468"/>
      <c r="J23" s="60">
        <v>0.18</v>
      </c>
      <c r="K23" s="4"/>
      <c r="L23" s="4"/>
      <c r="M23" s="4"/>
      <c r="N23" s="4"/>
      <c r="O23" s="4"/>
      <c r="P23" s="4"/>
      <c r="Q23" s="4"/>
      <c r="R23" s="4"/>
      <c r="S23" s="4"/>
      <c r="T23" s="4"/>
      <c r="U23" s="4"/>
      <c r="V23" s="4"/>
      <c r="W23" s="4"/>
      <c r="X23" s="4"/>
      <c r="Y23" s="4"/>
      <c r="Z23" s="4"/>
      <c r="AA23" s="4"/>
      <c r="AB23" s="4"/>
      <c r="AC23" s="4"/>
      <c r="AD23" s="4"/>
      <c r="AE23" s="4"/>
      <c r="AF23" s="4"/>
    </row>
    <row r="24" spans="1:32" ht="15.75" customHeight="1" x14ac:dyDescent="0.25">
      <c r="A24" s="4"/>
      <c r="B24" s="4"/>
      <c r="C24" s="4"/>
      <c r="D24" s="4"/>
      <c r="E24" s="4"/>
      <c r="F24" s="4"/>
      <c r="G24" s="4"/>
      <c r="H24" s="467" t="s">
        <v>29</v>
      </c>
      <c r="I24" s="468"/>
      <c r="J24" s="62">
        <v>0.25</v>
      </c>
      <c r="K24" s="4"/>
      <c r="L24" s="4"/>
      <c r="M24" s="4"/>
      <c r="N24" s="4"/>
      <c r="O24" s="4"/>
      <c r="P24" s="4"/>
      <c r="Q24" s="4"/>
      <c r="R24" s="4"/>
      <c r="S24" s="4"/>
      <c r="T24" s="4"/>
      <c r="U24" s="4"/>
      <c r="V24" s="4"/>
      <c r="W24" s="4"/>
      <c r="X24" s="4"/>
      <c r="Y24" s="4"/>
      <c r="Z24" s="4"/>
      <c r="AA24" s="4"/>
      <c r="AB24" s="4"/>
      <c r="AC24" s="4"/>
      <c r="AD24" s="4"/>
      <c r="AE24" s="4"/>
      <c r="AF24" s="4"/>
    </row>
    <row r="25" spans="1:32" ht="15.75" customHeight="1" x14ac:dyDescent="0.25">
      <c r="A25" s="4"/>
      <c r="B25" s="4"/>
      <c r="C25" s="4"/>
      <c r="D25" s="4"/>
      <c r="E25" s="4"/>
      <c r="F25" s="4"/>
      <c r="G25" s="4"/>
      <c r="H25" s="469" t="s">
        <v>30</v>
      </c>
      <c r="I25" s="470"/>
      <c r="J25" s="63">
        <v>0.1</v>
      </c>
      <c r="K25" s="4"/>
      <c r="L25" s="4"/>
      <c r="M25" s="4"/>
      <c r="N25" s="4"/>
      <c r="O25" s="4"/>
      <c r="P25" s="4"/>
      <c r="Q25" s="4"/>
      <c r="R25" s="4"/>
      <c r="S25" s="4"/>
      <c r="T25" s="4"/>
      <c r="U25" s="4"/>
      <c r="V25" s="4"/>
      <c r="W25" s="4"/>
      <c r="X25" s="4"/>
      <c r="Y25" s="4"/>
      <c r="Z25" s="4"/>
      <c r="AA25" s="4"/>
      <c r="AB25" s="4"/>
      <c r="AC25" s="4"/>
      <c r="AD25" s="4"/>
      <c r="AE25" s="4"/>
      <c r="AF25" s="4"/>
    </row>
    <row r="26" spans="1:32" ht="15.75"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15.7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ht="15.7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ht="15.7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ht="15.7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ht="15.7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15.7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ht="15.7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ht="15.7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ht="15.7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ht="15.7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ht="15.7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ht="15.7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ht="15.7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ht="15.7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15.7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ht="15.7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ht="15.7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ht="15.7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ht="15.7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ht="15.7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ht="15.7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ht="15.7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ht="15.7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ht="15.7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ht="15.7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ht="15.7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ht="12.5"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ht="12.5"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ht="12.5"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ht="12.5"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ht="12.5"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ht="12.5"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ht="12.5"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ht="12.5"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ht="12.5"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ht="12.5"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ht="12.5"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ht="12.5"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ht="12.5"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ht="12.5"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ht="12.5"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ht="12.5"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ht="12.5"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ht="12.5"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ht="12.5"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ht="12.5"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ht="12.5"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ht="12.5"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ht="12.5"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ht="12.5"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spans="1:32" ht="12.5"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spans="1:32" ht="12.5"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spans="1:32" ht="12.5"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spans="1:32" ht="12.5"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spans="1:32" ht="12.5"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spans="1:32" ht="12.5"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spans="1:32" ht="12.5"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spans="1:32" ht="12.5"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spans="1:32" ht="12.5"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spans="1:32" ht="12.5"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spans="1:32" ht="12.5"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spans="1:32" ht="12.5"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spans="1:32" ht="12.5"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spans="1:32" ht="12.5"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spans="1:32" ht="12.5"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spans="1:32" ht="12.5"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spans="1:32" ht="12.5"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spans="1:32" ht="12.5"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spans="1:32" ht="12.5"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spans="1:32" ht="12.5"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spans="1:32" ht="12.5"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spans="1:32" ht="12.5"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spans="1:32" ht="12.5"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spans="1:32" ht="12.5"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spans="1:32" ht="12.5"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spans="1:32" ht="12.5"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spans="1:32" ht="12.5"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spans="1:32" ht="12.5"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spans="1:32" ht="12.5"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spans="1:32" ht="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spans="1:32" ht="12.5"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spans="1:32" ht="12.5"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spans="1:32" ht="12.5"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spans="1:32" ht="12.5"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spans="1:32" ht="12.5"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spans="1:32" ht="12.5"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spans="1:32" ht="12.5"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spans="1:32" ht="12.5"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spans="1:32" ht="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spans="1:32" ht="12.5"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spans="1:32" ht="12.5"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spans="1:32" ht="12.5"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spans="1:32" ht="12.5"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spans="1:32" ht="12.5"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spans="1:32" ht="12.5"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spans="1:32" ht="12.5"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spans="1:32" ht="12.5"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spans="1:32" ht="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spans="1:32" ht="12.5"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spans="1:32" ht="12.5"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spans="1:32" ht="12.5"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spans="1:32" ht="12.5"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spans="1:32" ht="12.5"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spans="1:32" ht="12.5"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spans="1:32" ht="12.5"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spans="1:32" ht="12.5"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spans="1:32" ht="12.5"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spans="1:32" ht="12.5"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spans="1:32" ht="12.5"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spans="1:32" ht="12.5"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spans="1:32" ht="12.5"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spans="1:32" ht="12.5"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spans="1:32" ht="12.5"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spans="1:32" ht="12.5"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spans="1:32" ht="12.5"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spans="1:32" ht="12.5"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spans="1:32" ht="12.5"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spans="1:32" ht="12.5"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spans="1:32" ht="12.5"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spans="1:32" ht="12.5"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spans="1:32" ht="12.5"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spans="1:32" ht="12.5"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spans="1:32" ht="12.5"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spans="1:32" ht="12.5"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spans="1:32" ht="12.5"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spans="1:32" ht="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spans="1:32" ht="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spans="1:32" ht="12.5"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spans="1:32" ht="12.5"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spans="1:32" ht="12.5"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spans="1:32" ht="12.5"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spans="1:32" ht="12.5"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spans="1:32" ht="12.5"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spans="1:32" ht="12.5"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spans="1:32" ht="12.5"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spans="1:32" ht="12.5"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spans="1:32" ht="12.5"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spans="1:32" ht="12.5"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spans="1:32" ht="12.5"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spans="1:32" ht="12.5"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spans="1:32" ht="12.5"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spans="1:32" ht="12.5"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spans="1:32" ht="12.5"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spans="1:32" ht="12.5"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spans="1:32" ht="12.5"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spans="1:32" ht="12.5"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spans="1:32" ht="12.5"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spans="1:32" ht="12.5"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spans="1:32" ht="12.5"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spans="1:32" ht="12.5"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spans="1:32" ht="12.5"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spans="1:32" ht="12.5"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spans="1:32" ht="12.5"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spans="1:32" ht="12.5"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spans="1:32" ht="12.5"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spans="1:32" ht="12.5"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spans="1:32" ht="12.5"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spans="1:32" ht="12.5"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spans="1:32" ht="12.5"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spans="1:32" ht="12.5"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spans="1:32" ht="12.5"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spans="1:32" ht="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spans="1:32" ht="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spans="1:32" ht="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spans="1:32" ht="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spans="1:32" ht="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spans="1:32" ht="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spans="1:32" ht="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spans="1:32" ht="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spans="1:32" ht="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spans="1:32" ht="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spans="1:32" ht="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spans="1:32" ht="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spans="1:32" ht="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spans="1:32" ht="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spans="1:32" ht="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spans="1:32" ht="12.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spans="1:32" ht="12.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spans="1:32" ht="12.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spans="1:32" ht="12.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spans="1:32" ht="12.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spans="1:32" ht="12.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spans="1:32" ht="12.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spans="1:32" ht="12.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spans="1:32" ht="12.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spans="1:32" ht="12.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spans="1:32" ht="12.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spans="1:32" ht="12.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spans="1:32" ht="12.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spans="1:32" ht="12.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spans="1:32" ht="12.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spans="1:32" ht="12.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spans="1:32" ht="12.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spans="1:32" ht="12.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spans="1:32" ht="12.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spans="1:32" ht="12.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spans="1:32" ht="12.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spans="1:32" ht="12.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spans="1:32" ht="12.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spans="1:32" ht="12.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spans="1:32" ht="12.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spans="1:32" ht="12.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spans="1:32" ht="12.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spans="1:32" ht="12.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spans="1:32" ht="12.5"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spans="1:32" ht="12.5"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spans="1:32" ht="12.5"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spans="1:32" ht="12.5"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spans="1:32" ht="12.5"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spans="1:32" ht="12.5"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spans="1:32" ht="12.5"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spans="1:32" ht="12.5"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spans="1:32" ht="12.5"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spans="1:32" ht="12.5"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spans="1:32" ht="12.5"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spans="1:32" ht="12.5"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spans="1:32" ht="12.5"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spans="1:32" ht="12.5"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spans="1:32" ht="12.5"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spans="1:32" ht="12.5"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spans="1:32" ht="12.5"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spans="1:32" ht="12.5"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spans="1:32" ht="12.5"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spans="1:32" ht="12.5"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spans="1:32" ht="12.5"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spans="1:32" ht="12.5"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spans="1:32" ht="12.5"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spans="1:32" ht="12.5"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spans="1:32" ht="12.5"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spans="1:32" ht="12.5"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spans="1:32" ht="12.5"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spans="1:32" ht="12.5"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spans="1:32" ht="12.5"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spans="1:32" ht="12.5"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spans="1:32" ht="12.5"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spans="1:32" ht="12.5"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spans="1:32" ht="12.5"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spans="1:32" ht="12.5"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spans="1:32" ht="12.5"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spans="1:32" ht="12.5"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spans="1:32" ht="12.5"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spans="1:32" ht="12.5"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spans="1:32" ht="12.5"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spans="1:32" ht="12.5"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spans="1:32" ht="12.5"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spans="1:32" ht="12.5"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spans="1:32" ht="12.5"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spans="1:32" ht="12.5"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spans="1:32" ht="12.5"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spans="1:32" ht="12.5"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spans="1:32" ht="12.5"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spans="1:32" ht="12.5"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spans="1:32" ht="12.5"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spans="1:32" ht="12.5"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spans="1:32" ht="12.5"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spans="1:32" ht="12.5"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spans="1:32" ht="12.5"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spans="1:32" ht="12.5"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spans="1:32" ht="12.5"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spans="1:32" ht="12.5"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spans="1:32" ht="12.5"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spans="1:32" ht="12.5"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spans="1:32" ht="12.5"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spans="1:32" ht="12.5"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spans="1:32" ht="12.5"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spans="1:32" ht="12.5"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spans="1:32" ht="12.5"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spans="1:32" ht="12.5"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spans="1:32" ht="12.5"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spans="1:32" ht="12.5"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spans="1:32" ht="12.5"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spans="1:32" ht="12.5"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spans="1:32" ht="12.5"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spans="1:32" ht="12.5"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spans="1:32" ht="12.5"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spans="1:32" ht="12.5"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spans="1:32" ht="12.5"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spans="1:32" ht="12.5"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spans="1:32" ht="12.5"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spans="1:32" ht="12.5"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spans="1:32" ht="12.5"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spans="1:32" ht="12.5"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spans="1:32" ht="12.5"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spans="1:32" ht="12.5"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spans="1:32" ht="12.5"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spans="1:32" ht="12.5"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spans="1:32" ht="12.5"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spans="1:32" ht="12.5"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spans="1:32" ht="12.5"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spans="1:32" ht="12.5"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spans="1:32" ht="12.5"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spans="1:32" ht="12.5"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spans="1:32" ht="12.5"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spans="1:32" ht="12.5"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spans="1:32" ht="12.5"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spans="1:32" ht="12.5"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spans="1:32" ht="12.5"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spans="1:32" ht="12.5"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spans="1:32" ht="12.5"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spans="1:32" ht="12.5"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spans="1:32" ht="12.5"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spans="1:32" ht="12.5"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spans="1:32" ht="12.5"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spans="1:32" ht="12.5"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spans="1:32" ht="12.5"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spans="1:32" ht="12.5"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spans="1:32" ht="12.5"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spans="1:32" ht="12.5"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spans="1:32" ht="12.5"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spans="1:32" ht="12.5"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spans="1:32" ht="12.5"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spans="1:32" ht="12.5"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spans="1:32" ht="12.5"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spans="1:32" ht="12.5"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spans="1:32" ht="12.5"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spans="1:32" ht="12.5"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spans="1:32" ht="12.5"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spans="1:32" ht="12.5"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spans="1:32" ht="12.5"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spans="1:32" ht="12.5"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spans="1:32" ht="12.5"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spans="1:32" ht="12.5"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spans="1:32" ht="12.5"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spans="1:32" ht="12.5"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spans="1:32" ht="12.5"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spans="1:32" ht="12.5"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spans="1:32" ht="12.5"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spans="1:32" ht="12.5"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spans="1:32" ht="12.5"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spans="1:32" ht="12.5"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spans="1:32" ht="12.5"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spans="1:32" ht="12.5"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spans="1:32" ht="12.5"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spans="1:32" ht="12.5"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spans="1:32" ht="12.5"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spans="1:32" ht="12.5"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spans="1:32" ht="12.5"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spans="1:32" ht="12.5"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spans="1:32" ht="12.5"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spans="1:32" ht="12.5"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spans="1:32" ht="12.5"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spans="1:32" ht="12.5"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spans="1:32" ht="12.5"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spans="1:32" ht="12.5"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spans="1:32" ht="12.5"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spans="1:32" ht="12.5"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spans="1:32" ht="12.5"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spans="1:32" ht="12.5"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spans="1:32" ht="12.5"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spans="1:32" ht="12.5"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spans="1:32" ht="12.5"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spans="1:32" ht="12.5"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spans="1:32" ht="12.5"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spans="1:32" ht="12.5"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spans="1:32" ht="12.5"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spans="1:32" ht="12.5"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spans="1:32" ht="12.5"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spans="1:32" ht="12.5"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spans="1:32" ht="12.5"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spans="1:32" ht="12.5"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spans="1:32" ht="12.5"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spans="1:32" ht="12.5"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spans="1:32" ht="12.5"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spans="1:32" ht="12.5"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spans="1:32" ht="12.5"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spans="1:32" ht="12.5"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spans="1:32" ht="12.5"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spans="1:32" ht="12.5"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spans="1:32" ht="12.5"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spans="1:32" ht="12.5"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spans="1:32" ht="12.5"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spans="1:32" ht="12.5"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spans="1:32" ht="12.5"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spans="1:32" ht="12.5"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spans="1:32" ht="12.5"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spans="1:32" ht="12.5"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spans="1:32" ht="12.5"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spans="1:32" ht="12.5"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spans="1:32" ht="12.5"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spans="1:32" ht="12.5"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spans="1:32" ht="12.5"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spans="1:32" ht="12.5"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spans="1:32" ht="12.5"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spans="1:32" ht="12.5"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spans="1:32" ht="12.5"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spans="1:32" ht="12.5"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spans="1:32" ht="12.5"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spans="1:32" ht="12.5"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spans="1:32" ht="12.5"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spans="1:32" ht="12.5"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spans="1:32" ht="12.5"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spans="1:32" ht="12.5"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spans="1:32" ht="12.5"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spans="1:32" ht="12.5"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spans="1:32" ht="12.5"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spans="1:32" ht="12.5"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spans="1:32" ht="12.5"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spans="1:32" ht="12.5"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spans="1:32" ht="12.5"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spans="1:32" ht="12.5"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spans="1:32" ht="12.5"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spans="1:32" ht="12.5"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spans="1:32" ht="12.5"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spans="1:32" ht="12.5"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spans="1:32" ht="12.5"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spans="1:32" ht="12.5"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spans="1:32" ht="12.5"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spans="1:32" ht="12.5"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spans="1:32" ht="12.5"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spans="1:32" ht="12.5"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spans="1:32" ht="12.5"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spans="1:32" ht="12.5"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spans="1:32" ht="12.5"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spans="1:32" ht="12.5"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spans="1:32" ht="12.5"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spans="1:32" ht="12.5"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spans="1:32" ht="12.5"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spans="1:32" ht="12.5"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spans="1:32" ht="12.5"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spans="1:32" ht="12.5"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spans="1:32" ht="12.5"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spans="1:32" ht="12.5"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spans="1:32" ht="12.5"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spans="1:32" ht="12.5"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spans="1:32" ht="12.5"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spans="1:32" ht="12.5"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spans="1:32" ht="12.5"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spans="1:32" ht="12.5"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spans="1:32" ht="12.5"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spans="1:32" ht="12.5"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spans="1:32" ht="12.5"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spans="1:32" ht="12.5"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spans="1:32" ht="12.5"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spans="1:32" ht="12.5"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spans="1:32" ht="12.5"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spans="1:32" ht="12.5"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spans="1:32" ht="12.5"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spans="1:32" ht="12.5"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spans="1:32" ht="12.5"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spans="1:32" ht="12.5"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spans="1:32" ht="12.5"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spans="1:32" ht="12.5"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spans="1:32" ht="12.5"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spans="1:32" ht="12.5"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spans="1:32" ht="12.5"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spans="1:32" ht="12.5"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spans="1:32" ht="12.5"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spans="1:32" ht="12.5"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spans="1:32" ht="12.5"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spans="1:32" ht="12.5"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spans="1:32" ht="12.5"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spans="1:32" ht="12.5"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spans="1:32" ht="12.5"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spans="1:32" ht="12.5"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spans="1:32" ht="12.5"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spans="1:32" ht="12.5"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spans="1:32" ht="12.5"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spans="1:32" ht="12.5"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spans="1:32" ht="12.5"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spans="1:32" ht="12.5"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spans="1:32" ht="12.5"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spans="1:32" ht="12.5"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spans="1:32" ht="12.5"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spans="1:32" ht="12.5"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spans="1:32" ht="12.5"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spans="1:32" ht="12.5"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spans="1:32" ht="12.5"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spans="1:32" ht="12.5"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spans="1:32" ht="12.5"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spans="1:32" ht="12.5"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spans="1:32" ht="12.5"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spans="1:32" ht="12.5"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spans="1:32" ht="12.5"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spans="1:32" ht="12.5"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spans="1:32" ht="12.5"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spans="1:32" ht="12.5"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spans="1:32" ht="12.5"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spans="1:32" ht="12.5"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spans="1:32" ht="12.5"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spans="1:32" ht="12.5"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spans="1:32" ht="12.5"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spans="1:32" ht="12.5"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spans="1:32" ht="12.5"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spans="1:32" ht="12.5"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spans="1:32" ht="12.5"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spans="1:32" ht="12.5"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spans="1:32" ht="12.5"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spans="1:32" ht="12.5"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spans="1:32" ht="12.5"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spans="1:32" ht="12.5"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spans="1:32" ht="12.5"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spans="1:32" ht="12.5"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spans="1:32" ht="12.5"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spans="1:32" ht="12.5"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spans="1:32" ht="12.5"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spans="1:32" ht="12.5"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spans="1:32" ht="12.5"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spans="1:32" ht="12.5"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spans="1:32" ht="12.5"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spans="1:32" ht="12.5"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spans="1:32" ht="12.5"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spans="1:32" ht="12.5"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spans="1:32" ht="12.5"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spans="1:32" ht="12.5"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spans="1:32" ht="12.5"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spans="1:32" ht="12.5"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spans="1:32" ht="12.5"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spans="1:32" ht="12.5"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spans="1:32" ht="12.5"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spans="1:32" ht="12.5"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spans="1:32" ht="12.5"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spans="1:32" ht="12.5"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spans="1:32" ht="12.5"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spans="1:32" ht="12.5"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spans="1:32" ht="12.5"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spans="1:32" ht="12.5"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spans="1:32" ht="12.5"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spans="1:32" ht="12.5"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spans="1:32" ht="12.5"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spans="1:32" ht="12.5"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spans="1:32" ht="12.5"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spans="1:32" ht="12.5"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spans="1:32" ht="12.5"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spans="1:32" ht="12.5"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spans="1:32" ht="12.5"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spans="1:32" ht="12.5"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spans="1:32" ht="12.5"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spans="1:32" ht="12.5"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spans="1:32" ht="12.5"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spans="1:32" ht="12.5"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spans="1:32" ht="12.5"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spans="1:32" ht="12.5"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spans="1:32" ht="12.5"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spans="1:32" ht="12.5"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spans="1:32" ht="12.5"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spans="1:32" ht="12.5"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spans="1:32" ht="12.5"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spans="1:32" ht="12.5"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spans="1:32" ht="12.5"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spans="1:32" ht="12.5"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spans="1:32" ht="12.5"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spans="1:32" ht="12.5"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spans="1:32" ht="12.5"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spans="1:32" ht="12.5"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spans="1:32" ht="12.5"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spans="1:32" ht="12.5"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spans="1:32" ht="12.5"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spans="1:32" ht="12.5"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spans="1:32" ht="12.5"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spans="1:32" ht="12.5"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spans="1:32" ht="12.5"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spans="1:32" ht="12.5"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spans="1:32" ht="12.5"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spans="1:32" ht="12.5"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spans="1:32" ht="12.5"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spans="1:32" ht="12.5"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spans="1:32" ht="12.5"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spans="1:32" ht="12.5"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spans="1:32" ht="12.5"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spans="1:32" ht="12.5"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spans="1:32" ht="12.5"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spans="1:32" ht="12.5"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spans="1:32" ht="12.5"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spans="1:32" ht="12.5"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spans="1:32" ht="12.5"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spans="1:32" ht="12.5"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spans="1:32" ht="12.5"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spans="1:32" ht="12.5"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spans="1:32" ht="12.5"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spans="1:32" ht="12.5"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spans="1:32" ht="12.5"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spans="1:32" ht="12.5"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spans="1:32" ht="12.5"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spans="1:32" ht="12.5"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spans="1:32" ht="12.5"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spans="1:32" ht="12.5"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spans="1:32" ht="12.5"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spans="1:32" ht="12.5"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spans="1:32" ht="12.5"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spans="1:32" ht="12.5"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spans="1:32" ht="12.5"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spans="1:32" ht="12.5"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spans="1:32" ht="12.5"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spans="1:32" ht="12.5"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spans="1:32" ht="12.5"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spans="1:32" ht="12.5"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spans="1:32" ht="12.5"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spans="1:32" ht="12.5"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spans="1:32" ht="12.5"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spans="1:32" ht="12.5"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spans="1:32" ht="12.5"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spans="1:32" ht="12.5"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spans="1:32" ht="12.5"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spans="1:32" ht="12.5"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spans="1:32" ht="12.5"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spans="1:32" ht="12.5"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spans="1:32" ht="12.5"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spans="1:32" ht="12.5"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spans="1:32" ht="12.5"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spans="1:32" ht="12.5"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spans="1:32" ht="12.5"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spans="1:32" ht="12.5"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spans="1:32" ht="12.5"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spans="1:32" ht="12.5"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spans="1:32" ht="12.5"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spans="1:32" ht="12.5"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spans="1:32" ht="12.5"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spans="1:32" ht="12.5"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spans="1:32" ht="12.5"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spans="1:32" ht="12.5"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spans="1:32" ht="12.5"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spans="1:32" ht="12.5"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spans="1:32" ht="12.5"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spans="1:32" ht="12.5"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spans="1:32" ht="12.5"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spans="1:32" ht="12.5"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spans="1:32" ht="12.5"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spans="1:32" ht="12.5"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spans="1:32" ht="12.5"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spans="1:32" ht="12.5"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spans="1:32" ht="12.5"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spans="1:32" ht="12.5"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spans="1:32" ht="12.5"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spans="1:32" ht="12.5"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spans="1:32" ht="12.5"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spans="1:32" ht="12.5"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spans="1:32" ht="12.5"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spans="1:32" ht="12.5"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spans="1:32" ht="12.5"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spans="1:32" ht="12.5"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spans="1:32" ht="12.5"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spans="1:32" ht="12.5"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spans="1:32" ht="12.5"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spans="1:32" ht="12.5"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spans="1:32" ht="12.5"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spans="1:32" ht="12.5"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spans="1:32" ht="12.5"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spans="1:32" ht="12.5"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spans="1:32" ht="12.5"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spans="1:32" ht="12.5"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spans="1:32" ht="12.5"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spans="1:32" ht="12.5"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spans="1:32" ht="12.5"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spans="1:32" ht="12.5"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spans="1:32" ht="12.5"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spans="1:32" ht="12.5"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spans="1:32" ht="12.5"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spans="1:32" ht="12.5"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spans="1:32" ht="12.5"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spans="1:32" ht="12.5"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spans="1:32" ht="12.5"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spans="1:32" ht="12.5"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spans="1:32" ht="12.5"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spans="1:32" ht="12.5"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spans="1:32" ht="12.5"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spans="1:32" ht="12.5"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spans="1:32" ht="12.5"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spans="1:32" ht="12.5"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spans="1:32" ht="12.5"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spans="1:32" ht="12.5"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spans="1:32" ht="12.5"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spans="1:32" ht="12.5"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spans="1:32" ht="12.5"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spans="1:32" ht="12.5"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spans="1:32" ht="12.5"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spans="1:32" ht="12.5"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spans="1:32" ht="12.5"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spans="1:32" ht="12.5"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spans="1:32" ht="12.5"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spans="1:32" ht="12.5"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spans="1:32" ht="12.5"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spans="1:32" ht="12.5"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spans="1:32" ht="12.5"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spans="1:32" ht="12.5"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spans="1:32" ht="12.5"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spans="1:32" ht="12.5"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spans="1:32" ht="12.5"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spans="1:32" ht="12.5"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spans="1:32" ht="12.5"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spans="1:32" ht="12.5"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spans="1:32" ht="12.5"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spans="1:32" ht="12.5"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spans="1:32" ht="12.5"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spans="1:32" ht="12.5"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spans="1:32" ht="12.5"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spans="1:32" ht="12.5"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spans="1:32" ht="12.5"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spans="1:32" ht="12.5"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spans="1:32" ht="12.5"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spans="1:32" ht="12.5"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spans="1:32" ht="12.5"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spans="1:32" ht="12.5"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spans="1:32" ht="12.5"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spans="1:32" ht="12.5"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spans="1:32" ht="12.5"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spans="1:32" ht="12.5"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spans="1:32" ht="12.5"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spans="1:32" ht="12.5"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spans="1:32" ht="12.5"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spans="1:32" ht="12.5"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spans="1:32" ht="12.5"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spans="1:32" ht="12.5"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spans="1:32" ht="12.5"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spans="1:32" ht="12.5"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spans="1:32" ht="12.5"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spans="1:32" ht="12.5"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spans="1:32" ht="12.5"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spans="1:32" ht="12.5"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spans="1:32" ht="12.5"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spans="1:32" ht="12.5"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spans="1:32" ht="12.5"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spans="1:32" ht="12.5"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spans="1:32" ht="12.5"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spans="1:32" ht="12.5"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spans="1:32" ht="12.5"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spans="1:32" ht="12.5"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spans="1:32" ht="12.5"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spans="1:32" ht="12.5"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spans="1:32" ht="12.5"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spans="1:32" ht="12.5"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spans="1:32" ht="12.5"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spans="1:32" ht="12.5"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spans="1:32" ht="12.5"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spans="1:32" ht="12.5"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spans="1:32" ht="12.5"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spans="1:32" ht="12.5"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spans="1:32" ht="12.5"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spans="1:32" ht="12.5"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spans="1:32" ht="12.5"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spans="1:32" ht="12.5"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spans="1:32" ht="12.5"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spans="1:32" ht="12.5"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spans="1:32" ht="12.5"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spans="1:32" ht="12.5"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spans="1:32" ht="12.5"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spans="1:32" ht="12.5"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spans="1:32" ht="12.5"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spans="1:32" ht="12.5"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spans="1:32" ht="12.5"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spans="1:32" ht="12.5"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spans="1:32" ht="12.5"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spans="1:32" ht="12.5"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spans="1:32" ht="12.5"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spans="1:32" ht="12.5"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spans="1:32" ht="12.5"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spans="1:32" ht="12.5"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spans="1:32" ht="12.5"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spans="1:32" ht="12.5"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spans="1:32" ht="12.5"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spans="1:32" ht="12.5"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spans="1:32" ht="12.5"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spans="1:32" ht="12.5"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spans="1:32" ht="12.5"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spans="1:32" ht="12.5"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spans="1:32" ht="12.5"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spans="1:32" ht="12.5"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spans="1:32" ht="12.5"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spans="1:32" ht="12.5"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spans="1:32" ht="12.5"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spans="1:32" ht="12.5"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spans="1:32" ht="12.5"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spans="1:32" ht="12.5"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spans="1:32" ht="12.5"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spans="1:32" ht="12.5"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spans="1:32" ht="12.5"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spans="1:32" ht="12.5"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spans="1:32" ht="12.5"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spans="1:32" ht="12.5"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spans="1:32" ht="12.5"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spans="1:32" ht="12.5"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spans="1:32" ht="12.5"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spans="1:32" ht="12.5"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spans="1:32" ht="12.5"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spans="1:32" ht="12.5"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spans="1:32" ht="12.5"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spans="1:32" ht="12.5"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spans="1:32" ht="12.5"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spans="1:32" ht="12.5"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spans="1:32" ht="12.5"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spans="1:32" ht="12.5"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spans="1:32" ht="12.5"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spans="1:32" ht="12.5"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spans="1:32" ht="12.5"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spans="1:32" ht="12.5"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spans="1:32" ht="12.5"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spans="1:32" ht="12.5"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spans="1:32" ht="12.5"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spans="1:32" ht="12.5"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spans="1:32" ht="12.5"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spans="1:32" ht="12.5"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spans="1:32" ht="12.5"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spans="1:32" ht="12.5"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spans="1:32" ht="12.5"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spans="1:32" ht="12.5"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spans="1:32" ht="12.5"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spans="1:32" ht="12.5"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spans="1:32" ht="12.5"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spans="1:32" ht="12.5"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spans="1:32" ht="12.5"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spans="1:32" ht="12.5"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spans="1:32" ht="12.5"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spans="1:32" ht="12.5"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spans="1:32" ht="12.5"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spans="1:32" ht="12.5"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spans="1:32" ht="12.5"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spans="1:32" ht="12.5"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spans="1:32" ht="12.5"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spans="1:32" ht="12.5"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spans="1:32" ht="12.5"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spans="1:32" ht="12.5"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spans="1:32" ht="12.5"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spans="1:32" ht="12.5"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spans="1:32" ht="12.5"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spans="1:32" ht="12.5"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spans="1:32" ht="12.5"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spans="1:32" ht="12.5"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spans="1:32" ht="12.5"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spans="1:32" ht="12.5"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spans="1:32" ht="12.5"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spans="1:32" ht="12.5"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spans="1:32" ht="12.5"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spans="1:32" ht="12.5"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spans="1:32" ht="12.5"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spans="1:32" ht="12.5"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spans="1:32" ht="12.5"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spans="1:32" ht="12.5"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spans="1:32" ht="12.5"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spans="1:32" ht="12.5"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spans="1:32" ht="12.5"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spans="1:32" ht="12.5"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spans="1:32" ht="12.5"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spans="1:32" ht="12.5"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spans="1:32" ht="12.5"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spans="1:32" ht="12.5"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spans="1:32" ht="12.5"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spans="1:32" ht="12.5"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spans="1:32" ht="12.5"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spans="1:32" ht="12.5"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spans="1:32" ht="12.5"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spans="1:32" ht="12.5"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spans="1:32" ht="12.5"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spans="1:32" ht="12.5"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spans="1:32" ht="12.5"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spans="1:32" ht="12.5"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spans="1:32" ht="12.5"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spans="1:32" ht="12.5"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spans="1:32" ht="12.5"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spans="1:32" ht="12.5"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spans="1:32" ht="12.5"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spans="1:32" ht="12.5"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spans="1:32" ht="12.5"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spans="1:32" ht="12.5"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spans="1:32" ht="12.5"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spans="1:32" ht="12.5"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spans="1:32" ht="12.5"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spans="1:32" ht="12.5"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spans="1:32" ht="12.5"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spans="1:32" ht="12.5"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spans="1:32" ht="12.5"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spans="1:32" ht="12.5"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spans="1:32" ht="12.5"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spans="1:32" ht="12.5"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spans="1:32" ht="12.5"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spans="1:32" ht="12.5"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spans="1:32" ht="12.5"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spans="1:32" ht="12.5"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spans="1:32" ht="12.5"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spans="1:32" ht="12.5"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spans="1:32" ht="12.5"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spans="1:32" ht="12.5"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spans="1:32" ht="12.5"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spans="1:32" ht="12.5"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spans="1:32" ht="12.5"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spans="1:32" ht="12.5"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spans="1:32" ht="12.5"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spans="1:32" ht="12.5"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spans="1:32" ht="12.5"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spans="1:32" ht="12.5"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spans="1:32" ht="12.5"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spans="1:32" ht="12.5"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spans="1:32" ht="12.5"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spans="1:32" ht="12.5"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spans="1:32" ht="12.5"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spans="1:32" ht="12.5"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spans="1:32" ht="12.5"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spans="1:32" ht="12.5"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spans="1:32" ht="12.5"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spans="1:32" ht="12.5"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spans="1:32" ht="12.5"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spans="1:32" ht="12.5"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spans="1:32" ht="12.5"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spans="1:32" ht="12.5"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spans="1:32" ht="12.5"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spans="1:32" ht="12.5"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spans="1:32" ht="12.5"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spans="1:32" ht="12.5"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spans="1:32" ht="12.5"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spans="1:32" ht="12.5"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spans="1:32" ht="12.5"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spans="1:32" ht="12.5"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spans="1:32" ht="12.5"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spans="1:32" ht="12.5"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spans="1:32" ht="12.5"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spans="1:32" ht="12.5"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spans="1:32" ht="12.5"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spans="1:32" ht="12.5"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spans="1:32" ht="12.5"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spans="1:32" ht="12.5"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spans="1:32" ht="12.5"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spans="1:32" ht="12.5"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spans="1:32" ht="12.5"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spans="1:32" ht="12.5"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spans="1:32" ht="12.5"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spans="1:32" ht="12.5"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spans="1:32" ht="12.5"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spans="1:32" ht="12.5"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spans="1:32" ht="12.5"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spans="1:32" ht="12.5"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spans="1:32" ht="12.5"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spans="1:32" ht="12.5"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spans="1:32" ht="12.5"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spans="1:32" ht="12.5"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spans="1:32" ht="12.5"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spans="1:32" ht="12.5"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spans="1:32" ht="12.5"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spans="1:32" ht="12.5"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spans="1:32" ht="12.5"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spans="1:32" ht="12.5"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spans="1:32" ht="12.5"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spans="1:32" ht="12.5"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spans="1:32" ht="12.5"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spans="1:32" ht="12.5"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spans="1:32" ht="12.5"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spans="1:32" ht="12.5"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spans="1:32" ht="12.5"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spans="1:32" ht="12.5"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spans="1:32" ht="12.5"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spans="1:32" ht="12.5"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spans="1:32" ht="12.5"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spans="1:32" ht="12.5"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spans="1:32" ht="12.5"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spans="1:32" ht="12.5"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spans="1:32" ht="12.5"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spans="1:32" ht="12.5"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spans="1:32" ht="12.5"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spans="1:32" ht="12.5"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spans="1:32" ht="12.5"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spans="1:32" ht="12.5"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spans="1:32" ht="12.5"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spans="1:32" ht="12.5"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spans="1:32" ht="12.5"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spans="1:32" ht="12.5"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spans="1:32" ht="12.5"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spans="1:32" ht="12.5"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spans="1:32" ht="12.5"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spans="1:32" ht="12.5"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spans="1:32" ht="12.5"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spans="1:32" ht="12.5"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spans="1:32" ht="12.5"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spans="1:32" ht="12.5"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spans="1:32" ht="12.5"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spans="1:32" ht="12.5"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spans="1:32" ht="12.5"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spans="1:32" ht="12.5"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spans="1:32" ht="12.5"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spans="1:32" ht="12.5"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spans="1:32" ht="12.5"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spans="1:32" ht="12.5"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spans="1:32" ht="12.5"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spans="1:32" ht="12.5"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spans="1:32" ht="12.5"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spans="1:32" ht="12.5"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spans="1:32" ht="12.5"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spans="1:32" ht="12.5"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row r="1001" spans="1:32" ht="12.5"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row>
    <row r="1002" spans="1:32" ht="12.5"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row>
    <row r="1003" spans="1:32" ht="12.5"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row>
    <row r="1004" spans="1:32" ht="12.5" x14ac:dyDescent="0.25">
      <c r="A1004" s="4"/>
      <c r="B1004" s="4"/>
      <c r="C1004" s="4"/>
      <c r="D1004" s="4"/>
      <c r="E1004" s="4"/>
      <c r="F1004" s="4"/>
      <c r="G1004" s="4"/>
      <c r="U1004" s="4"/>
      <c r="V1004" s="4"/>
      <c r="W1004" s="4"/>
      <c r="X1004" s="4"/>
      <c r="Y1004" s="4"/>
      <c r="Z1004" s="4"/>
      <c r="AA1004" s="4"/>
      <c r="AB1004" s="4"/>
      <c r="AC1004" s="4"/>
      <c r="AD1004" s="4"/>
      <c r="AE1004" s="4"/>
      <c r="AF1004" s="4"/>
    </row>
  </sheetData>
  <mergeCells count="17">
    <mergeCell ref="O5:Q6"/>
    <mergeCell ref="R5:T6"/>
    <mergeCell ref="A8:F8"/>
    <mergeCell ref="H23:I23"/>
    <mergeCell ref="H24:I24"/>
    <mergeCell ref="H25:I25"/>
    <mergeCell ref="A9:F9"/>
    <mergeCell ref="A10:F12"/>
    <mergeCell ref="A13:F13"/>
    <mergeCell ref="H19:I19"/>
    <mergeCell ref="H20:I20"/>
    <mergeCell ref="H21:I21"/>
    <mergeCell ref="H22:I22"/>
    <mergeCell ref="A4:F7"/>
    <mergeCell ref="H5:H6"/>
    <mergeCell ref="I5:K6"/>
    <mergeCell ref="L5:N6"/>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F61"/>
  <sheetViews>
    <sheetView workbookViewId="0"/>
  </sheetViews>
  <sheetFormatPr defaultColWidth="12.6328125" defaultRowHeight="15.75" customHeight="1" x14ac:dyDescent="0.25"/>
  <cols>
    <col min="1" max="58" width="14.36328125" customWidth="1"/>
  </cols>
  <sheetData>
    <row r="1" spans="1:58" ht="15.75" customHeight="1" x14ac:dyDescent="0.25">
      <c r="A1" s="64" t="s">
        <v>31</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5"/>
      <c r="AZ1" s="65"/>
      <c r="BA1" s="65"/>
      <c r="BB1" s="65"/>
      <c r="BC1" s="65"/>
      <c r="BD1" s="65"/>
      <c r="BE1" s="65"/>
      <c r="BF1" s="65"/>
    </row>
    <row r="2" spans="1:58" ht="15.75" customHeight="1" x14ac:dyDescent="0.3">
      <c r="A2" s="66"/>
      <c r="B2" s="66"/>
    </row>
    <row r="3" spans="1:58" ht="15.75" customHeight="1" x14ac:dyDescent="0.3">
      <c r="A3" s="67" t="s">
        <v>32</v>
      </c>
      <c r="B3" s="480" t="s">
        <v>33</v>
      </c>
      <c r="C3" s="461"/>
      <c r="D3" s="462"/>
    </row>
    <row r="4" spans="1:58" ht="15.75" customHeight="1" x14ac:dyDescent="0.3">
      <c r="A4" s="68" t="s">
        <v>34</v>
      </c>
      <c r="B4" s="481" t="s">
        <v>35</v>
      </c>
      <c r="C4" s="461"/>
      <c r="D4" s="462"/>
      <c r="F4" s="69"/>
      <c r="G4" s="70"/>
      <c r="H4" s="70"/>
      <c r="I4" s="70"/>
      <c r="J4" s="70"/>
    </row>
    <row r="5" spans="1:58" ht="15.75" customHeight="1" x14ac:dyDescent="0.3">
      <c r="A5" s="71" t="s">
        <v>36</v>
      </c>
      <c r="B5" s="482"/>
      <c r="C5" s="466"/>
      <c r="D5" s="483"/>
      <c r="F5" s="69"/>
      <c r="G5" s="70"/>
      <c r="H5" s="70"/>
      <c r="I5" s="70"/>
      <c r="J5" s="70"/>
      <c r="K5" s="70"/>
      <c r="L5" s="70"/>
      <c r="M5" s="70"/>
      <c r="N5" s="70"/>
    </row>
    <row r="6" spans="1:58" ht="15.75" customHeight="1" x14ac:dyDescent="0.3">
      <c r="A6" s="71" t="s">
        <v>37</v>
      </c>
      <c r="B6" s="482"/>
      <c r="C6" s="466"/>
      <c r="D6" s="483"/>
      <c r="F6" s="66"/>
    </row>
    <row r="7" spans="1:58" ht="15.75" customHeight="1" x14ac:dyDescent="0.3">
      <c r="A7" s="71" t="s">
        <v>38</v>
      </c>
      <c r="B7" s="482"/>
      <c r="C7" s="466"/>
      <c r="D7" s="483"/>
    </row>
    <row r="8" spans="1:58" ht="15.75" customHeight="1" x14ac:dyDescent="0.3">
      <c r="A8" s="71" t="s">
        <v>39</v>
      </c>
      <c r="B8" s="482"/>
      <c r="C8" s="466"/>
      <c r="D8" s="483"/>
    </row>
    <row r="9" spans="1:58" ht="15.75" customHeight="1" x14ac:dyDescent="0.3">
      <c r="A9" s="72" t="s">
        <v>40</v>
      </c>
      <c r="B9" s="484"/>
      <c r="C9" s="463"/>
      <c r="D9" s="464"/>
    </row>
    <row r="10" spans="1:58" ht="15.75" customHeight="1" x14ac:dyDescent="0.3">
      <c r="A10" s="73"/>
    </row>
    <row r="11" spans="1:58" ht="15.75" customHeight="1" x14ac:dyDescent="0.3">
      <c r="A11" s="485" t="s">
        <v>41</v>
      </c>
      <c r="B11" s="486"/>
      <c r="C11" s="486"/>
      <c r="D11" s="486"/>
      <c r="E11" s="486"/>
      <c r="F11" s="486"/>
      <c r="G11" s="487"/>
      <c r="I11" s="485" t="s">
        <v>42</v>
      </c>
      <c r="J11" s="487"/>
      <c r="K11" s="66"/>
      <c r="L11" s="485" t="s">
        <v>43</v>
      </c>
      <c r="M11" s="486"/>
      <c r="N11" s="486"/>
      <c r="O11" s="487"/>
      <c r="P11" s="66"/>
      <c r="Q11" s="485" t="s">
        <v>44</v>
      </c>
      <c r="R11" s="486"/>
      <c r="S11" s="486"/>
      <c r="T11" s="486"/>
      <c r="U11" s="487"/>
    </row>
    <row r="12" spans="1:58" ht="15.75" customHeight="1" x14ac:dyDescent="0.3">
      <c r="A12" s="488" t="s">
        <v>45</v>
      </c>
      <c r="B12" s="486"/>
      <c r="C12" s="486"/>
      <c r="D12" s="487"/>
      <c r="F12" s="489" t="s">
        <v>46</v>
      </c>
      <c r="G12" s="462"/>
      <c r="I12" s="489" t="s">
        <v>47</v>
      </c>
      <c r="J12" s="462"/>
      <c r="K12" s="66"/>
      <c r="L12" s="489" t="s">
        <v>48</v>
      </c>
      <c r="M12" s="461"/>
      <c r="N12" s="461"/>
      <c r="O12" s="462"/>
      <c r="P12" s="66"/>
      <c r="Q12" s="488" t="s">
        <v>49</v>
      </c>
      <c r="R12" s="487"/>
      <c r="T12" s="488" t="s">
        <v>50</v>
      </c>
      <c r="U12" s="487"/>
    </row>
    <row r="13" spans="1:58" ht="15.75" customHeight="1" x14ac:dyDescent="0.3">
      <c r="A13" s="74" t="s">
        <v>51</v>
      </c>
      <c r="B13" s="75" t="s">
        <v>52</v>
      </c>
      <c r="C13" s="75" t="s">
        <v>53</v>
      </c>
      <c r="D13" s="76" t="s">
        <v>54</v>
      </c>
      <c r="F13" s="77" t="s">
        <v>51</v>
      </c>
      <c r="G13" s="77" t="s">
        <v>52</v>
      </c>
      <c r="I13" s="77" t="s">
        <v>51</v>
      </c>
      <c r="J13" s="77" t="s">
        <v>52</v>
      </c>
      <c r="K13" s="78"/>
      <c r="L13" s="77" t="s">
        <v>51</v>
      </c>
      <c r="M13" s="79" t="s">
        <v>52</v>
      </c>
      <c r="N13" s="80" t="s">
        <v>53</v>
      </c>
      <c r="O13" s="81" t="s">
        <v>54</v>
      </c>
      <c r="P13" s="78"/>
      <c r="Q13" s="77" t="s">
        <v>51</v>
      </c>
      <c r="R13" s="77" t="s">
        <v>52</v>
      </c>
      <c r="T13" s="77" t="s">
        <v>51</v>
      </c>
      <c r="U13" s="77" t="s">
        <v>52</v>
      </c>
    </row>
    <row r="14" spans="1:58" ht="15.75" customHeight="1" x14ac:dyDescent="0.25">
      <c r="A14" s="82">
        <v>0</v>
      </c>
      <c r="B14" s="83">
        <f>-35000-25000-50000</f>
        <v>-110000</v>
      </c>
      <c r="C14" s="84">
        <v>10000</v>
      </c>
      <c r="D14" s="85">
        <f t="shared" ref="D14:D24" si="0">SUM(B14:C14)</f>
        <v>-100000</v>
      </c>
      <c r="F14" s="86">
        <v>0</v>
      </c>
      <c r="G14" s="87">
        <f>-35000-25000-35000</f>
        <v>-95000</v>
      </c>
      <c r="H14" s="88"/>
      <c r="I14" s="86">
        <v>0</v>
      </c>
      <c r="J14" s="87">
        <f>-35000-25000-25000</f>
        <v>-85000</v>
      </c>
      <c r="K14" s="78"/>
      <c r="L14" s="86">
        <v>0</v>
      </c>
      <c r="M14" s="89">
        <f>-35000-50000-25000</f>
        <v>-110000</v>
      </c>
      <c r="N14" s="90">
        <v>10000</v>
      </c>
      <c r="O14" s="91">
        <f t="shared" ref="O14:O24" si="1">SUM(M14:N14)</f>
        <v>-100000</v>
      </c>
      <c r="P14" s="78"/>
      <c r="Q14" s="86">
        <v>0</v>
      </c>
      <c r="R14" s="87">
        <f>-25000-25000-50000</f>
        <v>-100000</v>
      </c>
      <c r="T14" s="86">
        <v>0</v>
      </c>
      <c r="U14" s="87">
        <f>-25000-35000-25000</f>
        <v>-85000</v>
      </c>
    </row>
    <row r="15" spans="1:58" ht="15.75" customHeight="1" x14ac:dyDescent="0.25">
      <c r="A15" s="92">
        <v>1</v>
      </c>
      <c r="B15" s="93">
        <f t="shared" ref="B15:B24" si="2">9100+8000+20000</f>
        <v>37100</v>
      </c>
      <c r="C15" s="93">
        <f t="shared" ref="C15:C24" si="3">PMT(18%,10,10000)</f>
        <v>-2225.146413252884</v>
      </c>
      <c r="D15" s="94">
        <f t="shared" si="0"/>
        <v>34874.853586747115</v>
      </c>
      <c r="F15" s="92">
        <v>1</v>
      </c>
      <c r="G15" s="95">
        <f t="shared" ref="G15:G24" si="4">9100+8000+12000</f>
        <v>29100</v>
      </c>
      <c r="I15" s="92">
        <v>1</v>
      </c>
      <c r="J15" s="95">
        <f t="shared" ref="J15:J24" si="5">9100+8000+20000</f>
        <v>37100</v>
      </c>
      <c r="K15" s="78"/>
      <c r="L15" s="92">
        <v>1</v>
      </c>
      <c r="M15" s="96">
        <f t="shared" ref="M15:M24" si="6">9100+20000+7000</f>
        <v>36100</v>
      </c>
      <c r="N15" s="93">
        <f t="shared" ref="N15:N24" si="7">PMT(18%,10,10000)</f>
        <v>-2225.146413252884</v>
      </c>
      <c r="O15" s="94">
        <f t="shared" si="1"/>
        <v>33874.853586747115</v>
      </c>
      <c r="P15" s="78"/>
      <c r="Q15" s="92">
        <v>1</v>
      </c>
      <c r="R15" s="95">
        <f t="shared" ref="R15:R24" si="8">8000+20000+7000</f>
        <v>35000</v>
      </c>
      <c r="T15" s="92">
        <v>1</v>
      </c>
      <c r="U15" s="95">
        <f t="shared" ref="U15:U24" si="9">8000+12000+7000</f>
        <v>27000</v>
      </c>
    </row>
    <row r="16" spans="1:58" ht="15.75" customHeight="1" x14ac:dyDescent="0.25">
      <c r="A16" s="92">
        <v>2</v>
      </c>
      <c r="B16" s="93">
        <f t="shared" si="2"/>
        <v>37100</v>
      </c>
      <c r="C16" s="93">
        <f t="shared" si="3"/>
        <v>-2225.146413252884</v>
      </c>
      <c r="D16" s="94">
        <f t="shared" si="0"/>
        <v>34874.853586747115</v>
      </c>
      <c r="F16" s="92">
        <v>2</v>
      </c>
      <c r="G16" s="95">
        <f t="shared" si="4"/>
        <v>29100</v>
      </c>
      <c r="I16" s="92">
        <v>2</v>
      </c>
      <c r="J16" s="95">
        <f t="shared" si="5"/>
        <v>37100</v>
      </c>
      <c r="K16" s="78"/>
      <c r="L16" s="92">
        <v>2</v>
      </c>
      <c r="M16" s="96">
        <f t="shared" si="6"/>
        <v>36100</v>
      </c>
      <c r="N16" s="93">
        <f t="shared" si="7"/>
        <v>-2225.146413252884</v>
      </c>
      <c r="O16" s="94">
        <f t="shared" si="1"/>
        <v>33874.853586747115</v>
      </c>
      <c r="P16" s="78"/>
      <c r="Q16" s="92">
        <v>2</v>
      </c>
      <c r="R16" s="95">
        <f t="shared" si="8"/>
        <v>35000</v>
      </c>
      <c r="T16" s="92">
        <v>2</v>
      </c>
      <c r="U16" s="95">
        <f t="shared" si="9"/>
        <v>27000</v>
      </c>
    </row>
    <row r="17" spans="1:21" ht="15.75" customHeight="1" x14ac:dyDescent="0.25">
      <c r="A17" s="92">
        <v>3</v>
      </c>
      <c r="B17" s="93">
        <f t="shared" si="2"/>
        <v>37100</v>
      </c>
      <c r="C17" s="93">
        <f t="shared" si="3"/>
        <v>-2225.146413252884</v>
      </c>
      <c r="D17" s="94">
        <f t="shared" si="0"/>
        <v>34874.853586747115</v>
      </c>
      <c r="F17" s="92">
        <v>3</v>
      </c>
      <c r="G17" s="95">
        <f t="shared" si="4"/>
        <v>29100</v>
      </c>
      <c r="I17" s="92">
        <v>3</v>
      </c>
      <c r="J17" s="95">
        <f t="shared" si="5"/>
        <v>37100</v>
      </c>
      <c r="K17" s="78"/>
      <c r="L17" s="92">
        <v>3</v>
      </c>
      <c r="M17" s="96">
        <f t="shared" si="6"/>
        <v>36100</v>
      </c>
      <c r="N17" s="93">
        <f t="shared" si="7"/>
        <v>-2225.146413252884</v>
      </c>
      <c r="O17" s="94">
        <f t="shared" si="1"/>
        <v>33874.853586747115</v>
      </c>
      <c r="P17" s="78"/>
      <c r="Q17" s="92">
        <v>3</v>
      </c>
      <c r="R17" s="95">
        <f t="shared" si="8"/>
        <v>35000</v>
      </c>
      <c r="T17" s="92">
        <v>3</v>
      </c>
      <c r="U17" s="95">
        <f t="shared" si="9"/>
        <v>27000</v>
      </c>
    </row>
    <row r="18" spans="1:21" ht="15.75" customHeight="1" x14ac:dyDescent="0.25">
      <c r="A18" s="92">
        <v>4</v>
      </c>
      <c r="B18" s="93">
        <f t="shared" si="2"/>
        <v>37100</v>
      </c>
      <c r="C18" s="93">
        <f t="shared" si="3"/>
        <v>-2225.146413252884</v>
      </c>
      <c r="D18" s="94">
        <f t="shared" si="0"/>
        <v>34874.853586747115</v>
      </c>
      <c r="F18" s="92">
        <v>4</v>
      </c>
      <c r="G18" s="95">
        <f t="shared" si="4"/>
        <v>29100</v>
      </c>
      <c r="I18" s="92">
        <v>4</v>
      </c>
      <c r="J18" s="95">
        <f t="shared" si="5"/>
        <v>37100</v>
      </c>
      <c r="K18" s="78"/>
      <c r="L18" s="92">
        <v>4</v>
      </c>
      <c r="M18" s="96">
        <f t="shared" si="6"/>
        <v>36100</v>
      </c>
      <c r="N18" s="93">
        <f t="shared" si="7"/>
        <v>-2225.146413252884</v>
      </c>
      <c r="O18" s="94">
        <f t="shared" si="1"/>
        <v>33874.853586747115</v>
      </c>
      <c r="P18" s="78"/>
      <c r="Q18" s="92">
        <v>4</v>
      </c>
      <c r="R18" s="95">
        <f t="shared" si="8"/>
        <v>35000</v>
      </c>
      <c r="T18" s="92">
        <v>4</v>
      </c>
      <c r="U18" s="95">
        <f t="shared" si="9"/>
        <v>27000</v>
      </c>
    </row>
    <row r="19" spans="1:21" ht="15.75" customHeight="1" x14ac:dyDescent="0.25">
      <c r="A19" s="92">
        <v>5</v>
      </c>
      <c r="B19" s="93">
        <f t="shared" si="2"/>
        <v>37100</v>
      </c>
      <c r="C19" s="93">
        <f t="shared" si="3"/>
        <v>-2225.146413252884</v>
      </c>
      <c r="D19" s="94">
        <f t="shared" si="0"/>
        <v>34874.853586747115</v>
      </c>
      <c r="F19" s="92">
        <v>5</v>
      </c>
      <c r="G19" s="95">
        <f t="shared" si="4"/>
        <v>29100</v>
      </c>
      <c r="I19" s="92">
        <v>5</v>
      </c>
      <c r="J19" s="95">
        <f t="shared" si="5"/>
        <v>37100</v>
      </c>
      <c r="K19" s="78"/>
      <c r="L19" s="92">
        <v>5</v>
      </c>
      <c r="M19" s="96">
        <f t="shared" si="6"/>
        <v>36100</v>
      </c>
      <c r="N19" s="93">
        <f t="shared" si="7"/>
        <v>-2225.146413252884</v>
      </c>
      <c r="O19" s="94">
        <f t="shared" si="1"/>
        <v>33874.853586747115</v>
      </c>
      <c r="P19" s="78"/>
      <c r="Q19" s="92">
        <v>5</v>
      </c>
      <c r="R19" s="95">
        <f t="shared" si="8"/>
        <v>35000</v>
      </c>
      <c r="T19" s="92">
        <v>5</v>
      </c>
      <c r="U19" s="95">
        <f t="shared" si="9"/>
        <v>27000</v>
      </c>
    </row>
    <row r="20" spans="1:21" ht="15.75" customHeight="1" x14ac:dyDescent="0.25">
      <c r="A20" s="92">
        <v>6</v>
      </c>
      <c r="B20" s="93">
        <f t="shared" si="2"/>
        <v>37100</v>
      </c>
      <c r="C20" s="93">
        <f t="shared" si="3"/>
        <v>-2225.146413252884</v>
      </c>
      <c r="D20" s="94">
        <f t="shared" si="0"/>
        <v>34874.853586747115</v>
      </c>
      <c r="F20" s="92">
        <v>6</v>
      </c>
      <c r="G20" s="95">
        <f t="shared" si="4"/>
        <v>29100</v>
      </c>
      <c r="I20" s="92">
        <v>6</v>
      </c>
      <c r="J20" s="95">
        <f t="shared" si="5"/>
        <v>37100</v>
      </c>
      <c r="K20" s="78"/>
      <c r="L20" s="92">
        <v>6</v>
      </c>
      <c r="M20" s="96">
        <f t="shared" si="6"/>
        <v>36100</v>
      </c>
      <c r="N20" s="93">
        <f t="shared" si="7"/>
        <v>-2225.146413252884</v>
      </c>
      <c r="O20" s="94">
        <f t="shared" si="1"/>
        <v>33874.853586747115</v>
      </c>
      <c r="P20" s="78"/>
      <c r="Q20" s="92">
        <v>6</v>
      </c>
      <c r="R20" s="95">
        <f t="shared" si="8"/>
        <v>35000</v>
      </c>
      <c r="T20" s="92">
        <v>6</v>
      </c>
      <c r="U20" s="95">
        <f t="shared" si="9"/>
        <v>27000</v>
      </c>
    </row>
    <row r="21" spans="1:21" ht="15.75" customHeight="1" x14ac:dyDescent="0.25">
      <c r="A21" s="92">
        <v>7</v>
      </c>
      <c r="B21" s="93">
        <f t="shared" si="2"/>
        <v>37100</v>
      </c>
      <c r="C21" s="93">
        <f t="shared" si="3"/>
        <v>-2225.146413252884</v>
      </c>
      <c r="D21" s="94">
        <f t="shared" si="0"/>
        <v>34874.853586747115</v>
      </c>
      <c r="F21" s="92">
        <v>7</v>
      </c>
      <c r="G21" s="95">
        <f t="shared" si="4"/>
        <v>29100</v>
      </c>
      <c r="I21" s="92">
        <v>7</v>
      </c>
      <c r="J21" s="95">
        <f t="shared" si="5"/>
        <v>37100</v>
      </c>
      <c r="K21" s="78"/>
      <c r="L21" s="92">
        <v>7</v>
      </c>
      <c r="M21" s="96">
        <f t="shared" si="6"/>
        <v>36100</v>
      </c>
      <c r="N21" s="93">
        <f t="shared" si="7"/>
        <v>-2225.146413252884</v>
      </c>
      <c r="O21" s="94">
        <f t="shared" si="1"/>
        <v>33874.853586747115</v>
      </c>
      <c r="P21" s="78"/>
      <c r="Q21" s="92">
        <v>7</v>
      </c>
      <c r="R21" s="95">
        <f t="shared" si="8"/>
        <v>35000</v>
      </c>
      <c r="T21" s="92">
        <v>7</v>
      </c>
      <c r="U21" s="95">
        <f t="shared" si="9"/>
        <v>27000</v>
      </c>
    </row>
    <row r="22" spans="1:21" ht="15.75" customHeight="1" x14ac:dyDescent="0.25">
      <c r="A22" s="92">
        <v>8</v>
      </c>
      <c r="B22" s="93">
        <f t="shared" si="2"/>
        <v>37100</v>
      </c>
      <c r="C22" s="93">
        <f t="shared" si="3"/>
        <v>-2225.146413252884</v>
      </c>
      <c r="D22" s="94">
        <f t="shared" si="0"/>
        <v>34874.853586747115</v>
      </c>
      <c r="F22" s="92">
        <v>8</v>
      </c>
      <c r="G22" s="95">
        <f t="shared" si="4"/>
        <v>29100</v>
      </c>
      <c r="I22" s="92">
        <v>8</v>
      </c>
      <c r="J22" s="95">
        <f t="shared" si="5"/>
        <v>37100</v>
      </c>
      <c r="K22" s="78"/>
      <c r="L22" s="92">
        <v>8</v>
      </c>
      <c r="M22" s="96">
        <f t="shared" si="6"/>
        <v>36100</v>
      </c>
      <c r="N22" s="93">
        <f t="shared" si="7"/>
        <v>-2225.146413252884</v>
      </c>
      <c r="O22" s="94">
        <f t="shared" si="1"/>
        <v>33874.853586747115</v>
      </c>
      <c r="P22" s="78"/>
      <c r="Q22" s="92">
        <v>8</v>
      </c>
      <c r="R22" s="95">
        <f t="shared" si="8"/>
        <v>35000</v>
      </c>
      <c r="T22" s="92">
        <v>8</v>
      </c>
      <c r="U22" s="95">
        <f t="shared" si="9"/>
        <v>27000</v>
      </c>
    </row>
    <row r="23" spans="1:21" ht="15.75" customHeight="1" x14ac:dyDescent="0.25">
      <c r="A23" s="92">
        <v>9</v>
      </c>
      <c r="B23" s="93">
        <f t="shared" si="2"/>
        <v>37100</v>
      </c>
      <c r="C23" s="93">
        <f t="shared" si="3"/>
        <v>-2225.146413252884</v>
      </c>
      <c r="D23" s="94">
        <f t="shared" si="0"/>
        <v>34874.853586747115</v>
      </c>
      <c r="F23" s="92">
        <v>9</v>
      </c>
      <c r="G23" s="95">
        <f t="shared" si="4"/>
        <v>29100</v>
      </c>
      <c r="I23" s="92">
        <v>9</v>
      </c>
      <c r="J23" s="95">
        <f t="shared" si="5"/>
        <v>37100</v>
      </c>
      <c r="K23" s="78"/>
      <c r="L23" s="92">
        <v>9</v>
      </c>
      <c r="M23" s="96">
        <f t="shared" si="6"/>
        <v>36100</v>
      </c>
      <c r="N23" s="93">
        <f t="shared" si="7"/>
        <v>-2225.146413252884</v>
      </c>
      <c r="O23" s="94">
        <f t="shared" si="1"/>
        <v>33874.853586747115</v>
      </c>
      <c r="P23" s="78"/>
      <c r="Q23" s="92">
        <v>9</v>
      </c>
      <c r="R23" s="95">
        <f t="shared" si="8"/>
        <v>35000</v>
      </c>
      <c r="T23" s="92">
        <v>9</v>
      </c>
      <c r="U23" s="95">
        <f t="shared" si="9"/>
        <v>27000</v>
      </c>
    </row>
    <row r="24" spans="1:21" ht="15.75" customHeight="1" x14ac:dyDescent="0.25">
      <c r="A24" s="97">
        <v>10</v>
      </c>
      <c r="B24" s="98">
        <f t="shared" si="2"/>
        <v>37100</v>
      </c>
      <c r="C24" s="98">
        <f t="shared" si="3"/>
        <v>-2225.146413252884</v>
      </c>
      <c r="D24" s="99">
        <f t="shared" si="0"/>
        <v>34874.853586747115</v>
      </c>
      <c r="F24" s="100">
        <v>10</v>
      </c>
      <c r="G24" s="101">
        <f t="shared" si="4"/>
        <v>29100</v>
      </c>
      <c r="I24" s="97">
        <v>10</v>
      </c>
      <c r="J24" s="101">
        <f t="shared" si="5"/>
        <v>37100</v>
      </c>
      <c r="K24" s="78"/>
      <c r="L24" s="97">
        <v>10</v>
      </c>
      <c r="M24" s="102">
        <f t="shared" si="6"/>
        <v>36100</v>
      </c>
      <c r="N24" s="98">
        <f t="shared" si="7"/>
        <v>-2225.146413252884</v>
      </c>
      <c r="O24" s="99">
        <f t="shared" si="1"/>
        <v>33874.853586747115</v>
      </c>
      <c r="P24" s="78"/>
      <c r="Q24" s="97">
        <v>10</v>
      </c>
      <c r="R24" s="101">
        <f t="shared" si="8"/>
        <v>35000</v>
      </c>
      <c r="T24" s="97">
        <v>10</v>
      </c>
      <c r="U24" s="101">
        <f t="shared" si="9"/>
        <v>27000</v>
      </c>
    </row>
    <row r="25" spans="1:21" ht="15.75" customHeight="1" x14ac:dyDescent="0.3">
      <c r="A25" s="103" t="s">
        <v>55</v>
      </c>
      <c r="B25" s="104">
        <f t="shared" ref="B25:D25" si="10">NPV(15%,B15:B24)+B14</f>
        <v>76196.316019191989</v>
      </c>
      <c r="C25" s="105">
        <f t="shared" si="10"/>
        <v>-1167.4950067656482</v>
      </c>
      <c r="D25" s="106">
        <f t="shared" si="10"/>
        <v>75028.821012426284</v>
      </c>
      <c r="F25" s="107" t="s">
        <v>55</v>
      </c>
      <c r="G25" s="108">
        <f t="array" ref="G25">NPV(15%,G15:G24)+G14</f>
        <v>51046.167012358113</v>
      </c>
      <c r="I25" s="107" t="s">
        <v>55</v>
      </c>
      <c r="J25" s="108">
        <f t="array" ref="J25">NPV(15%,J15:J24)+J14</f>
        <v>101196.31601919199</v>
      </c>
      <c r="K25" s="78"/>
      <c r="L25" s="109" t="s">
        <v>55</v>
      </c>
      <c r="M25" s="104">
        <f t="shared" ref="M25:O25" si="11">NPV(15%,M15:M24)+M14</f>
        <v>71177.547393337707</v>
      </c>
      <c r="N25" s="105">
        <f t="shared" si="11"/>
        <v>-1167.4950067656482</v>
      </c>
      <c r="O25" s="106">
        <f t="shared" si="11"/>
        <v>70010.05238657209</v>
      </c>
      <c r="P25" s="78"/>
      <c r="Q25" s="107" t="s">
        <v>55</v>
      </c>
      <c r="R25" s="108">
        <f t="array" ref="R25">NPV(15%,R15:R24)+R14</f>
        <v>75656.901904898114</v>
      </c>
      <c r="T25" s="107" t="s">
        <v>55</v>
      </c>
      <c r="U25" s="108">
        <f t="array" ref="U25">NPV(15%,U15:U24)+U14</f>
        <v>50506.752898064209</v>
      </c>
    </row>
    <row r="26" spans="1:21" ht="15.75" customHeight="1" x14ac:dyDescent="0.3">
      <c r="A26" s="110" t="s">
        <v>56</v>
      </c>
      <c r="B26" s="111">
        <f t="shared" ref="B26:D26" si="12">NPV(20%,B15:B24)+B14</f>
        <v>45540.714373933646</v>
      </c>
      <c r="C26" s="112">
        <f t="shared" si="12"/>
        <v>671.13577617386181</v>
      </c>
      <c r="D26" s="113">
        <f t="shared" si="12"/>
        <v>46211.850150107464</v>
      </c>
      <c r="F26" s="114" t="s">
        <v>56</v>
      </c>
      <c r="G26" s="115">
        <f t="array" ref="G26">NPV(20%,G15:G24)+G14</f>
        <v>27000.937689527476</v>
      </c>
      <c r="I26" s="114" t="s">
        <v>56</v>
      </c>
      <c r="J26" s="115">
        <f t="array" ref="J26">NPV(20%,J15:J24)+J14</f>
        <v>70540.714373933646</v>
      </c>
      <c r="K26" s="78"/>
      <c r="L26" s="110" t="s">
        <v>56</v>
      </c>
      <c r="M26" s="111">
        <f t="shared" ref="M26:O26" si="13">NPV(20%,M15:M24)+M14</f>
        <v>41348.242288382869</v>
      </c>
      <c r="N26" s="112">
        <f t="shared" si="13"/>
        <v>671.13577617386181</v>
      </c>
      <c r="O26" s="113">
        <f t="shared" si="13"/>
        <v>42019.378064556746</v>
      </c>
      <c r="P26" s="78"/>
      <c r="Q26" s="114" t="s">
        <v>56</v>
      </c>
      <c r="R26" s="115">
        <f t="array" ref="R26">NPV(20%,R15:R24)+R14</f>
        <v>46736.522994277009</v>
      </c>
      <c r="T26" s="114" t="s">
        <v>56</v>
      </c>
      <c r="U26" s="115">
        <f t="array" ref="U26">NPV(20%,U15:U24)+U14</f>
        <v>28196.746309870825</v>
      </c>
    </row>
    <row r="28" spans="1:21" ht="15.75" customHeight="1" x14ac:dyDescent="0.3">
      <c r="A28" s="488" t="s">
        <v>57</v>
      </c>
      <c r="B28" s="486"/>
      <c r="C28" s="486"/>
      <c r="D28" s="487"/>
      <c r="F28" s="489" t="s">
        <v>58</v>
      </c>
      <c r="G28" s="462"/>
      <c r="I28" s="489" t="s">
        <v>59</v>
      </c>
      <c r="J28" s="462"/>
      <c r="K28" s="66"/>
      <c r="L28" s="488" t="s">
        <v>60</v>
      </c>
      <c r="M28" s="487"/>
      <c r="P28" s="66"/>
      <c r="Q28" s="488" t="s">
        <v>61</v>
      </c>
      <c r="R28" s="487"/>
      <c r="T28" s="488" t="s">
        <v>62</v>
      </c>
      <c r="U28" s="487"/>
    </row>
    <row r="29" spans="1:21" ht="15.75" customHeight="1" x14ac:dyDescent="0.3">
      <c r="A29" s="77" t="s">
        <v>51</v>
      </c>
      <c r="B29" s="75" t="s">
        <v>52</v>
      </c>
      <c r="C29" s="75" t="s">
        <v>53</v>
      </c>
      <c r="D29" s="76" t="s">
        <v>54</v>
      </c>
      <c r="F29" s="74" t="s">
        <v>51</v>
      </c>
      <c r="G29" s="116" t="s">
        <v>52</v>
      </c>
      <c r="I29" s="77" t="s">
        <v>51</v>
      </c>
      <c r="J29" s="77" t="s">
        <v>52</v>
      </c>
      <c r="K29" s="78"/>
      <c r="L29" s="77" t="s">
        <v>51</v>
      </c>
      <c r="M29" s="77" t="s">
        <v>52</v>
      </c>
      <c r="P29" s="78"/>
      <c r="Q29" s="77" t="s">
        <v>51</v>
      </c>
      <c r="R29" s="77" t="s">
        <v>52</v>
      </c>
      <c r="T29" s="77" t="s">
        <v>51</v>
      </c>
      <c r="U29" s="77" t="s">
        <v>52</v>
      </c>
    </row>
    <row r="30" spans="1:21" ht="15.75" customHeight="1" x14ac:dyDescent="0.25">
      <c r="A30" s="86">
        <v>0</v>
      </c>
      <c r="B30" s="117">
        <f>-35000-24000-50000</f>
        <v>-109000</v>
      </c>
      <c r="C30" s="84">
        <v>10000</v>
      </c>
      <c r="D30" s="85">
        <f t="shared" ref="D30:D40" si="14">SUM(B30:C30)</f>
        <v>-99000</v>
      </c>
      <c r="F30" s="82">
        <v>0</v>
      </c>
      <c r="G30" s="85">
        <f>-35000-24000-35000</f>
        <v>-94000</v>
      </c>
      <c r="H30" s="88"/>
      <c r="I30" s="86">
        <v>0</v>
      </c>
      <c r="J30" s="87">
        <f>-35000-24000-25000</f>
        <v>-84000</v>
      </c>
      <c r="K30" s="78"/>
      <c r="L30" s="86">
        <v>0</v>
      </c>
      <c r="M30" s="87">
        <f>-35000-35000-25000</f>
        <v>-95000</v>
      </c>
      <c r="O30" s="88"/>
      <c r="P30" s="78"/>
      <c r="Q30" s="86">
        <v>0</v>
      </c>
      <c r="R30" s="87">
        <f>-25000-24000-50000</f>
        <v>-99000</v>
      </c>
      <c r="T30" s="86">
        <v>0</v>
      </c>
      <c r="U30" s="87">
        <f>-24000-35000-25000</f>
        <v>-84000</v>
      </c>
    </row>
    <row r="31" spans="1:21" ht="15.75" customHeight="1" x14ac:dyDescent="0.25">
      <c r="A31" s="92">
        <v>1</v>
      </c>
      <c r="B31" s="96">
        <f t="shared" ref="B31:B40" si="15">9100+6500+20000</f>
        <v>35600</v>
      </c>
      <c r="C31" s="93">
        <f t="shared" ref="C31:C40" si="16">PMT(18%,10,10000)</f>
        <v>-2225.146413252884</v>
      </c>
      <c r="D31" s="94">
        <f t="shared" si="14"/>
        <v>33374.853586747115</v>
      </c>
      <c r="F31" s="92">
        <v>1</v>
      </c>
      <c r="G31" s="94">
        <f t="shared" ref="G31:G40" si="17">9100+6500+12000</f>
        <v>27600</v>
      </c>
      <c r="I31" s="92">
        <v>1</v>
      </c>
      <c r="J31" s="95">
        <f t="shared" ref="J31:J40" si="18">9100+6500+20000</f>
        <v>35600</v>
      </c>
      <c r="K31" s="78"/>
      <c r="L31" s="92">
        <v>1</v>
      </c>
      <c r="M31" s="95">
        <f t="shared" ref="M31:M40" si="19">9100+12000+7000</f>
        <v>28100</v>
      </c>
      <c r="P31" s="78"/>
      <c r="Q31" s="92">
        <v>1</v>
      </c>
      <c r="R31" s="95">
        <f t="shared" ref="R31:R40" si="20">6500+20000+7000</f>
        <v>33500</v>
      </c>
      <c r="T31" s="92">
        <v>1</v>
      </c>
      <c r="U31" s="95">
        <f t="shared" ref="U31:U40" si="21">6500+12000+7000</f>
        <v>25500</v>
      </c>
    </row>
    <row r="32" spans="1:21" ht="15.75" customHeight="1" x14ac:dyDescent="0.25">
      <c r="A32" s="92">
        <v>2</v>
      </c>
      <c r="B32" s="96">
        <f t="shared" si="15"/>
        <v>35600</v>
      </c>
      <c r="C32" s="93">
        <f t="shared" si="16"/>
        <v>-2225.146413252884</v>
      </c>
      <c r="D32" s="94">
        <f t="shared" si="14"/>
        <v>33374.853586747115</v>
      </c>
      <c r="F32" s="92">
        <v>2</v>
      </c>
      <c r="G32" s="94">
        <f t="shared" si="17"/>
        <v>27600</v>
      </c>
      <c r="I32" s="92">
        <v>2</v>
      </c>
      <c r="J32" s="95">
        <f t="shared" si="18"/>
        <v>35600</v>
      </c>
      <c r="K32" s="78"/>
      <c r="L32" s="92">
        <v>2</v>
      </c>
      <c r="M32" s="95">
        <f t="shared" si="19"/>
        <v>28100</v>
      </c>
      <c r="P32" s="78"/>
      <c r="Q32" s="92">
        <v>2</v>
      </c>
      <c r="R32" s="95">
        <f t="shared" si="20"/>
        <v>33500</v>
      </c>
      <c r="T32" s="92">
        <v>2</v>
      </c>
      <c r="U32" s="95">
        <f t="shared" si="21"/>
        <v>25500</v>
      </c>
    </row>
    <row r="33" spans="1:21" ht="15.75" customHeight="1" x14ac:dyDescent="0.25">
      <c r="A33" s="92">
        <v>3</v>
      </c>
      <c r="B33" s="96">
        <f t="shared" si="15"/>
        <v>35600</v>
      </c>
      <c r="C33" s="93">
        <f t="shared" si="16"/>
        <v>-2225.146413252884</v>
      </c>
      <c r="D33" s="94">
        <f t="shared" si="14"/>
        <v>33374.853586747115</v>
      </c>
      <c r="F33" s="92">
        <v>3</v>
      </c>
      <c r="G33" s="94">
        <f t="shared" si="17"/>
        <v>27600</v>
      </c>
      <c r="I33" s="92">
        <v>3</v>
      </c>
      <c r="J33" s="95">
        <f t="shared" si="18"/>
        <v>35600</v>
      </c>
      <c r="K33" s="78"/>
      <c r="L33" s="92">
        <v>3</v>
      </c>
      <c r="M33" s="95">
        <f t="shared" si="19"/>
        <v>28100</v>
      </c>
      <c r="P33" s="78"/>
      <c r="Q33" s="92">
        <v>3</v>
      </c>
      <c r="R33" s="95">
        <f t="shared" si="20"/>
        <v>33500</v>
      </c>
      <c r="T33" s="92">
        <v>3</v>
      </c>
      <c r="U33" s="95">
        <f t="shared" si="21"/>
        <v>25500</v>
      </c>
    </row>
    <row r="34" spans="1:21" ht="15.75" customHeight="1" x14ac:dyDescent="0.25">
      <c r="A34" s="92">
        <v>4</v>
      </c>
      <c r="B34" s="96">
        <f t="shared" si="15"/>
        <v>35600</v>
      </c>
      <c r="C34" s="93">
        <f t="shared" si="16"/>
        <v>-2225.146413252884</v>
      </c>
      <c r="D34" s="94">
        <f t="shared" si="14"/>
        <v>33374.853586747115</v>
      </c>
      <c r="F34" s="92">
        <v>4</v>
      </c>
      <c r="G34" s="94">
        <f t="shared" si="17"/>
        <v>27600</v>
      </c>
      <c r="I34" s="92">
        <v>4</v>
      </c>
      <c r="J34" s="95">
        <f t="shared" si="18"/>
        <v>35600</v>
      </c>
      <c r="K34" s="78"/>
      <c r="L34" s="92">
        <v>4</v>
      </c>
      <c r="M34" s="95">
        <f t="shared" si="19"/>
        <v>28100</v>
      </c>
      <c r="P34" s="78"/>
      <c r="Q34" s="92">
        <v>4</v>
      </c>
      <c r="R34" s="95">
        <f t="shared" si="20"/>
        <v>33500</v>
      </c>
      <c r="T34" s="92">
        <v>4</v>
      </c>
      <c r="U34" s="95">
        <f t="shared" si="21"/>
        <v>25500</v>
      </c>
    </row>
    <row r="35" spans="1:21" ht="15.75" customHeight="1" x14ac:dyDescent="0.25">
      <c r="A35" s="92">
        <v>5</v>
      </c>
      <c r="B35" s="96">
        <f t="shared" si="15"/>
        <v>35600</v>
      </c>
      <c r="C35" s="93">
        <f t="shared" si="16"/>
        <v>-2225.146413252884</v>
      </c>
      <c r="D35" s="94">
        <f t="shared" si="14"/>
        <v>33374.853586747115</v>
      </c>
      <c r="F35" s="92">
        <v>5</v>
      </c>
      <c r="G35" s="94">
        <f t="shared" si="17"/>
        <v>27600</v>
      </c>
      <c r="I35" s="92">
        <v>5</v>
      </c>
      <c r="J35" s="95">
        <f t="shared" si="18"/>
        <v>35600</v>
      </c>
      <c r="K35" s="78"/>
      <c r="L35" s="92">
        <v>5</v>
      </c>
      <c r="M35" s="95">
        <f t="shared" si="19"/>
        <v>28100</v>
      </c>
      <c r="P35" s="78"/>
      <c r="Q35" s="92">
        <v>5</v>
      </c>
      <c r="R35" s="95">
        <f t="shared" si="20"/>
        <v>33500</v>
      </c>
      <c r="T35" s="92">
        <v>5</v>
      </c>
      <c r="U35" s="95">
        <f t="shared" si="21"/>
        <v>25500</v>
      </c>
    </row>
    <row r="36" spans="1:21" ht="15.75" customHeight="1" x14ac:dyDescent="0.25">
      <c r="A36" s="92">
        <v>6</v>
      </c>
      <c r="B36" s="96">
        <f t="shared" si="15"/>
        <v>35600</v>
      </c>
      <c r="C36" s="93">
        <f t="shared" si="16"/>
        <v>-2225.146413252884</v>
      </c>
      <c r="D36" s="94">
        <f t="shared" si="14"/>
        <v>33374.853586747115</v>
      </c>
      <c r="F36" s="92">
        <v>6</v>
      </c>
      <c r="G36" s="94">
        <f t="shared" si="17"/>
        <v>27600</v>
      </c>
      <c r="I36" s="92">
        <v>6</v>
      </c>
      <c r="J36" s="95">
        <f t="shared" si="18"/>
        <v>35600</v>
      </c>
      <c r="K36" s="78"/>
      <c r="L36" s="92">
        <v>6</v>
      </c>
      <c r="M36" s="95">
        <f t="shared" si="19"/>
        <v>28100</v>
      </c>
      <c r="P36" s="78"/>
      <c r="Q36" s="92">
        <v>6</v>
      </c>
      <c r="R36" s="95">
        <f t="shared" si="20"/>
        <v>33500</v>
      </c>
      <c r="T36" s="92">
        <v>6</v>
      </c>
      <c r="U36" s="95">
        <f t="shared" si="21"/>
        <v>25500</v>
      </c>
    </row>
    <row r="37" spans="1:21" ht="15.75" customHeight="1" x14ac:dyDescent="0.25">
      <c r="A37" s="92">
        <v>7</v>
      </c>
      <c r="B37" s="96">
        <f t="shared" si="15"/>
        <v>35600</v>
      </c>
      <c r="C37" s="93">
        <f t="shared" si="16"/>
        <v>-2225.146413252884</v>
      </c>
      <c r="D37" s="94">
        <f t="shared" si="14"/>
        <v>33374.853586747115</v>
      </c>
      <c r="F37" s="92">
        <v>7</v>
      </c>
      <c r="G37" s="94">
        <f t="shared" si="17"/>
        <v>27600</v>
      </c>
      <c r="I37" s="92">
        <v>7</v>
      </c>
      <c r="J37" s="95">
        <f t="shared" si="18"/>
        <v>35600</v>
      </c>
      <c r="K37" s="78"/>
      <c r="L37" s="92">
        <v>7</v>
      </c>
      <c r="M37" s="95">
        <f t="shared" si="19"/>
        <v>28100</v>
      </c>
      <c r="P37" s="78"/>
      <c r="Q37" s="92">
        <v>7</v>
      </c>
      <c r="R37" s="95">
        <f t="shared" si="20"/>
        <v>33500</v>
      </c>
      <c r="T37" s="92">
        <v>7</v>
      </c>
      <c r="U37" s="95">
        <f t="shared" si="21"/>
        <v>25500</v>
      </c>
    </row>
    <row r="38" spans="1:21" ht="15.75" customHeight="1" x14ac:dyDescent="0.25">
      <c r="A38" s="92">
        <v>8</v>
      </c>
      <c r="B38" s="96">
        <f t="shared" si="15"/>
        <v>35600</v>
      </c>
      <c r="C38" s="93">
        <f t="shared" si="16"/>
        <v>-2225.146413252884</v>
      </c>
      <c r="D38" s="94">
        <f t="shared" si="14"/>
        <v>33374.853586747115</v>
      </c>
      <c r="F38" s="92">
        <v>8</v>
      </c>
      <c r="G38" s="94">
        <f t="shared" si="17"/>
        <v>27600</v>
      </c>
      <c r="I38" s="92">
        <v>8</v>
      </c>
      <c r="J38" s="95">
        <f t="shared" si="18"/>
        <v>35600</v>
      </c>
      <c r="K38" s="78"/>
      <c r="L38" s="92">
        <v>8</v>
      </c>
      <c r="M38" s="95">
        <f t="shared" si="19"/>
        <v>28100</v>
      </c>
      <c r="P38" s="78"/>
      <c r="Q38" s="92">
        <v>8</v>
      </c>
      <c r="R38" s="95">
        <f t="shared" si="20"/>
        <v>33500</v>
      </c>
      <c r="T38" s="92">
        <v>8</v>
      </c>
      <c r="U38" s="95">
        <f t="shared" si="21"/>
        <v>25500</v>
      </c>
    </row>
    <row r="39" spans="1:21" ht="15.75" customHeight="1" x14ac:dyDescent="0.25">
      <c r="A39" s="92">
        <v>9</v>
      </c>
      <c r="B39" s="96">
        <f t="shared" si="15"/>
        <v>35600</v>
      </c>
      <c r="C39" s="93">
        <f t="shared" si="16"/>
        <v>-2225.146413252884</v>
      </c>
      <c r="D39" s="94">
        <f t="shared" si="14"/>
        <v>33374.853586747115</v>
      </c>
      <c r="F39" s="92">
        <v>9</v>
      </c>
      <c r="G39" s="94">
        <f t="shared" si="17"/>
        <v>27600</v>
      </c>
      <c r="I39" s="92">
        <v>9</v>
      </c>
      <c r="J39" s="95">
        <f t="shared" si="18"/>
        <v>35600</v>
      </c>
      <c r="K39" s="78"/>
      <c r="L39" s="92">
        <v>9</v>
      </c>
      <c r="M39" s="95">
        <f t="shared" si="19"/>
        <v>28100</v>
      </c>
      <c r="P39" s="78"/>
      <c r="Q39" s="92">
        <v>9</v>
      </c>
      <c r="R39" s="95">
        <f t="shared" si="20"/>
        <v>33500</v>
      </c>
      <c r="T39" s="92">
        <v>9</v>
      </c>
      <c r="U39" s="95">
        <f t="shared" si="21"/>
        <v>25500</v>
      </c>
    </row>
    <row r="40" spans="1:21" ht="15.75" customHeight="1" x14ac:dyDescent="0.25">
      <c r="A40" s="100">
        <v>10</v>
      </c>
      <c r="B40" s="118">
        <f t="shared" si="15"/>
        <v>35600</v>
      </c>
      <c r="C40" s="119">
        <f t="shared" si="16"/>
        <v>-2225.146413252884</v>
      </c>
      <c r="D40" s="120">
        <f t="shared" si="14"/>
        <v>33374.853586747115</v>
      </c>
      <c r="F40" s="97">
        <v>10</v>
      </c>
      <c r="G40" s="99">
        <f t="shared" si="17"/>
        <v>27600</v>
      </c>
      <c r="I40" s="100">
        <v>10</v>
      </c>
      <c r="J40" s="101">
        <f t="shared" si="18"/>
        <v>35600</v>
      </c>
      <c r="K40" s="78"/>
      <c r="L40" s="97">
        <v>10</v>
      </c>
      <c r="M40" s="101">
        <f t="shared" si="19"/>
        <v>28100</v>
      </c>
      <c r="P40" s="78"/>
      <c r="Q40" s="97">
        <v>10</v>
      </c>
      <c r="R40" s="101">
        <f t="shared" si="20"/>
        <v>33500</v>
      </c>
      <c r="T40" s="97">
        <v>10</v>
      </c>
      <c r="U40" s="101">
        <f t="shared" si="21"/>
        <v>25500</v>
      </c>
    </row>
    <row r="41" spans="1:21" ht="15.75" customHeight="1" x14ac:dyDescent="0.3">
      <c r="A41" s="107" t="s">
        <v>55</v>
      </c>
      <c r="B41" s="89">
        <f t="shared" ref="B41:D41" si="22">NPV(15%,B31:B40)+B30</f>
        <v>69668.163080410566</v>
      </c>
      <c r="C41" s="89">
        <f t="shared" si="22"/>
        <v>-1167.4950067656482</v>
      </c>
      <c r="D41" s="89">
        <f t="shared" si="22"/>
        <v>68500.668073644949</v>
      </c>
      <c r="F41" s="107" t="s">
        <v>55</v>
      </c>
      <c r="G41" s="108">
        <f t="array" ref="G41">NPV(15%,G31:G40)+G30</f>
        <v>44518.014073576749</v>
      </c>
      <c r="I41" s="107" t="s">
        <v>55</v>
      </c>
      <c r="J41" s="108">
        <f t="array" ref="J41">NPV(15%,J31:J40)+J30</f>
        <v>94668.163080410566</v>
      </c>
      <c r="K41" s="78"/>
      <c r="L41" s="107" t="s">
        <v>55</v>
      </c>
      <c r="M41" s="108">
        <f t="array" ref="M41">NPV(15%,M31:M40)+M30</f>
        <v>46027.39838650389</v>
      </c>
      <c r="P41" s="78"/>
      <c r="Q41" s="107" t="s">
        <v>55</v>
      </c>
      <c r="R41" s="108">
        <f t="array" ref="R41">NPV(15%,R31:R40)+R30</f>
        <v>69128.74896611672</v>
      </c>
      <c r="T41" s="107" t="s">
        <v>55</v>
      </c>
      <c r="U41" s="108">
        <f t="array" ref="U41">NPV(15%,U31:U40)+U30</f>
        <v>43978.599959282859</v>
      </c>
    </row>
    <row r="42" spans="1:21" ht="15.75" customHeight="1" x14ac:dyDescent="0.3">
      <c r="A42" s="114" t="s">
        <v>56</v>
      </c>
      <c r="B42" s="118">
        <f t="shared" ref="B42:D42" si="23">NPV(20%,B31:B40)+B30</f>
        <v>40252.006245607452</v>
      </c>
      <c r="C42" s="118">
        <f t="shared" si="23"/>
        <v>671.13577617386181</v>
      </c>
      <c r="D42" s="118">
        <f t="shared" si="23"/>
        <v>40923.142021781357</v>
      </c>
      <c r="F42" s="114" t="s">
        <v>56</v>
      </c>
      <c r="G42" s="115">
        <f t="array" ref="G42">NPV(20%,G31:G40)+G30</f>
        <v>21712.229561201297</v>
      </c>
      <c r="I42" s="114" t="s">
        <v>56</v>
      </c>
      <c r="J42" s="115">
        <f t="array" ref="J42">NPV(20%,J31:J40)+J30</f>
        <v>65252.006245607452</v>
      </c>
      <c r="K42" s="78"/>
      <c r="L42" s="114" t="s">
        <v>56</v>
      </c>
      <c r="M42" s="115">
        <f t="array" ref="M42">NPV(20%,M31:M40)+M30</f>
        <v>22808.465603976685</v>
      </c>
      <c r="P42" s="78"/>
      <c r="Q42" s="114" t="s">
        <v>56</v>
      </c>
      <c r="R42" s="115">
        <f t="array" ref="R42">NPV(20%,R31:R40)+R30</f>
        <v>41447.814865950873</v>
      </c>
      <c r="T42" s="114" t="s">
        <v>56</v>
      </c>
      <c r="U42" s="115">
        <f t="array" ref="U42">NPV(20%,U31:U40)+U30</f>
        <v>22908.038181544674</v>
      </c>
    </row>
    <row r="47" spans="1:21" ht="15.75" customHeight="1" x14ac:dyDescent="0.3">
      <c r="B47" s="121" t="s">
        <v>63</v>
      </c>
      <c r="C47" s="122" t="s">
        <v>55</v>
      </c>
      <c r="D47" s="123" t="s">
        <v>56</v>
      </c>
    </row>
    <row r="48" spans="1:21" ht="15.75" customHeight="1" x14ac:dyDescent="0.25">
      <c r="B48" s="124" t="s">
        <v>64</v>
      </c>
      <c r="C48" s="125">
        <f>D25</f>
        <v>75028.821012426284</v>
      </c>
      <c r="D48" s="126">
        <f>D26</f>
        <v>46211.850150107464</v>
      </c>
    </row>
    <row r="49" spans="2:4" ht="15.75" customHeight="1" x14ac:dyDescent="0.25">
      <c r="B49" s="127" t="s">
        <v>65</v>
      </c>
      <c r="C49" s="128">
        <f>D41</f>
        <v>68500.668073644949</v>
      </c>
      <c r="D49" s="129">
        <f>D42</f>
        <v>40923.142021781357</v>
      </c>
    </row>
    <row r="50" spans="2:4" ht="15.75" customHeight="1" x14ac:dyDescent="0.25">
      <c r="B50" s="127" t="s">
        <v>66</v>
      </c>
      <c r="C50" s="128">
        <f>G25</f>
        <v>51046.167012358113</v>
      </c>
      <c r="D50" s="129">
        <f>G26</f>
        <v>27000.937689527476</v>
      </c>
    </row>
    <row r="51" spans="2:4" ht="15.75" customHeight="1" x14ac:dyDescent="0.25">
      <c r="B51" s="127" t="s">
        <v>67</v>
      </c>
      <c r="C51" s="128">
        <f>G41</f>
        <v>44518.014073576749</v>
      </c>
      <c r="D51" s="129">
        <f>G42</f>
        <v>21712.229561201297</v>
      </c>
    </row>
    <row r="52" spans="2:4" ht="15.75" customHeight="1" x14ac:dyDescent="0.25">
      <c r="B52" s="127" t="s">
        <v>68</v>
      </c>
      <c r="C52" s="128">
        <f>J25</f>
        <v>101196.31601919199</v>
      </c>
      <c r="D52" s="129">
        <f>J26</f>
        <v>70540.714373933646</v>
      </c>
    </row>
    <row r="53" spans="2:4" ht="12.5" x14ac:dyDescent="0.25">
      <c r="B53" s="127" t="s">
        <v>69</v>
      </c>
      <c r="C53" s="128">
        <f>J41</f>
        <v>94668.163080410566</v>
      </c>
      <c r="D53" s="129">
        <f>J42</f>
        <v>65252.006245607452</v>
      </c>
    </row>
    <row r="54" spans="2:4" ht="12.5" x14ac:dyDescent="0.25">
      <c r="B54" s="127" t="s">
        <v>70</v>
      </c>
      <c r="C54" s="128">
        <f>O25</f>
        <v>70010.05238657209</v>
      </c>
      <c r="D54" s="129">
        <f>O26</f>
        <v>42019.378064556746</v>
      </c>
    </row>
    <row r="55" spans="2:4" ht="12.5" x14ac:dyDescent="0.25">
      <c r="B55" s="127" t="s">
        <v>71</v>
      </c>
      <c r="C55" s="128">
        <f>M41</f>
        <v>46027.39838650389</v>
      </c>
      <c r="D55" s="129">
        <f>M42</f>
        <v>22808.465603976685</v>
      </c>
    </row>
    <row r="56" spans="2:4" ht="12.5" x14ac:dyDescent="0.25">
      <c r="B56" s="127" t="s">
        <v>72</v>
      </c>
      <c r="C56" s="128">
        <f>R25</f>
        <v>75656.901904898114</v>
      </c>
      <c r="D56" s="129">
        <f>R26</f>
        <v>46736.522994277009</v>
      </c>
    </row>
    <row r="57" spans="2:4" ht="12.5" x14ac:dyDescent="0.25">
      <c r="B57" s="127" t="s">
        <v>73</v>
      </c>
      <c r="C57" s="128">
        <f>R41</f>
        <v>69128.74896611672</v>
      </c>
      <c r="D57" s="129">
        <f>R42</f>
        <v>41447.814865950873</v>
      </c>
    </row>
    <row r="58" spans="2:4" ht="12.5" x14ac:dyDescent="0.25">
      <c r="B58" s="127" t="s">
        <v>74</v>
      </c>
      <c r="C58" s="128">
        <f>U25</f>
        <v>50506.752898064209</v>
      </c>
      <c r="D58" s="129">
        <f>U26</f>
        <v>28196.746309870825</v>
      </c>
    </row>
    <row r="59" spans="2:4" ht="12.5" x14ac:dyDescent="0.25">
      <c r="B59" s="130" t="s">
        <v>75</v>
      </c>
      <c r="C59" s="112">
        <f>U41</f>
        <v>43978.599959282859</v>
      </c>
      <c r="D59" s="113">
        <f>U42</f>
        <v>22908.038181544674</v>
      </c>
    </row>
    <row r="61" spans="2:4" ht="12.5" x14ac:dyDescent="0.25">
      <c r="B61" s="78" t="s">
        <v>76</v>
      </c>
    </row>
  </sheetData>
  <mergeCells count="18">
    <mergeCell ref="I12:J12"/>
    <mergeCell ref="A28:D28"/>
    <mergeCell ref="F28:G28"/>
    <mergeCell ref="I28:J28"/>
    <mergeCell ref="A12:D12"/>
    <mergeCell ref="F12:G12"/>
    <mergeCell ref="L28:M28"/>
    <mergeCell ref="Q28:R28"/>
    <mergeCell ref="T28:U28"/>
    <mergeCell ref="L12:O12"/>
    <mergeCell ref="Q12:R12"/>
    <mergeCell ref="T12:U12"/>
    <mergeCell ref="B3:D3"/>
    <mergeCell ref="B4:D9"/>
    <mergeCell ref="A11:G11"/>
    <mergeCell ref="L11:O11"/>
    <mergeCell ref="Q11:U11"/>
    <mergeCell ref="I11:J11"/>
  </mergeCells>
  <conditionalFormatting sqref="A1:BF1">
    <cfRule type="cellIs" dxfId="1" priority="1" operator="less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66"/>
  <sheetViews>
    <sheetView workbookViewId="0">
      <selection activeCell="Q16" sqref="Q16"/>
    </sheetView>
  </sheetViews>
  <sheetFormatPr defaultColWidth="12.6328125" defaultRowHeight="15.75" customHeight="1" x14ac:dyDescent="0.25"/>
  <sheetData>
    <row r="1" spans="1:24" ht="15.75" customHeight="1" x14ac:dyDescent="0.25">
      <c r="A1" s="131"/>
      <c r="B1" s="132" t="s">
        <v>9</v>
      </c>
      <c r="C1" s="132" t="s">
        <v>11</v>
      </c>
      <c r="D1" s="132" t="s">
        <v>13</v>
      </c>
      <c r="E1" s="132" t="s">
        <v>15</v>
      </c>
      <c r="F1" s="131"/>
      <c r="G1" s="131"/>
      <c r="H1" s="131"/>
      <c r="I1" s="131"/>
      <c r="J1" s="131"/>
      <c r="K1" s="131"/>
      <c r="L1" s="131"/>
      <c r="M1" s="131"/>
      <c r="N1" s="131"/>
      <c r="O1" s="131"/>
      <c r="P1" s="131"/>
      <c r="Q1" s="131"/>
      <c r="R1" s="131"/>
    </row>
    <row r="2" spans="1:24" ht="15.75" customHeight="1" x14ac:dyDescent="0.25">
      <c r="A2" s="133" t="s">
        <v>5</v>
      </c>
      <c r="B2" s="134">
        <v>20000</v>
      </c>
      <c r="C2" s="134">
        <v>30000</v>
      </c>
      <c r="D2" s="134">
        <v>35000</v>
      </c>
      <c r="E2" s="134">
        <v>40000</v>
      </c>
      <c r="F2" s="131"/>
      <c r="G2" s="131"/>
      <c r="H2" s="131"/>
      <c r="K2" s="131"/>
      <c r="L2" s="131"/>
      <c r="M2" s="131"/>
      <c r="N2" s="131"/>
      <c r="O2" s="131"/>
      <c r="P2" s="131"/>
      <c r="Q2" s="131"/>
      <c r="R2" s="131"/>
    </row>
    <row r="3" spans="1:24" ht="15.75" customHeight="1" x14ac:dyDescent="0.25">
      <c r="A3" s="135" t="s">
        <v>77</v>
      </c>
      <c r="B3" s="134">
        <v>4900</v>
      </c>
      <c r="C3" s="134">
        <v>7500</v>
      </c>
      <c r="D3" s="134">
        <v>9100</v>
      </c>
      <c r="E3" s="134">
        <v>10000</v>
      </c>
      <c r="F3" s="131"/>
      <c r="G3" s="131"/>
      <c r="H3" s="131"/>
      <c r="I3" s="131"/>
      <c r="J3" s="131"/>
      <c r="K3" s="131"/>
      <c r="L3" s="131"/>
      <c r="M3" s="131"/>
      <c r="N3" s="131"/>
      <c r="O3" s="131"/>
      <c r="P3" s="131"/>
      <c r="Q3" s="131"/>
      <c r="R3" s="131"/>
    </row>
    <row r="4" spans="1:24" ht="15.75" customHeight="1" x14ac:dyDescent="0.25">
      <c r="A4" s="135" t="s">
        <v>78</v>
      </c>
      <c r="B4" s="136">
        <v>1</v>
      </c>
      <c r="C4" s="136">
        <v>1</v>
      </c>
      <c r="D4" s="136">
        <v>1</v>
      </c>
      <c r="E4" s="136">
        <v>1</v>
      </c>
      <c r="F4" s="131"/>
      <c r="G4" s="131"/>
      <c r="H4" s="131"/>
      <c r="I4" s="131"/>
      <c r="J4" s="131"/>
      <c r="K4" s="131"/>
      <c r="L4" s="131"/>
      <c r="M4" s="131"/>
      <c r="N4" s="131"/>
      <c r="O4" s="131"/>
      <c r="P4" s="131"/>
      <c r="Q4" s="131"/>
      <c r="R4" s="131"/>
    </row>
    <row r="5" spans="1:24" ht="15.75" customHeight="1" x14ac:dyDescent="0.25">
      <c r="A5" s="135" t="s">
        <v>79</v>
      </c>
      <c r="B5" s="134">
        <v>4900</v>
      </c>
      <c r="C5" s="134">
        <v>7500</v>
      </c>
      <c r="D5" s="134">
        <v>9100</v>
      </c>
      <c r="E5" s="134">
        <v>10000</v>
      </c>
      <c r="F5" s="131"/>
      <c r="M5" s="131"/>
      <c r="N5" s="131"/>
      <c r="O5" s="131"/>
      <c r="P5" s="131"/>
      <c r="Q5" s="131"/>
      <c r="R5" s="131"/>
      <c r="S5" s="131"/>
      <c r="T5" s="131"/>
      <c r="U5" s="131"/>
      <c r="V5" s="131"/>
      <c r="W5" s="131"/>
      <c r="X5" s="131"/>
    </row>
    <row r="6" spans="1:24" ht="15.5" x14ac:dyDescent="0.35">
      <c r="A6" s="135" t="s">
        <v>7</v>
      </c>
      <c r="B6" s="137">
        <v>10</v>
      </c>
      <c r="C6" s="137">
        <v>10</v>
      </c>
      <c r="D6" s="137">
        <v>10</v>
      </c>
      <c r="E6" s="137">
        <v>10</v>
      </c>
      <c r="F6" s="131"/>
      <c r="G6" s="138"/>
      <c r="H6" s="131"/>
      <c r="I6" s="131"/>
      <c r="J6" s="131"/>
      <c r="K6" s="131"/>
      <c r="L6" s="131"/>
      <c r="M6" s="131"/>
      <c r="N6" s="131"/>
      <c r="O6" s="131"/>
      <c r="P6" s="131"/>
      <c r="Q6" s="131"/>
      <c r="R6" s="131"/>
      <c r="S6" s="131"/>
      <c r="T6" s="131"/>
      <c r="U6" s="131"/>
      <c r="V6" s="131"/>
      <c r="W6" s="131"/>
      <c r="X6" s="131"/>
    </row>
    <row r="7" spans="1:24" ht="26" x14ac:dyDescent="0.35">
      <c r="A7" s="135" t="s">
        <v>80</v>
      </c>
      <c r="B7" s="137">
        <v>0</v>
      </c>
      <c r="C7" s="137">
        <v>0</v>
      </c>
      <c r="D7" s="137">
        <v>0</v>
      </c>
      <c r="E7" s="137">
        <v>0</v>
      </c>
      <c r="F7" s="131"/>
      <c r="G7" s="139"/>
      <c r="H7" s="131"/>
      <c r="I7" s="131"/>
      <c r="J7" s="131"/>
      <c r="K7" s="131"/>
      <c r="L7" s="131"/>
      <c r="M7" s="131"/>
      <c r="N7" s="131"/>
      <c r="O7" s="131"/>
      <c r="P7" s="131"/>
      <c r="Q7" s="131"/>
      <c r="R7" s="131"/>
      <c r="S7" s="131"/>
      <c r="T7" s="131"/>
      <c r="U7" s="131"/>
      <c r="V7" s="131"/>
      <c r="W7" s="131"/>
      <c r="X7" s="131"/>
    </row>
    <row r="8" spans="1:24" ht="26" x14ac:dyDescent="0.35">
      <c r="A8" s="135" t="s">
        <v>81</v>
      </c>
      <c r="B8" s="136">
        <v>1</v>
      </c>
      <c r="C8" s="136">
        <v>1</v>
      </c>
      <c r="D8" s="136">
        <v>1</v>
      </c>
      <c r="E8" s="136">
        <v>1</v>
      </c>
      <c r="F8" s="131"/>
      <c r="G8" s="138"/>
      <c r="H8" s="131"/>
      <c r="I8" s="131"/>
      <c r="J8" s="131"/>
      <c r="K8" s="131"/>
      <c r="L8" s="131"/>
      <c r="M8" s="131"/>
      <c r="N8" s="131"/>
      <c r="O8" s="131"/>
      <c r="P8" s="131"/>
      <c r="Q8" s="131"/>
      <c r="R8" s="131"/>
      <c r="S8" s="131"/>
      <c r="T8" s="131"/>
      <c r="U8" s="131"/>
      <c r="V8" s="131"/>
      <c r="W8" s="131"/>
      <c r="X8" s="131"/>
    </row>
    <row r="9" spans="1:24" ht="26" x14ac:dyDescent="0.35">
      <c r="A9" s="133" t="s">
        <v>82</v>
      </c>
      <c r="B9" s="137">
        <v>0</v>
      </c>
      <c r="C9" s="137">
        <v>0</v>
      </c>
      <c r="D9" s="137">
        <v>0</v>
      </c>
      <c r="E9" s="137">
        <v>0</v>
      </c>
      <c r="F9" s="131"/>
      <c r="G9" s="139"/>
      <c r="H9" s="131"/>
      <c r="I9" s="131"/>
      <c r="J9" s="131"/>
      <c r="K9" s="131"/>
      <c r="L9" s="131"/>
      <c r="M9" s="131"/>
      <c r="N9" s="131"/>
      <c r="O9" s="131"/>
      <c r="P9" s="131"/>
      <c r="Q9" s="131"/>
      <c r="R9" s="131"/>
      <c r="S9" s="131"/>
      <c r="T9" s="131"/>
      <c r="U9" s="131"/>
      <c r="V9" s="131"/>
      <c r="W9" s="131"/>
      <c r="X9" s="131"/>
    </row>
    <row r="10" spans="1:24" ht="15.75" customHeight="1" x14ac:dyDescent="0.25">
      <c r="A10" s="140" t="s">
        <v>24</v>
      </c>
      <c r="B10" s="141">
        <v>0.15</v>
      </c>
      <c r="C10" s="141">
        <v>0.15</v>
      </c>
      <c r="D10" s="141">
        <v>0.15</v>
      </c>
      <c r="E10" s="141">
        <v>0.15</v>
      </c>
      <c r="F10" s="142"/>
      <c r="G10" s="142"/>
      <c r="H10" s="142"/>
      <c r="I10" s="142"/>
      <c r="J10" s="131"/>
      <c r="K10" s="131"/>
      <c r="L10" s="131"/>
      <c r="M10" s="131"/>
      <c r="N10" s="131"/>
      <c r="O10" s="131"/>
      <c r="P10" s="131"/>
      <c r="Q10" s="131"/>
      <c r="R10" s="131"/>
      <c r="S10" s="131"/>
      <c r="T10" s="131"/>
      <c r="U10" s="131"/>
      <c r="V10" s="131"/>
      <c r="W10" s="131"/>
      <c r="X10" s="131"/>
    </row>
    <row r="11" spans="1:24" ht="15.75" customHeight="1" x14ac:dyDescent="0.25">
      <c r="A11" s="140" t="s">
        <v>83</v>
      </c>
      <c r="B11" s="141">
        <v>0.2</v>
      </c>
      <c r="C11" s="141">
        <v>0.2</v>
      </c>
      <c r="D11" s="141">
        <v>0.2</v>
      </c>
      <c r="E11" s="141">
        <v>0.2</v>
      </c>
      <c r="F11" s="131"/>
      <c r="G11" s="131"/>
      <c r="H11" s="131"/>
      <c r="I11" s="131"/>
      <c r="J11" s="131"/>
      <c r="K11" s="131"/>
      <c r="L11" s="131"/>
      <c r="M11" s="131"/>
      <c r="N11" s="131"/>
      <c r="O11" s="131"/>
      <c r="P11" s="131"/>
      <c r="Q11" s="131"/>
      <c r="R11" s="131"/>
      <c r="S11" s="131"/>
      <c r="T11" s="131"/>
      <c r="U11" s="131"/>
      <c r="V11" s="131"/>
      <c r="W11" s="131"/>
      <c r="X11" s="131"/>
    </row>
    <row r="12" spans="1:24" ht="15.75" customHeight="1" x14ac:dyDescent="0.25">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row>
    <row r="13" spans="1:24" ht="15.75" customHeight="1" x14ac:dyDescent="0.25">
      <c r="A13" s="131"/>
      <c r="B13" s="131"/>
      <c r="C13" s="131"/>
      <c r="D13" s="131"/>
      <c r="E13" s="131"/>
      <c r="F13" s="131"/>
      <c r="G13" s="131"/>
      <c r="H13" s="131"/>
      <c r="I13" s="131"/>
      <c r="J13" s="131"/>
      <c r="K13" s="131"/>
      <c r="L13" s="131"/>
      <c r="M13" s="131"/>
      <c r="N13" s="131"/>
      <c r="O13" s="131"/>
      <c r="P13" s="131"/>
      <c r="Q13" s="131"/>
      <c r="R13" s="131"/>
      <c r="S13" s="131"/>
      <c r="T13" s="131"/>
      <c r="U13" s="131"/>
      <c r="V13" s="131"/>
      <c r="W13" s="131"/>
      <c r="X13" s="131"/>
    </row>
    <row r="14" spans="1:24" ht="15.75" customHeight="1" x14ac:dyDescent="0.25">
      <c r="A14" s="131"/>
      <c r="B14" s="131"/>
      <c r="C14" s="131"/>
      <c r="D14" s="131"/>
      <c r="E14" s="131"/>
      <c r="F14" s="131"/>
      <c r="G14" s="131"/>
      <c r="H14" s="131"/>
      <c r="I14" s="131"/>
      <c r="J14" s="131"/>
      <c r="K14" s="131"/>
      <c r="L14" s="131"/>
      <c r="M14" s="131"/>
      <c r="N14" s="131"/>
      <c r="O14" s="131"/>
      <c r="P14" s="131"/>
      <c r="Q14" s="131"/>
      <c r="R14" s="131"/>
      <c r="S14" s="131"/>
      <c r="T14" s="131"/>
      <c r="U14" s="131"/>
      <c r="V14" s="131"/>
      <c r="W14" s="131"/>
      <c r="X14" s="131"/>
    </row>
    <row r="15" spans="1:24" ht="15.75" customHeight="1" x14ac:dyDescent="0.3">
      <c r="A15" s="143" t="s">
        <v>84</v>
      </c>
      <c r="B15" s="144"/>
      <c r="C15" s="145"/>
      <c r="D15" s="145"/>
      <c r="E15" s="145"/>
      <c r="F15" s="145"/>
      <c r="G15" s="145"/>
      <c r="H15" s="145"/>
      <c r="I15" s="143" t="s">
        <v>85</v>
      </c>
      <c r="J15" s="145"/>
      <c r="K15" s="145"/>
      <c r="L15" s="145"/>
      <c r="M15" s="145"/>
      <c r="N15" s="145"/>
      <c r="O15" s="145"/>
      <c r="P15" s="145"/>
      <c r="Q15" s="143" t="s">
        <v>86</v>
      </c>
      <c r="R15" s="145"/>
      <c r="S15" s="145"/>
      <c r="T15" s="145"/>
      <c r="U15" s="145"/>
      <c r="V15" s="145"/>
      <c r="W15" s="145"/>
      <c r="X15" s="145"/>
    </row>
    <row r="16" spans="1:24" ht="15.75" customHeight="1" x14ac:dyDescent="0.3">
      <c r="A16" s="146" t="s">
        <v>51</v>
      </c>
      <c r="B16" s="147" t="s">
        <v>87</v>
      </c>
      <c r="C16" s="147" t="s">
        <v>88</v>
      </c>
      <c r="D16" s="147" t="s">
        <v>89</v>
      </c>
      <c r="E16" s="147" t="s">
        <v>90</v>
      </c>
      <c r="F16" s="147" t="s">
        <v>91</v>
      </c>
      <c r="G16" s="147" t="s">
        <v>92</v>
      </c>
      <c r="H16" s="147" t="s">
        <v>93</v>
      </c>
      <c r="I16" s="146" t="s">
        <v>51</v>
      </c>
      <c r="J16" s="147" t="s">
        <v>9</v>
      </c>
      <c r="K16" s="147" t="s">
        <v>11</v>
      </c>
      <c r="L16" s="147" t="s">
        <v>13</v>
      </c>
      <c r="M16" s="147" t="s">
        <v>15</v>
      </c>
      <c r="N16" s="147" t="s">
        <v>94</v>
      </c>
      <c r="O16" s="147" t="s">
        <v>92</v>
      </c>
      <c r="P16" s="147" t="s">
        <v>93</v>
      </c>
      <c r="Q16" s="146" t="s">
        <v>51</v>
      </c>
      <c r="R16" s="147" t="s">
        <v>9</v>
      </c>
      <c r="S16" s="147" t="s">
        <v>11</v>
      </c>
      <c r="T16" s="147" t="s">
        <v>13</v>
      </c>
      <c r="U16" s="147" t="s">
        <v>15</v>
      </c>
      <c r="V16" s="147" t="s">
        <v>94</v>
      </c>
      <c r="W16" s="147" t="s">
        <v>92</v>
      </c>
      <c r="X16" s="147" t="s">
        <v>93</v>
      </c>
    </row>
    <row r="17" spans="1:24" ht="15.75" customHeight="1" x14ac:dyDescent="0.25">
      <c r="A17" s="137">
        <v>0</v>
      </c>
      <c r="B17" s="148">
        <v>-20000</v>
      </c>
      <c r="C17" s="148">
        <v>-30000</v>
      </c>
      <c r="D17" s="148">
        <v>-35000</v>
      </c>
      <c r="E17" s="148">
        <v>-40000</v>
      </c>
      <c r="F17" s="148">
        <f t="shared" ref="F17:H17" si="0">C17-B17</f>
        <v>-10000</v>
      </c>
      <c r="G17" s="148">
        <f t="shared" si="0"/>
        <v>-5000</v>
      </c>
      <c r="H17" s="148">
        <f t="shared" si="0"/>
        <v>-5000</v>
      </c>
      <c r="I17" s="137">
        <v>0</v>
      </c>
      <c r="J17" s="148">
        <v>-20000</v>
      </c>
      <c r="K17" s="148">
        <v>-30000</v>
      </c>
      <c r="L17" s="148">
        <v>-35000</v>
      </c>
      <c r="M17" s="148">
        <v>-40000</v>
      </c>
      <c r="N17" s="148">
        <f t="shared" ref="N17:P17" si="1">K17-J17</f>
        <v>-10000</v>
      </c>
      <c r="O17" s="148">
        <f t="shared" si="1"/>
        <v>-5000</v>
      </c>
      <c r="P17" s="148">
        <f t="shared" si="1"/>
        <v>-5000</v>
      </c>
      <c r="Q17" s="137">
        <v>0</v>
      </c>
      <c r="R17" s="148">
        <v>-20000</v>
      </c>
      <c r="S17" s="148">
        <v>-30000</v>
      </c>
      <c r="T17" s="148">
        <v>-35000</v>
      </c>
      <c r="U17" s="148">
        <v>-40000</v>
      </c>
      <c r="V17" s="148">
        <f t="shared" ref="V17:X17" si="2">S17-R17</f>
        <v>-10000</v>
      </c>
      <c r="W17" s="148">
        <f t="shared" si="2"/>
        <v>-5000</v>
      </c>
      <c r="X17" s="148">
        <f t="shared" si="2"/>
        <v>-5000</v>
      </c>
    </row>
    <row r="18" spans="1:24" ht="15.75" customHeight="1" x14ac:dyDescent="0.25">
      <c r="A18" s="137">
        <v>1</v>
      </c>
      <c r="B18" s="134">
        <v>4900</v>
      </c>
      <c r="C18" s="134">
        <v>7500</v>
      </c>
      <c r="D18" s="134">
        <v>9100</v>
      </c>
      <c r="E18" s="134">
        <v>10000</v>
      </c>
      <c r="F18" s="134">
        <f t="shared" ref="F18:H18" si="3">C18-B18</f>
        <v>2600</v>
      </c>
      <c r="G18" s="134">
        <f t="shared" si="3"/>
        <v>1600</v>
      </c>
      <c r="H18" s="134">
        <f t="shared" si="3"/>
        <v>900</v>
      </c>
      <c r="I18" s="137">
        <v>1</v>
      </c>
      <c r="J18" s="134">
        <v>4900</v>
      </c>
      <c r="K18" s="134">
        <v>7500</v>
      </c>
      <c r="L18" s="134">
        <v>9100</v>
      </c>
      <c r="M18" s="134">
        <v>10000</v>
      </c>
      <c r="N18" s="134">
        <f t="shared" ref="N18:P18" si="4">K18-J18</f>
        <v>2600</v>
      </c>
      <c r="O18" s="134">
        <f t="shared" si="4"/>
        <v>1600</v>
      </c>
      <c r="P18" s="134">
        <f t="shared" si="4"/>
        <v>900</v>
      </c>
      <c r="Q18" s="137">
        <v>1</v>
      </c>
      <c r="R18" s="134">
        <v>4900</v>
      </c>
      <c r="S18" s="134">
        <v>7500</v>
      </c>
      <c r="T18" s="134">
        <v>9100</v>
      </c>
      <c r="U18" s="134">
        <v>10000</v>
      </c>
      <c r="V18" s="134">
        <f t="shared" ref="V18:X18" si="5">S18-R18</f>
        <v>2600</v>
      </c>
      <c r="W18" s="134">
        <f t="shared" si="5"/>
        <v>1600</v>
      </c>
      <c r="X18" s="134">
        <f t="shared" si="5"/>
        <v>900</v>
      </c>
    </row>
    <row r="19" spans="1:24" ht="15.75" customHeight="1" x14ac:dyDescent="0.25">
      <c r="A19" s="137">
        <v>2</v>
      </c>
      <c r="B19" s="134">
        <v>4900</v>
      </c>
      <c r="C19" s="134">
        <v>7500</v>
      </c>
      <c r="D19" s="134">
        <v>9100</v>
      </c>
      <c r="E19" s="134">
        <v>10000</v>
      </c>
      <c r="F19" s="134">
        <f t="shared" ref="F19:H19" si="6">C19-B19</f>
        <v>2600</v>
      </c>
      <c r="G19" s="134">
        <f t="shared" si="6"/>
        <v>1600</v>
      </c>
      <c r="H19" s="134">
        <f t="shared" si="6"/>
        <v>900</v>
      </c>
      <c r="I19" s="137">
        <v>2</v>
      </c>
      <c r="J19" s="134">
        <v>4900</v>
      </c>
      <c r="K19" s="134">
        <v>7500</v>
      </c>
      <c r="L19" s="134">
        <v>9100</v>
      </c>
      <c r="M19" s="134">
        <v>10000</v>
      </c>
      <c r="N19" s="134">
        <f t="shared" ref="N19:P19" si="7">K19-J19</f>
        <v>2600</v>
      </c>
      <c r="O19" s="134">
        <f t="shared" si="7"/>
        <v>1600</v>
      </c>
      <c r="P19" s="134">
        <f t="shared" si="7"/>
        <v>900</v>
      </c>
      <c r="Q19" s="137">
        <v>2</v>
      </c>
      <c r="R19" s="134">
        <v>4900</v>
      </c>
      <c r="S19" s="134">
        <v>7500</v>
      </c>
      <c r="T19" s="134">
        <v>9100</v>
      </c>
      <c r="U19" s="134">
        <v>10000</v>
      </c>
      <c r="V19" s="134">
        <f t="shared" ref="V19:X19" si="8">S19-R19</f>
        <v>2600</v>
      </c>
      <c r="W19" s="134">
        <f t="shared" si="8"/>
        <v>1600</v>
      </c>
      <c r="X19" s="134">
        <f t="shared" si="8"/>
        <v>900</v>
      </c>
    </row>
    <row r="20" spans="1:24" ht="15.75" customHeight="1" x14ac:dyDescent="0.25">
      <c r="A20" s="137">
        <v>3</v>
      </c>
      <c r="B20" s="134">
        <v>4900</v>
      </c>
      <c r="C20" s="134">
        <v>7500</v>
      </c>
      <c r="D20" s="134">
        <v>9100</v>
      </c>
      <c r="E20" s="134">
        <v>10000</v>
      </c>
      <c r="F20" s="134">
        <f t="shared" ref="F20:H20" si="9">C20-B20</f>
        <v>2600</v>
      </c>
      <c r="G20" s="134">
        <f t="shared" si="9"/>
        <v>1600</v>
      </c>
      <c r="H20" s="134">
        <f t="shared" si="9"/>
        <v>900</v>
      </c>
      <c r="I20" s="137">
        <v>3</v>
      </c>
      <c r="J20" s="134">
        <v>4900</v>
      </c>
      <c r="K20" s="134">
        <v>7500</v>
      </c>
      <c r="L20" s="134">
        <v>9100</v>
      </c>
      <c r="M20" s="134">
        <v>10000</v>
      </c>
      <c r="N20" s="134">
        <f t="shared" ref="N20:P20" si="10">K20-J20</f>
        <v>2600</v>
      </c>
      <c r="O20" s="134">
        <f t="shared" si="10"/>
        <v>1600</v>
      </c>
      <c r="P20" s="134">
        <f t="shared" si="10"/>
        <v>900</v>
      </c>
      <c r="Q20" s="137">
        <v>3</v>
      </c>
      <c r="R20" s="134">
        <v>4900</v>
      </c>
      <c r="S20" s="134">
        <v>7500</v>
      </c>
      <c r="T20" s="134">
        <v>9100</v>
      </c>
      <c r="U20" s="134">
        <v>10000</v>
      </c>
      <c r="V20" s="134">
        <f t="shared" ref="V20:X20" si="11">S20-R20</f>
        <v>2600</v>
      </c>
      <c r="W20" s="134">
        <f t="shared" si="11"/>
        <v>1600</v>
      </c>
      <c r="X20" s="134">
        <f t="shared" si="11"/>
        <v>900</v>
      </c>
    </row>
    <row r="21" spans="1:24" ht="15.75" customHeight="1" x14ac:dyDescent="0.25">
      <c r="A21" s="137">
        <v>4</v>
      </c>
      <c r="B21" s="134">
        <v>4900</v>
      </c>
      <c r="C21" s="134">
        <v>7500</v>
      </c>
      <c r="D21" s="134">
        <v>9100</v>
      </c>
      <c r="E21" s="134">
        <v>10000</v>
      </c>
      <c r="F21" s="134">
        <f t="shared" ref="F21:H21" si="12">C21-B21</f>
        <v>2600</v>
      </c>
      <c r="G21" s="134">
        <f t="shared" si="12"/>
        <v>1600</v>
      </c>
      <c r="H21" s="134">
        <f t="shared" si="12"/>
        <v>900</v>
      </c>
      <c r="I21" s="137">
        <v>4</v>
      </c>
      <c r="J21" s="134">
        <v>4900</v>
      </c>
      <c r="K21" s="134">
        <v>7500</v>
      </c>
      <c r="L21" s="134">
        <v>9100</v>
      </c>
      <c r="M21" s="134">
        <v>10000</v>
      </c>
      <c r="N21" s="134">
        <f t="shared" ref="N21:P21" si="13">K21-J21</f>
        <v>2600</v>
      </c>
      <c r="O21" s="134">
        <f t="shared" si="13"/>
        <v>1600</v>
      </c>
      <c r="P21" s="134">
        <f t="shared" si="13"/>
        <v>900</v>
      </c>
      <c r="Q21" s="137">
        <v>4</v>
      </c>
      <c r="R21" s="134">
        <v>4900</v>
      </c>
      <c r="S21" s="134">
        <v>7500</v>
      </c>
      <c r="T21" s="134">
        <v>9100</v>
      </c>
      <c r="U21" s="134">
        <v>10000</v>
      </c>
      <c r="V21" s="134">
        <f t="shared" ref="V21:X21" si="14">S21-R21</f>
        <v>2600</v>
      </c>
      <c r="W21" s="134">
        <f t="shared" si="14"/>
        <v>1600</v>
      </c>
      <c r="X21" s="134">
        <f t="shared" si="14"/>
        <v>900</v>
      </c>
    </row>
    <row r="22" spans="1:24" ht="15.75" customHeight="1" x14ac:dyDescent="0.25">
      <c r="A22" s="137">
        <v>5</v>
      </c>
      <c r="B22" s="134">
        <v>4900</v>
      </c>
      <c r="C22" s="134">
        <v>7500</v>
      </c>
      <c r="D22" s="134">
        <v>9100</v>
      </c>
      <c r="E22" s="134">
        <v>10000</v>
      </c>
      <c r="F22" s="134">
        <f t="shared" ref="F22:H22" si="15">C22-B22</f>
        <v>2600</v>
      </c>
      <c r="G22" s="134">
        <f t="shared" si="15"/>
        <v>1600</v>
      </c>
      <c r="H22" s="134">
        <f t="shared" si="15"/>
        <v>900</v>
      </c>
      <c r="I22" s="137">
        <v>5</v>
      </c>
      <c r="J22" s="134">
        <v>4900</v>
      </c>
      <c r="K22" s="134">
        <v>7500</v>
      </c>
      <c r="L22" s="134">
        <v>9100</v>
      </c>
      <c r="M22" s="134">
        <v>10000</v>
      </c>
      <c r="N22" s="134">
        <f t="shared" ref="N22:P22" si="16">K22-J22</f>
        <v>2600</v>
      </c>
      <c r="O22" s="134">
        <f t="shared" si="16"/>
        <v>1600</v>
      </c>
      <c r="P22" s="134">
        <f t="shared" si="16"/>
        <v>900</v>
      </c>
      <c r="Q22" s="137">
        <v>5</v>
      </c>
      <c r="R22" s="134">
        <v>4900</v>
      </c>
      <c r="S22" s="134">
        <v>7500</v>
      </c>
      <c r="T22" s="134">
        <v>9100</v>
      </c>
      <c r="U22" s="134">
        <v>10000</v>
      </c>
      <c r="V22" s="134">
        <f t="shared" ref="V22:X22" si="17">S22-R22</f>
        <v>2600</v>
      </c>
      <c r="W22" s="134">
        <f t="shared" si="17"/>
        <v>1600</v>
      </c>
      <c r="X22" s="134">
        <f t="shared" si="17"/>
        <v>900</v>
      </c>
    </row>
    <row r="23" spans="1:24" ht="15.75" customHeight="1" x14ac:dyDescent="0.25">
      <c r="A23" s="137">
        <v>6</v>
      </c>
      <c r="B23" s="134">
        <v>4900</v>
      </c>
      <c r="C23" s="134">
        <v>7500</v>
      </c>
      <c r="D23" s="134">
        <v>9100</v>
      </c>
      <c r="E23" s="134">
        <v>10000</v>
      </c>
      <c r="F23" s="134">
        <f t="shared" ref="F23:H23" si="18">C23-B23</f>
        <v>2600</v>
      </c>
      <c r="G23" s="134">
        <f t="shared" si="18"/>
        <v>1600</v>
      </c>
      <c r="H23" s="134">
        <f t="shared" si="18"/>
        <v>900</v>
      </c>
      <c r="I23" s="137">
        <v>6</v>
      </c>
      <c r="J23" s="134">
        <v>4900</v>
      </c>
      <c r="K23" s="134">
        <v>7500</v>
      </c>
      <c r="L23" s="134">
        <v>9100</v>
      </c>
      <c r="M23" s="134">
        <v>10000</v>
      </c>
      <c r="N23" s="134">
        <f t="shared" ref="N23:P23" si="19">K23-J23</f>
        <v>2600</v>
      </c>
      <c r="O23" s="134">
        <f t="shared" si="19"/>
        <v>1600</v>
      </c>
      <c r="P23" s="134">
        <f t="shared" si="19"/>
        <v>900</v>
      </c>
      <c r="Q23" s="137">
        <v>6</v>
      </c>
      <c r="R23" s="134">
        <v>4900</v>
      </c>
      <c r="S23" s="134">
        <v>7500</v>
      </c>
      <c r="T23" s="134">
        <v>9100</v>
      </c>
      <c r="U23" s="134">
        <v>10000</v>
      </c>
      <c r="V23" s="134">
        <f t="shared" ref="V23:X23" si="20">S23-R23</f>
        <v>2600</v>
      </c>
      <c r="W23" s="134">
        <f t="shared" si="20"/>
        <v>1600</v>
      </c>
      <c r="X23" s="134">
        <f t="shared" si="20"/>
        <v>900</v>
      </c>
    </row>
    <row r="24" spans="1:24" ht="15.75" customHeight="1" x14ac:dyDescent="0.25">
      <c r="A24" s="137">
        <v>7</v>
      </c>
      <c r="B24" s="134">
        <v>4900</v>
      </c>
      <c r="C24" s="134">
        <v>7500</v>
      </c>
      <c r="D24" s="134">
        <v>9100</v>
      </c>
      <c r="E24" s="134">
        <v>10000</v>
      </c>
      <c r="F24" s="134">
        <f t="shared" ref="F24:H24" si="21">C24-B24</f>
        <v>2600</v>
      </c>
      <c r="G24" s="134">
        <f t="shared" si="21"/>
        <v>1600</v>
      </c>
      <c r="H24" s="134">
        <f t="shared" si="21"/>
        <v>900</v>
      </c>
      <c r="I24" s="137">
        <v>7</v>
      </c>
      <c r="J24" s="134">
        <v>4900</v>
      </c>
      <c r="K24" s="134">
        <v>7500</v>
      </c>
      <c r="L24" s="134">
        <v>9100</v>
      </c>
      <c r="M24" s="134">
        <v>10000</v>
      </c>
      <c r="N24" s="134">
        <f t="shared" ref="N24:P24" si="22">K24-J24</f>
        <v>2600</v>
      </c>
      <c r="O24" s="134">
        <f t="shared" si="22"/>
        <v>1600</v>
      </c>
      <c r="P24" s="134">
        <f t="shared" si="22"/>
        <v>900</v>
      </c>
      <c r="Q24" s="137">
        <v>7</v>
      </c>
      <c r="R24" s="134">
        <v>4900</v>
      </c>
      <c r="S24" s="134">
        <v>7500</v>
      </c>
      <c r="T24" s="134">
        <v>9100</v>
      </c>
      <c r="U24" s="134">
        <v>10000</v>
      </c>
      <c r="V24" s="134">
        <f t="shared" ref="V24:X24" si="23">S24-R24</f>
        <v>2600</v>
      </c>
      <c r="W24" s="134">
        <f t="shared" si="23"/>
        <v>1600</v>
      </c>
      <c r="X24" s="134">
        <f t="shared" si="23"/>
        <v>900</v>
      </c>
    </row>
    <row r="25" spans="1:24" ht="15.75" customHeight="1" x14ac:dyDescent="0.25">
      <c r="A25" s="137">
        <v>8</v>
      </c>
      <c r="B25" s="134">
        <v>4900</v>
      </c>
      <c r="C25" s="134">
        <v>7500</v>
      </c>
      <c r="D25" s="134">
        <v>9100</v>
      </c>
      <c r="E25" s="134">
        <v>10000</v>
      </c>
      <c r="F25" s="134">
        <f t="shared" ref="F25:H25" si="24">C25-B25</f>
        <v>2600</v>
      </c>
      <c r="G25" s="134">
        <f t="shared" si="24"/>
        <v>1600</v>
      </c>
      <c r="H25" s="134">
        <f t="shared" si="24"/>
        <v>900</v>
      </c>
      <c r="I25" s="137">
        <v>8</v>
      </c>
      <c r="J25" s="134">
        <v>4900</v>
      </c>
      <c r="K25" s="134">
        <v>7500</v>
      </c>
      <c r="L25" s="134">
        <v>9100</v>
      </c>
      <c r="M25" s="134">
        <v>10000</v>
      </c>
      <c r="N25" s="134">
        <f t="shared" ref="N25:P25" si="25">K25-J25</f>
        <v>2600</v>
      </c>
      <c r="O25" s="134">
        <f t="shared" si="25"/>
        <v>1600</v>
      </c>
      <c r="P25" s="134">
        <f t="shared" si="25"/>
        <v>900</v>
      </c>
      <c r="Q25" s="137">
        <v>8</v>
      </c>
      <c r="R25" s="134">
        <v>4900</v>
      </c>
      <c r="S25" s="134">
        <v>7500</v>
      </c>
      <c r="T25" s="134">
        <v>9100</v>
      </c>
      <c r="U25" s="134">
        <v>10000</v>
      </c>
      <c r="V25" s="134">
        <f t="shared" ref="V25:X25" si="26">S25-R25</f>
        <v>2600</v>
      </c>
      <c r="W25" s="134">
        <f t="shared" si="26"/>
        <v>1600</v>
      </c>
      <c r="X25" s="134">
        <f t="shared" si="26"/>
        <v>900</v>
      </c>
    </row>
    <row r="26" spans="1:24" ht="15.75" customHeight="1" x14ac:dyDescent="0.25">
      <c r="A26" s="140" t="s">
        <v>55</v>
      </c>
      <c r="B26" s="148">
        <f t="shared" ref="B26:H26" si="27">NPV($B$10,B18:B25)+B17</f>
        <v>1987.8753876918745</v>
      </c>
      <c r="C26" s="148">
        <f t="shared" si="27"/>
        <v>3654.9113076916474</v>
      </c>
      <c r="D26" s="148">
        <f t="shared" si="27"/>
        <v>5834.625719999196</v>
      </c>
      <c r="E26" s="148">
        <f t="shared" si="27"/>
        <v>4873.2150769221844</v>
      </c>
      <c r="F26" s="148">
        <f t="shared" si="27"/>
        <v>1667.0359199997692</v>
      </c>
      <c r="G26" s="148">
        <f t="shared" si="27"/>
        <v>2179.7144123075504</v>
      </c>
      <c r="H26" s="148">
        <f t="shared" si="27"/>
        <v>-961.41064307700208</v>
      </c>
      <c r="I26" s="137">
        <v>9</v>
      </c>
      <c r="J26" s="134">
        <v>4900</v>
      </c>
      <c r="K26" s="134">
        <v>7500</v>
      </c>
      <c r="L26" s="134">
        <v>9100</v>
      </c>
      <c r="M26" s="134">
        <v>10000</v>
      </c>
      <c r="N26" s="134">
        <f t="shared" ref="N26:P26" si="28">K26-J26</f>
        <v>2600</v>
      </c>
      <c r="O26" s="134">
        <f t="shared" si="28"/>
        <v>1600</v>
      </c>
      <c r="P26" s="134">
        <f t="shared" si="28"/>
        <v>900</v>
      </c>
      <c r="Q26" s="137">
        <v>9</v>
      </c>
      <c r="R26" s="134">
        <v>4900</v>
      </c>
      <c r="S26" s="134">
        <v>7500</v>
      </c>
      <c r="T26" s="134">
        <v>9100</v>
      </c>
      <c r="U26" s="134">
        <v>10000</v>
      </c>
      <c r="V26" s="134">
        <f t="shared" ref="V26:X26" si="29">S26-R26</f>
        <v>2600</v>
      </c>
      <c r="W26" s="134">
        <f t="shared" si="29"/>
        <v>1600</v>
      </c>
      <c r="X26" s="134">
        <f t="shared" si="29"/>
        <v>900</v>
      </c>
    </row>
    <row r="27" spans="1:24" ht="15.75" customHeight="1" x14ac:dyDescent="0.25">
      <c r="A27" s="140" t="s">
        <v>95</v>
      </c>
      <c r="B27" s="148">
        <f t="shared" ref="B27:E27" si="30">NPV($B$11,B18:B25)+B17</f>
        <v>-1197.9169643537571</v>
      </c>
      <c r="C27" s="148">
        <f t="shared" si="30"/>
        <v>-1221.3014760516671</v>
      </c>
      <c r="D27" s="148">
        <f t="shared" si="30"/>
        <v>-81.845790942687017</v>
      </c>
      <c r="E27" s="148">
        <f t="shared" si="30"/>
        <v>-1628.4019680688871</v>
      </c>
      <c r="F27" s="148">
        <f t="shared" ref="F27:G27" si="31">NPV(0.2,F18:F25)+F17</f>
        <v>-23.384511697911876</v>
      </c>
      <c r="G27" s="148">
        <f t="shared" si="31"/>
        <v>1139.4556851089774</v>
      </c>
      <c r="H27" s="148">
        <f t="array" ref="H27">NPV($B$11,H18:H25)+H17</f>
        <v>-1546.5561771261996</v>
      </c>
      <c r="I27" s="137">
        <v>10</v>
      </c>
      <c r="J27" s="134">
        <v>4900</v>
      </c>
      <c r="K27" s="134">
        <v>7500</v>
      </c>
      <c r="L27" s="134">
        <v>9100</v>
      </c>
      <c r="M27" s="134">
        <v>10000</v>
      </c>
      <c r="N27" s="134">
        <f t="shared" ref="N27:P27" si="32">K27-J27</f>
        <v>2600</v>
      </c>
      <c r="O27" s="134">
        <f t="shared" si="32"/>
        <v>1600</v>
      </c>
      <c r="P27" s="134">
        <f t="shared" si="32"/>
        <v>900</v>
      </c>
      <c r="Q27" s="137">
        <v>10</v>
      </c>
      <c r="R27" s="134">
        <v>4900</v>
      </c>
      <c r="S27" s="134">
        <v>7500</v>
      </c>
      <c r="T27" s="134">
        <v>9100</v>
      </c>
      <c r="U27" s="134">
        <v>10000</v>
      </c>
      <c r="V27" s="134">
        <f t="shared" ref="V27:X27" si="33">S27-R27</f>
        <v>2600</v>
      </c>
      <c r="W27" s="134">
        <f t="shared" si="33"/>
        <v>1600</v>
      </c>
      <c r="X27" s="134">
        <f t="shared" si="33"/>
        <v>900</v>
      </c>
    </row>
    <row r="28" spans="1:24" ht="15.75" customHeight="1" x14ac:dyDescent="0.25">
      <c r="A28" s="140" t="s">
        <v>96</v>
      </c>
      <c r="B28" s="141">
        <f t="shared" ref="B28:H28" si="34">IRR(B17:B25)</f>
        <v>0.17967833241966846</v>
      </c>
      <c r="C28" s="141">
        <f t="shared" si="34"/>
        <v>0.18623711889130612</v>
      </c>
      <c r="D28" s="141">
        <f t="shared" si="34"/>
        <v>0.19921487991545739</v>
      </c>
      <c r="E28" s="141">
        <f t="shared" si="34"/>
        <v>0.18623711889130612</v>
      </c>
      <c r="F28" s="141">
        <f t="shared" si="34"/>
        <v>0.19921487991545739</v>
      </c>
      <c r="G28" s="141">
        <f t="shared" si="34"/>
        <v>0.27384522015020485</v>
      </c>
      <c r="H28" s="141">
        <f t="shared" si="34"/>
        <v>8.8994895597747758E-2</v>
      </c>
      <c r="I28" s="140" t="s">
        <v>55</v>
      </c>
      <c r="J28" s="148">
        <f t="shared" ref="J28:P28" si="35">NPV($B$10,J18:J27)+J17</f>
        <v>4591.9662666857294</v>
      </c>
      <c r="K28" s="148">
        <f t="shared" si="35"/>
        <v>7640.7646939067345</v>
      </c>
      <c r="L28" s="148">
        <f t="shared" si="35"/>
        <v>10670.794495273498</v>
      </c>
      <c r="M28" s="148">
        <f t="shared" si="35"/>
        <v>10187.6862585423</v>
      </c>
      <c r="N28" s="148">
        <f t="shared" si="35"/>
        <v>3048.7984272209978</v>
      </c>
      <c r="O28" s="148">
        <f t="shared" si="35"/>
        <v>3030.0298013667689</v>
      </c>
      <c r="P28" s="148">
        <f t="shared" si="35"/>
        <v>-483.10823673119285</v>
      </c>
      <c r="Q28" s="137">
        <v>11</v>
      </c>
      <c r="R28" s="134">
        <v>4900</v>
      </c>
      <c r="S28" s="134">
        <v>7500</v>
      </c>
      <c r="T28" s="134">
        <v>9100</v>
      </c>
      <c r="U28" s="134">
        <v>10000</v>
      </c>
      <c r="V28" s="134">
        <f t="shared" ref="V28:X28" si="36">S28-R28</f>
        <v>2600</v>
      </c>
      <c r="W28" s="134">
        <f t="shared" si="36"/>
        <v>1600</v>
      </c>
      <c r="X28" s="134">
        <f t="shared" si="36"/>
        <v>900</v>
      </c>
    </row>
    <row r="29" spans="1:24" ht="15.75" customHeight="1" x14ac:dyDescent="0.25">
      <c r="A29" s="140" t="s">
        <v>97</v>
      </c>
      <c r="B29" s="141">
        <f t="shared" ref="B29:H29" si="37">MIRR(B17:B25,,$B$10)</f>
        <v>0.16370258561152462</v>
      </c>
      <c r="C29" s="141">
        <f t="shared" si="37"/>
        <v>0.16664504223986976</v>
      </c>
      <c r="D29" s="141">
        <f t="shared" si="37"/>
        <v>0.17237866687784709</v>
      </c>
      <c r="E29" s="141">
        <f t="shared" si="37"/>
        <v>0.16664504223986976</v>
      </c>
      <c r="F29" s="141">
        <f t="shared" si="37"/>
        <v>0.17237866687784709</v>
      </c>
      <c r="G29" s="141">
        <f t="shared" si="37"/>
        <v>0.20320599190340838</v>
      </c>
      <c r="H29" s="141">
        <f t="shared" si="37"/>
        <v>0.11970934256607335</v>
      </c>
      <c r="I29" s="149" t="s">
        <v>95</v>
      </c>
      <c r="J29" s="148">
        <f t="shared" ref="J29:P29" si="38">NPV($B$11,J18:J27)+J17</f>
        <v>543.11321919878174</v>
      </c>
      <c r="K29" s="148">
        <f t="shared" si="38"/>
        <v>1443.5406416307887</v>
      </c>
      <c r="L29" s="148">
        <f t="shared" si="38"/>
        <v>3151.4959785120227</v>
      </c>
      <c r="M29" s="148">
        <f t="shared" si="38"/>
        <v>1924.7208555077232</v>
      </c>
      <c r="N29" s="148">
        <f t="shared" si="38"/>
        <v>900.42742243200701</v>
      </c>
      <c r="O29" s="148">
        <f t="shared" si="38"/>
        <v>1707.9553368812349</v>
      </c>
      <c r="P29" s="148">
        <f t="shared" si="38"/>
        <v>-1226.7751230043054</v>
      </c>
      <c r="Q29" s="137">
        <v>12</v>
      </c>
      <c r="R29" s="134">
        <v>4900</v>
      </c>
      <c r="S29" s="134">
        <v>7500</v>
      </c>
      <c r="T29" s="134">
        <v>9100</v>
      </c>
      <c r="U29" s="134">
        <v>10000</v>
      </c>
      <c r="V29" s="134">
        <f t="shared" ref="V29:X29" si="39">S29-R29</f>
        <v>2600</v>
      </c>
      <c r="W29" s="134">
        <f t="shared" si="39"/>
        <v>1600</v>
      </c>
      <c r="X29" s="134">
        <f t="shared" si="39"/>
        <v>900</v>
      </c>
    </row>
    <row r="30" spans="1:24" ht="15.75" customHeight="1" x14ac:dyDescent="0.25">
      <c r="A30" s="140" t="s">
        <v>98</v>
      </c>
      <c r="B30" s="141">
        <f t="shared" ref="B30:H30" si="40">MIRR(B17:B25,,$B$11)</f>
        <v>0.19077098100239387</v>
      </c>
      <c r="C30" s="141">
        <f t="shared" si="40"/>
        <v>0.19378188087424575</v>
      </c>
      <c r="D30" s="141">
        <f t="shared" si="40"/>
        <v>0.19964887293843869</v>
      </c>
      <c r="E30" s="141">
        <f t="shared" si="40"/>
        <v>0.19378188087424575</v>
      </c>
      <c r="F30" s="141">
        <f t="shared" si="40"/>
        <v>0.19964887293843891</v>
      </c>
      <c r="G30" s="141">
        <f t="shared" si="40"/>
        <v>0.23119325937896296</v>
      </c>
      <c r="H30" s="141">
        <f t="shared" si="40"/>
        <v>0.14575442967181473</v>
      </c>
      <c r="I30" s="140" t="s">
        <v>96</v>
      </c>
      <c r="J30" s="141">
        <f t="shared" ref="J30:P30" si="41">IRR(J17:J27)</f>
        <v>0.20796374252487371</v>
      </c>
      <c r="K30" s="141">
        <f t="shared" si="41"/>
        <v>0.21406465112703477</v>
      </c>
      <c r="L30" s="141">
        <f t="shared" si="41"/>
        <v>0.22615229852344276</v>
      </c>
      <c r="M30" s="141">
        <f t="shared" si="41"/>
        <v>0.21406465112703454</v>
      </c>
      <c r="N30" s="141">
        <f t="shared" si="41"/>
        <v>0.22615229852344276</v>
      </c>
      <c r="O30" s="141">
        <f t="shared" si="41"/>
        <v>0.29607522322144297</v>
      </c>
      <c r="P30" s="141">
        <f t="shared" si="41"/>
        <v>0.12414829284455275</v>
      </c>
      <c r="Q30" s="140" t="s">
        <v>55</v>
      </c>
      <c r="R30" s="150">
        <f t="shared" ref="R30:X30" si="42">NPV($B$10,R18:R29)+R17</f>
        <v>6561.033093902257</v>
      </c>
      <c r="S30" s="150">
        <f t="shared" si="42"/>
        <v>10654.642490666723</v>
      </c>
      <c r="T30" s="150">
        <f t="shared" si="42"/>
        <v>14327.632888675624</v>
      </c>
      <c r="U30" s="150">
        <f t="shared" si="42"/>
        <v>14206.189987555619</v>
      </c>
      <c r="V30" s="150">
        <f t="shared" si="42"/>
        <v>4093.6093967644611</v>
      </c>
      <c r="W30" s="150">
        <f t="shared" si="42"/>
        <v>3672.9903980089002</v>
      </c>
      <c r="X30" s="150">
        <f t="shared" si="42"/>
        <v>-121.44290111999453</v>
      </c>
    </row>
    <row r="31" spans="1:24" ht="15.75" customHeight="1" x14ac:dyDescent="0.25">
      <c r="A31" s="131"/>
      <c r="B31" s="131"/>
      <c r="C31" s="131"/>
      <c r="D31" s="131"/>
      <c r="E31" s="131"/>
      <c r="F31" s="131"/>
      <c r="G31" s="131"/>
      <c r="H31" s="131"/>
      <c r="I31" s="140" t="s">
        <v>97</v>
      </c>
      <c r="J31" s="141">
        <f t="shared" ref="J31:P31" si="43">MIRR(J17:J27,,$B$10)</f>
        <v>0.17401640690726405</v>
      </c>
      <c r="K31" s="141">
        <f t="shared" si="43"/>
        <v>0.17639063537734656</v>
      </c>
      <c r="L31" s="141">
        <f t="shared" si="43"/>
        <v>0.18101358318337679</v>
      </c>
      <c r="M31" s="141">
        <f t="shared" si="43"/>
        <v>0.17639063537734656</v>
      </c>
      <c r="N31" s="141">
        <f t="shared" si="43"/>
        <v>0.18101358318337679</v>
      </c>
      <c r="O31" s="141">
        <f t="shared" si="43"/>
        <v>0.20579243722094387</v>
      </c>
      <c r="P31" s="141">
        <f t="shared" si="43"/>
        <v>0.13837358119413512</v>
      </c>
      <c r="Q31" s="149" t="s">
        <v>95</v>
      </c>
      <c r="R31" s="148">
        <f t="shared" ref="R31:X31" si="44">NPV($B$11,R18:R29)+R17</f>
        <v>1752.1619577769306</v>
      </c>
      <c r="S31" s="148">
        <f t="shared" si="44"/>
        <v>3294.1254455769376</v>
      </c>
      <c r="T31" s="148">
        <f t="shared" si="44"/>
        <v>5396.8722073000099</v>
      </c>
      <c r="U31" s="148">
        <f t="shared" si="44"/>
        <v>4392.1672607692599</v>
      </c>
      <c r="V31" s="148">
        <f t="shared" si="44"/>
        <v>1541.9634878000052</v>
      </c>
      <c r="W31" s="148">
        <f t="shared" si="44"/>
        <v>2102.7467617230786</v>
      </c>
      <c r="X31" s="148">
        <f t="shared" si="44"/>
        <v>-1004.7049465307673</v>
      </c>
    </row>
    <row r="32" spans="1:24" ht="15.75" customHeight="1" x14ac:dyDescent="0.25">
      <c r="A32" s="148"/>
      <c r="B32" s="148"/>
      <c r="C32" s="148"/>
      <c r="D32" s="148"/>
      <c r="E32" s="148"/>
      <c r="F32" s="131"/>
      <c r="G32" s="131"/>
      <c r="H32" s="131"/>
      <c r="I32" s="149" t="s">
        <v>98</v>
      </c>
      <c r="J32" s="141">
        <f t="shared" ref="J32:P32" si="45">MIRR(J17:J27,,$B$11)</f>
        <v>0.20321952976378777</v>
      </c>
      <c r="K32" s="141">
        <f t="shared" si="45"/>
        <v>0.20565281608458963</v>
      </c>
      <c r="L32" s="141">
        <f t="shared" si="45"/>
        <v>0.21039075760957027</v>
      </c>
      <c r="M32" s="141">
        <f t="shared" si="45"/>
        <v>0.20565281608458963</v>
      </c>
      <c r="N32" s="141">
        <f t="shared" si="45"/>
        <v>0.21039075760957027</v>
      </c>
      <c r="O32" s="141">
        <f t="shared" si="45"/>
        <v>0.23578597434398318</v>
      </c>
      <c r="P32" s="141">
        <f t="shared" si="45"/>
        <v>0.16669010501155679</v>
      </c>
      <c r="Q32" s="140" t="s">
        <v>96</v>
      </c>
      <c r="R32" s="141">
        <f t="shared" ref="R32:X32" si="46">IRR(R17:R29)</f>
        <v>0.22315268897071028</v>
      </c>
      <c r="S32" s="141">
        <f t="shared" si="46"/>
        <v>0.22893307097709581</v>
      </c>
      <c r="T32" s="141">
        <f t="shared" si="46"/>
        <v>0.24040132616721177</v>
      </c>
      <c r="U32" s="141">
        <f t="shared" si="46"/>
        <v>0.22893307097709581</v>
      </c>
      <c r="V32" s="141">
        <f t="shared" si="46"/>
        <v>0.24040132616721177</v>
      </c>
      <c r="W32" s="141">
        <f t="shared" si="46"/>
        <v>0.30713853091208776</v>
      </c>
      <c r="X32" s="141">
        <f t="shared" si="46"/>
        <v>0.14428350224373587</v>
      </c>
    </row>
    <row r="33" spans="1:24" ht="15.75" customHeight="1" x14ac:dyDescent="0.25">
      <c r="A33" s="131"/>
      <c r="B33" s="131"/>
      <c r="C33" s="131"/>
      <c r="D33" s="131"/>
      <c r="E33" s="131"/>
      <c r="F33" s="131"/>
      <c r="G33" s="131"/>
      <c r="H33" s="131"/>
      <c r="I33" s="131"/>
      <c r="J33" s="131"/>
      <c r="K33" s="131"/>
      <c r="L33" s="131"/>
      <c r="M33" s="131"/>
      <c r="N33" s="131"/>
      <c r="O33" s="131"/>
      <c r="P33" s="131"/>
      <c r="Q33" s="140" t="s">
        <v>97</v>
      </c>
      <c r="R33" s="141">
        <f t="shared" ref="R33:X33" si="47">MIRR(R17:R29,,$B$10)</f>
        <v>0.17751311865025121</v>
      </c>
      <c r="S33" s="141">
        <f t="shared" si="47"/>
        <v>0.17949720108303024</v>
      </c>
      <c r="T33" s="141">
        <f t="shared" si="47"/>
        <v>0.18335856799320793</v>
      </c>
      <c r="U33" s="141">
        <f t="shared" si="47"/>
        <v>0.17949720108303024</v>
      </c>
      <c r="V33" s="141">
        <f t="shared" si="47"/>
        <v>0.18335856799320793</v>
      </c>
      <c r="W33" s="141">
        <f t="shared" si="47"/>
        <v>0.20401273016166632</v>
      </c>
      <c r="X33" s="141">
        <f t="shared" si="47"/>
        <v>0.1476460229584593</v>
      </c>
    </row>
    <row r="34" spans="1:24" ht="15.75" customHeight="1" x14ac:dyDescent="0.25">
      <c r="A34" s="131"/>
      <c r="B34" s="131"/>
      <c r="C34" s="131"/>
      <c r="D34" s="131"/>
      <c r="E34" s="131"/>
      <c r="F34" s="131"/>
      <c r="G34" s="131"/>
      <c r="H34" s="131"/>
      <c r="I34" s="131"/>
      <c r="J34" s="131"/>
      <c r="K34" s="131"/>
      <c r="L34" s="131"/>
      <c r="M34" s="131"/>
      <c r="N34" s="131"/>
      <c r="O34" s="131"/>
      <c r="P34" s="131"/>
      <c r="Q34" s="149" t="s">
        <v>98</v>
      </c>
      <c r="R34" s="141">
        <f t="shared" ref="R34:X34" si="48">MIRR(R17:R29,,$B$11)</f>
        <v>0.20842754323021362</v>
      </c>
      <c r="S34" s="141">
        <f t="shared" si="48"/>
        <v>0.21046371575503242</v>
      </c>
      <c r="T34" s="141">
        <f t="shared" si="48"/>
        <v>0.21442645897620771</v>
      </c>
      <c r="U34" s="141">
        <f t="shared" si="48"/>
        <v>0.21046371575503242</v>
      </c>
      <c r="V34" s="141">
        <f t="shared" si="48"/>
        <v>0.21442645897620771</v>
      </c>
      <c r="W34" s="141">
        <f t="shared" si="48"/>
        <v>0.23562287543339222</v>
      </c>
      <c r="X34" s="141">
        <f t="shared" si="48"/>
        <v>0.17777631693081974</v>
      </c>
    </row>
    <row r="35" spans="1:24" ht="15.75" customHeight="1" x14ac:dyDescent="0.25">
      <c r="A35" s="78" t="s">
        <v>9</v>
      </c>
      <c r="B35" s="151">
        <v>1987.88</v>
      </c>
      <c r="F35" s="78" t="s">
        <v>9</v>
      </c>
      <c r="G35" s="152">
        <v>0.1797</v>
      </c>
      <c r="J35" s="78" t="s">
        <v>9</v>
      </c>
      <c r="K35" s="151">
        <v>4591.97</v>
      </c>
      <c r="N35" s="78" t="s">
        <v>9</v>
      </c>
      <c r="O35" s="151">
        <v>543.11</v>
      </c>
    </row>
    <row r="36" spans="1:24" ht="15.75" customHeight="1" x14ac:dyDescent="0.25">
      <c r="A36" s="78" t="s">
        <v>11</v>
      </c>
      <c r="B36" s="151">
        <v>3654.91</v>
      </c>
      <c r="F36" s="78" t="s">
        <v>11</v>
      </c>
      <c r="G36" s="141">
        <v>0.1862</v>
      </c>
      <c r="H36" s="141"/>
      <c r="I36" s="141"/>
      <c r="J36" s="137" t="s">
        <v>11</v>
      </c>
      <c r="K36" s="151">
        <v>7640.76</v>
      </c>
      <c r="N36" s="78" t="s">
        <v>11</v>
      </c>
      <c r="O36" s="153">
        <v>1443.54</v>
      </c>
      <c r="R36" s="78" t="s">
        <v>9</v>
      </c>
      <c r="S36" s="151">
        <v>6561.03</v>
      </c>
    </row>
    <row r="37" spans="1:24" ht="15.75" customHeight="1" x14ac:dyDescent="0.25">
      <c r="A37" s="78" t="s">
        <v>13</v>
      </c>
      <c r="B37" s="151">
        <v>5834.63</v>
      </c>
      <c r="F37" s="78" t="s">
        <v>13</v>
      </c>
      <c r="G37" s="152">
        <v>0.19919999999999999</v>
      </c>
      <c r="J37" s="78" t="s">
        <v>13</v>
      </c>
      <c r="K37" s="148">
        <v>10670.79</v>
      </c>
      <c r="L37" s="78" t="s">
        <v>15</v>
      </c>
      <c r="N37" s="78" t="s">
        <v>13</v>
      </c>
      <c r="O37" s="151">
        <v>3151.5</v>
      </c>
      <c r="R37" s="78" t="s">
        <v>11</v>
      </c>
      <c r="S37" s="151">
        <v>10654.64</v>
      </c>
      <c r="V37" s="78" t="s">
        <v>9</v>
      </c>
      <c r="W37" s="151">
        <v>1752.16</v>
      </c>
    </row>
    <row r="38" spans="1:24" ht="15.75" customHeight="1" x14ac:dyDescent="0.25">
      <c r="A38" s="78" t="s">
        <v>15</v>
      </c>
      <c r="B38" s="151">
        <v>4873.22</v>
      </c>
      <c r="F38" s="78" t="s">
        <v>15</v>
      </c>
      <c r="G38" s="152">
        <v>0.1862</v>
      </c>
      <c r="J38" s="78" t="s">
        <v>15</v>
      </c>
      <c r="K38" s="151">
        <v>10787.69</v>
      </c>
      <c r="N38" s="78" t="s">
        <v>15</v>
      </c>
      <c r="O38" s="151">
        <v>1924.72</v>
      </c>
      <c r="R38" s="78" t="s">
        <v>13</v>
      </c>
      <c r="S38" s="151">
        <v>14327.63</v>
      </c>
      <c r="V38" s="78" t="s">
        <v>11</v>
      </c>
      <c r="W38" s="151">
        <v>3294.13</v>
      </c>
    </row>
    <row r="39" spans="1:24" ht="15.75" customHeight="1" x14ac:dyDescent="0.25">
      <c r="R39" s="78" t="s">
        <v>15</v>
      </c>
      <c r="S39" s="151">
        <v>14206.19</v>
      </c>
      <c r="V39" s="78" t="s">
        <v>13</v>
      </c>
      <c r="W39" s="151">
        <v>5396.87</v>
      </c>
    </row>
    <row r="40" spans="1:24" ht="15.75" customHeight="1" x14ac:dyDescent="0.25">
      <c r="V40" s="78" t="s">
        <v>15</v>
      </c>
      <c r="W40" s="151">
        <v>4392.17</v>
      </c>
    </row>
    <row r="42" spans="1:24" ht="15.75" customHeight="1" x14ac:dyDescent="0.25">
      <c r="A42" s="78" t="s">
        <v>9</v>
      </c>
      <c r="B42" s="148">
        <v>-1197.92</v>
      </c>
      <c r="E42" s="78" t="s">
        <v>9</v>
      </c>
      <c r="F42" s="152">
        <v>0.16370000000000001</v>
      </c>
    </row>
    <row r="43" spans="1:24" ht="15.75" customHeight="1" x14ac:dyDescent="0.25">
      <c r="A43" s="78" t="s">
        <v>11</v>
      </c>
      <c r="B43" s="151">
        <v>-1221.3</v>
      </c>
      <c r="E43" s="78" t="s">
        <v>11</v>
      </c>
      <c r="F43" s="152">
        <v>0.1666</v>
      </c>
    </row>
    <row r="44" spans="1:24" ht="15.75" customHeight="1" x14ac:dyDescent="0.25">
      <c r="A44" s="78" t="s">
        <v>13</v>
      </c>
      <c r="B44" s="151">
        <v>81.849999999999994</v>
      </c>
      <c r="E44" s="78" t="s">
        <v>13</v>
      </c>
      <c r="F44" s="152">
        <v>0.1724</v>
      </c>
    </row>
    <row r="45" spans="1:24" ht="15.75" customHeight="1" x14ac:dyDescent="0.25">
      <c r="A45" s="78" t="s">
        <v>15</v>
      </c>
      <c r="B45" s="151">
        <v>1629.4</v>
      </c>
      <c r="E45" s="78" t="s">
        <v>15</v>
      </c>
      <c r="F45" s="152">
        <v>0.1666</v>
      </c>
    </row>
    <row r="47" spans="1:24" ht="15.75" customHeight="1" x14ac:dyDescent="0.25">
      <c r="I47" s="78" t="s">
        <v>9</v>
      </c>
      <c r="J47" s="152">
        <v>0.20799999999999999</v>
      </c>
      <c r="M47" s="78" t="s">
        <v>9</v>
      </c>
      <c r="N47" s="152">
        <v>0.17399999999999999</v>
      </c>
    </row>
    <row r="48" spans="1:24" ht="15.75" customHeight="1" x14ac:dyDescent="0.25">
      <c r="I48" s="78" t="s">
        <v>11</v>
      </c>
      <c r="J48" s="152">
        <v>0.21410000000000001</v>
      </c>
      <c r="M48" s="78" t="s">
        <v>11</v>
      </c>
      <c r="N48" s="152">
        <v>0.1764</v>
      </c>
    </row>
    <row r="49" spans="1:23" ht="15.75" customHeight="1" x14ac:dyDescent="0.25">
      <c r="I49" s="78" t="s">
        <v>13</v>
      </c>
      <c r="J49" s="152">
        <v>0.22620000000000001</v>
      </c>
      <c r="M49" s="78" t="s">
        <v>13</v>
      </c>
      <c r="N49" s="152">
        <v>0.18099999999999999</v>
      </c>
    </row>
    <row r="50" spans="1:23" ht="15.75" customHeight="1" x14ac:dyDescent="0.25">
      <c r="I50" s="78" t="s">
        <v>15</v>
      </c>
      <c r="J50" s="152">
        <v>0.21410000000000001</v>
      </c>
      <c r="M50" s="78" t="s">
        <v>15</v>
      </c>
      <c r="N50" s="152">
        <v>0.1764</v>
      </c>
      <c r="Q50" s="78" t="s">
        <v>9</v>
      </c>
      <c r="R50" s="152">
        <v>0.22320000000000001</v>
      </c>
    </row>
    <row r="51" spans="1:23" ht="15.75" customHeight="1" x14ac:dyDescent="0.25">
      <c r="Q51" s="78" t="s">
        <v>11</v>
      </c>
      <c r="R51" s="152">
        <v>0.22889999999999999</v>
      </c>
      <c r="V51" s="78" t="s">
        <v>9</v>
      </c>
      <c r="W51" s="152">
        <v>0.17749999999999999</v>
      </c>
    </row>
    <row r="52" spans="1:23" ht="15.75" customHeight="1" x14ac:dyDescent="0.25">
      <c r="Q52" s="78" t="s">
        <v>13</v>
      </c>
      <c r="R52" s="152">
        <v>0.2404</v>
      </c>
      <c r="V52" s="78" t="s">
        <v>11</v>
      </c>
      <c r="W52" s="152">
        <v>0.17949999999999999</v>
      </c>
    </row>
    <row r="53" spans="1:23" ht="12.5" x14ac:dyDescent="0.25">
      <c r="A53" s="78" t="s">
        <v>9</v>
      </c>
      <c r="B53" s="152">
        <v>0.1908</v>
      </c>
      <c r="Q53" s="78" t="s">
        <v>15</v>
      </c>
      <c r="R53" s="152">
        <v>0.22889999999999999</v>
      </c>
      <c r="V53" s="78" t="s">
        <v>13</v>
      </c>
      <c r="W53" s="152">
        <v>0.18340000000000001</v>
      </c>
    </row>
    <row r="54" spans="1:23" ht="12.5" x14ac:dyDescent="0.25">
      <c r="A54" s="78" t="s">
        <v>11</v>
      </c>
      <c r="B54" s="152">
        <v>0.1938</v>
      </c>
      <c r="V54" s="78" t="s">
        <v>15</v>
      </c>
      <c r="W54" s="152">
        <v>0.17949999999999999</v>
      </c>
    </row>
    <row r="55" spans="1:23" ht="12.5" x14ac:dyDescent="0.25">
      <c r="A55" s="78" t="s">
        <v>13</v>
      </c>
      <c r="B55" s="152">
        <v>0.1996</v>
      </c>
    </row>
    <row r="56" spans="1:23" ht="12.5" x14ac:dyDescent="0.25">
      <c r="A56" s="78" t="s">
        <v>15</v>
      </c>
      <c r="B56" s="152">
        <v>0.1938</v>
      </c>
    </row>
    <row r="61" spans="1:23" ht="12.5" x14ac:dyDescent="0.25">
      <c r="I61" s="78" t="s">
        <v>9</v>
      </c>
      <c r="J61" s="152">
        <v>0.20319999999999999</v>
      </c>
    </row>
    <row r="62" spans="1:23" ht="12.5" x14ac:dyDescent="0.25">
      <c r="I62" s="78" t="s">
        <v>11</v>
      </c>
      <c r="J62" s="152">
        <v>0.20569999999999999</v>
      </c>
    </row>
    <row r="63" spans="1:23" ht="12.5" x14ac:dyDescent="0.25">
      <c r="I63" s="78" t="s">
        <v>13</v>
      </c>
      <c r="J63" s="152">
        <v>0.2104</v>
      </c>
      <c r="Q63" s="78" t="s">
        <v>9</v>
      </c>
      <c r="R63" s="152">
        <v>0.2084</v>
      </c>
    </row>
    <row r="64" spans="1:23" ht="12.5" x14ac:dyDescent="0.25">
      <c r="I64" s="78" t="s">
        <v>15</v>
      </c>
      <c r="J64" s="152">
        <v>0.20569999999999999</v>
      </c>
      <c r="Q64" s="78" t="s">
        <v>11</v>
      </c>
      <c r="R64" s="152">
        <v>0.21049999999999999</v>
      </c>
    </row>
    <row r="65" spans="17:18" ht="12.5" x14ac:dyDescent="0.25">
      <c r="Q65" s="78" t="s">
        <v>13</v>
      </c>
      <c r="R65" s="152">
        <v>0.21440000000000001</v>
      </c>
    </row>
    <row r="66" spans="17:18" ht="12.5" x14ac:dyDescent="0.25">
      <c r="Q66" s="78" t="s">
        <v>15</v>
      </c>
      <c r="R66" s="152">
        <v>0.21049999999999999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X961"/>
  <sheetViews>
    <sheetView workbookViewId="0"/>
  </sheetViews>
  <sheetFormatPr defaultColWidth="12.6328125" defaultRowHeight="15.75" customHeight="1" x14ac:dyDescent="0.25"/>
  <cols>
    <col min="1" max="1" width="3.81640625" customWidth="1"/>
  </cols>
  <sheetData>
    <row r="1" spans="1:50" ht="15.75" customHeight="1" x14ac:dyDescent="0.25">
      <c r="A1" s="64" t="s">
        <v>99</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row>
    <row r="2" spans="1:50" ht="15.75" customHeight="1" x14ac:dyDescent="0.25">
      <c r="A2" s="154"/>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row>
    <row r="3" spans="1:50" ht="15.75" customHeight="1" x14ac:dyDescent="0.25">
      <c r="A3" s="155" t="s">
        <v>100</v>
      </c>
      <c r="B3" s="155"/>
      <c r="C3" s="155"/>
      <c r="D3" s="155"/>
      <c r="E3" s="155"/>
      <c r="F3" s="155"/>
      <c r="G3" s="155"/>
      <c r="H3" s="155" t="s">
        <v>101</v>
      </c>
      <c r="I3" s="155"/>
      <c r="J3" s="155"/>
      <c r="K3" s="155"/>
      <c r="L3" s="155"/>
      <c r="M3" s="155"/>
      <c r="N3" s="155"/>
      <c r="O3" s="155"/>
      <c r="P3" s="155"/>
      <c r="Q3" s="155"/>
      <c r="R3" s="155"/>
      <c r="S3" s="155"/>
      <c r="T3" s="155"/>
      <c r="U3" s="155"/>
      <c r="V3" s="155"/>
      <c r="W3" s="155"/>
      <c r="X3" s="155"/>
      <c r="Y3" s="155"/>
      <c r="Z3" s="155"/>
      <c r="AA3" s="155"/>
      <c r="AB3" s="155"/>
      <c r="AC3" s="155"/>
      <c r="AD3" s="155"/>
      <c r="AE3" s="155"/>
      <c r="AF3" s="155"/>
      <c r="AG3" s="155"/>
      <c r="AH3" s="155"/>
      <c r="AI3" s="155"/>
      <c r="AJ3" s="155"/>
      <c r="AK3" s="155"/>
      <c r="AL3" s="155"/>
      <c r="AM3" s="155"/>
      <c r="AN3" s="155"/>
      <c r="AO3" s="155"/>
      <c r="AP3" s="155"/>
      <c r="AQ3" s="155"/>
      <c r="AR3" s="155"/>
      <c r="AS3" s="155"/>
      <c r="AT3" s="155"/>
      <c r="AU3" s="155"/>
      <c r="AV3" s="155"/>
    </row>
    <row r="4" spans="1:50" ht="15.75" customHeight="1" x14ac:dyDescent="0.25">
      <c r="A4" s="4"/>
      <c r="B4" s="4"/>
      <c r="C4" s="4"/>
      <c r="D4" s="156"/>
      <c r="E4" s="156"/>
      <c r="H4" s="156"/>
      <c r="I4" s="156"/>
      <c r="J4" s="156"/>
      <c r="K4" s="156"/>
      <c r="L4" s="156"/>
      <c r="M4" s="156"/>
      <c r="N4" s="156"/>
      <c r="O4" s="4"/>
      <c r="P4" s="156"/>
      <c r="Q4" s="156"/>
      <c r="R4" s="156"/>
      <c r="S4" s="156"/>
      <c r="T4" s="156"/>
      <c r="U4" s="156"/>
      <c r="V4" s="156"/>
      <c r="W4" s="156"/>
      <c r="X4" s="156"/>
      <c r="Y4" s="156"/>
      <c r="Z4" s="156"/>
      <c r="AA4" s="4"/>
      <c r="AB4" s="4"/>
      <c r="AC4" s="4"/>
      <c r="AD4" s="4"/>
      <c r="AE4" s="4"/>
      <c r="AF4" s="4"/>
      <c r="AG4" s="4"/>
      <c r="AH4" s="4"/>
      <c r="AI4" s="4"/>
      <c r="AJ4" s="4"/>
      <c r="AK4" s="4"/>
      <c r="AL4" s="4"/>
      <c r="AM4" s="4"/>
      <c r="AN4" s="4"/>
      <c r="AO4" s="4"/>
      <c r="AP4" s="4"/>
      <c r="AQ4" s="4"/>
      <c r="AR4" s="4"/>
      <c r="AS4" s="4"/>
      <c r="AT4" s="4"/>
      <c r="AU4" s="4"/>
      <c r="AV4" s="4"/>
    </row>
    <row r="5" spans="1:50" ht="15.75" customHeight="1" x14ac:dyDescent="0.25">
      <c r="A5" s="4"/>
      <c r="B5" s="4"/>
      <c r="C5" s="4"/>
      <c r="D5" s="157" t="s">
        <v>16</v>
      </c>
      <c r="E5" s="157" t="s">
        <v>17</v>
      </c>
      <c r="H5" s="499" t="s">
        <v>102</v>
      </c>
      <c r="I5" s="466"/>
      <c r="J5" s="466"/>
      <c r="K5" s="466"/>
      <c r="L5" s="466"/>
      <c r="M5" s="466"/>
      <c r="N5" s="466"/>
      <c r="O5" s="4"/>
      <c r="P5" s="501" t="s">
        <v>103</v>
      </c>
      <c r="Q5" s="466"/>
      <c r="R5" s="466"/>
      <c r="S5" s="466"/>
      <c r="T5" s="466"/>
      <c r="U5" s="466"/>
      <c r="V5" s="466"/>
      <c r="W5" s="466"/>
      <c r="X5" s="466"/>
      <c r="Y5" s="466"/>
      <c r="Z5" s="466"/>
      <c r="AA5" s="4"/>
      <c r="AC5" s="505" t="s">
        <v>104</v>
      </c>
      <c r="AD5" s="486"/>
      <c r="AE5" s="486"/>
      <c r="AF5" s="486"/>
      <c r="AG5" s="486"/>
      <c r="AH5" s="486"/>
      <c r="AI5" s="486"/>
      <c r="AJ5" s="505" t="s">
        <v>105</v>
      </c>
      <c r="AK5" s="486"/>
      <c r="AL5" s="486"/>
      <c r="AM5" s="486"/>
      <c r="AN5" s="486"/>
      <c r="AO5" s="486"/>
      <c r="AP5" s="487"/>
      <c r="AQ5" s="4"/>
      <c r="AR5" s="4"/>
      <c r="AS5" s="4"/>
      <c r="AT5" s="4"/>
      <c r="AU5" s="4"/>
    </row>
    <row r="6" spans="1:50" ht="15.75" customHeight="1" x14ac:dyDescent="0.25">
      <c r="B6" s="473" t="s">
        <v>5</v>
      </c>
      <c r="C6" s="506"/>
      <c r="D6" s="158">
        <v>24000</v>
      </c>
      <c r="E6" s="158">
        <v>25000</v>
      </c>
      <c r="I6" s="495" t="s">
        <v>106</v>
      </c>
      <c r="J6" s="462"/>
      <c r="K6" s="4"/>
      <c r="M6" s="495" t="s">
        <v>107</v>
      </c>
      <c r="N6" s="462"/>
      <c r="O6" s="4"/>
      <c r="P6" s="156"/>
      <c r="Q6" s="156" t="s">
        <v>17</v>
      </c>
      <c r="R6" s="159">
        <v>2000</v>
      </c>
      <c r="S6" s="160"/>
      <c r="T6" s="160"/>
      <c r="U6" s="160"/>
      <c r="V6" s="160"/>
      <c r="W6" s="160"/>
      <c r="X6" s="161">
        <v>8000</v>
      </c>
      <c r="Y6" s="160"/>
      <c r="Z6" s="159">
        <v>9000</v>
      </c>
      <c r="AA6" s="4"/>
      <c r="AC6" s="162" t="s">
        <v>108</v>
      </c>
      <c r="AD6" s="163" t="s">
        <v>109</v>
      </c>
      <c r="AE6" s="163" t="s">
        <v>110</v>
      </c>
      <c r="AF6" s="163" t="s">
        <v>111</v>
      </c>
      <c r="AG6" s="163" t="s">
        <v>112</v>
      </c>
      <c r="AH6" s="163" t="s">
        <v>113</v>
      </c>
      <c r="AI6" s="164" t="s">
        <v>114</v>
      </c>
      <c r="AJ6" s="162" t="s">
        <v>108</v>
      </c>
      <c r="AK6" s="163" t="s">
        <v>109</v>
      </c>
      <c r="AL6" s="163" t="s">
        <v>110</v>
      </c>
      <c r="AM6" s="163" t="s">
        <v>111</v>
      </c>
      <c r="AN6" s="163" t="s">
        <v>112</v>
      </c>
      <c r="AO6" s="163" t="s">
        <v>113</v>
      </c>
      <c r="AP6" s="165" t="s">
        <v>114</v>
      </c>
      <c r="AQ6" s="4"/>
      <c r="AR6" s="4"/>
      <c r="AS6" s="4"/>
      <c r="AT6" s="4"/>
      <c r="AU6" s="4"/>
    </row>
    <row r="7" spans="1:50" ht="15.75" customHeight="1" x14ac:dyDescent="0.3">
      <c r="B7" s="491" t="s">
        <v>77</v>
      </c>
      <c r="C7" s="492"/>
      <c r="D7" s="166">
        <v>6500</v>
      </c>
      <c r="E7" s="166">
        <v>8000</v>
      </c>
      <c r="H7" s="167">
        <v>4000</v>
      </c>
      <c r="I7" s="168">
        <v>0.61539999999999995</v>
      </c>
      <c r="J7" s="169">
        <v>-3924.42</v>
      </c>
      <c r="K7" s="160"/>
      <c r="L7" s="167">
        <v>2000</v>
      </c>
      <c r="M7" s="170">
        <v>0.25</v>
      </c>
      <c r="N7" s="171">
        <v>-14962.46</v>
      </c>
      <c r="O7" s="4"/>
      <c r="P7" s="156" t="s">
        <v>16</v>
      </c>
      <c r="Q7" s="156"/>
      <c r="R7" s="172">
        <v>0.25</v>
      </c>
      <c r="S7" s="173">
        <v>0.375</v>
      </c>
      <c r="T7" s="173">
        <v>0.5</v>
      </c>
      <c r="U7" s="173">
        <v>0.625</v>
      </c>
      <c r="V7" s="173">
        <v>0.75</v>
      </c>
      <c r="W7" s="173">
        <v>0.875</v>
      </c>
      <c r="X7" s="174">
        <v>1</v>
      </c>
      <c r="Y7" s="173">
        <v>1.125</v>
      </c>
      <c r="Z7" s="175">
        <v>1.25</v>
      </c>
      <c r="AA7" s="4"/>
      <c r="AB7" s="176">
        <v>0.6</v>
      </c>
      <c r="AC7" s="177">
        <v>6</v>
      </c>
      <c r="AD7" s="178">
        <v>599.13751049923303</v>
      </c>
      <c r="AE7" s="179">
        <v>0.15473575503535963</v>
      </c>
      <c r="AF7" s="178">
        <v>5275.8615513836703</v>
      </c>
      <c r="AG7" s="180">
        <v>0.18729122307514334</v>
      </c>
      <c r="AH7" s="178">
        <v>4676.7240408844382</v>
      </c>
      <c r="AI7" s="181">
        <v>0.53596317711454411</v>
      </c>
      <c r="AJ7" s="177">
        <v>6</v>
      </c>
      <c r="AK7" s="178">
        <v>-2384.184242112482</v>
      </c>
      <c r="AL7" s="182">
        <v>0.17925568185443952</v>
      </c>
      <c r="AM7" s="178">
        <v>1604.08093278464</v>
      </c>
      <c r="AN7" s="183">
        <v>0.21250244025257192</v>
      </c>
      <c r="AO7" s="178">
        <v>3988.2651748971193</v>
      </c>
      <c r="AP7" s="184">
        <v>0.56857817542512867</v>
      </c>
      <c r="AQ7" s="4"/>
      <c r="AR7" s="4"/>
      <c r="AS7" s="4"/>
      <c r="AT7" s="4"/>
      <c r="AU7" s="4"/>
    </row>
    <row r="8" spans="1:50" ht="15.75" customHeight="1" x14ac:dyDescent="0.3">
      <c r="B8" s="491" t="s">
        <v>78</v>
      </c>
      <c r="C8" s="492"/>
      <c r="D8" s="185">
        <v>1</v>
      </c>
      <c r="E8" s="185">
        <v>1</v>
      </c>
      <c r="H8" s="160"/>
      <c r="I8" s="186">
        <v>0.69230000000000003</v>
      </c>
      <c r="J8" s="187">
        <v>-1415.79</v>
      </c>
      <c r="K8" s="160"/>
      <c r="L8" s="160"/>
      <c r="M8" s="188">
        <v>0.375</v>
      </c>
      <c r="N8" s="189">
        <v>-9943.69</v>
      </c>
      <c r="O8" s="4"/>
      <c r="P8" s="167">
        <v>4000</v>
      </c>
      <c r="Q8" s="190">
        <v>0.61539999999999995</v>
      </c>
      <c r="R8" s="191">
        <v>-11038.04</v>
      </c>
      <c r="S8" s="192">
        <v>-6019.27</v>
      </c>
      <c r="T8" s="192">
        <v>-1000.5</v>
      </c>
      <c r="U8" s="193">
        <v>4018.27</v>
      </c>
      <c r="V8" s="193">
        <v>9037.0400000000009</v>
      </c>
      <c r="W8" s="193">
        <v>14055.8</v>
      </c>
      <c r="X8" s="194">
        <v>19074.57</v>
      </c>
      <c r="Y8" s="193">
        <v>24093.34</v>
      </c>
      <c r="Z8" s="171">
        <v>29112.11</v>
      </c>
      <c r="AA8" s="4"/>
      <c r="AB8" s="176">
        <v>0.8</v>
      </c>
      <c r="AC8" s="177">
        <v>8</v>
      </c>
      <c r="AD8" s="178">
        <v>5167.5897999994231</v>
      </c>
      <c r="AE8" s="195">
        <v>0.1783763105393521</v>
      </c>
      <c r="AF8" s="178">
        <v>10898.57206153775</v>
      </c>
      <c r="AG8" s="196">
        <v>0.20320599190340838</v>
      </c>
      <c r="AH8" s="178">
        <v>5730.9822615383282</v>
      </c>
      <c r="AI8" s="197">
        <v>0.45951191945530212</v>
      </c>
      <c r="AJ8" s="177">
        <v>8</v>
      </c>
      <c r="AK8" s="178">
        <v>941.53872075522304</v>
      </c>
      <c r="AL8" s="183">
        <v>0.20578602526139256</v>
      </c>
      <c r="AM8" s="178">
        <v>5697.2784255448896</v>
      </c>
      <c r="AN8" s="183">
        <v>0.23119325937896296</v>
      </c>
      <c r="AO8" s="178">
        <v>4755.7397047896666</v>
      </c>
      <c r="AP8" s="184">
        <v>0.49346101108917662</v>
      </c>
      <c r="AQ8" s="4"/>
      <c r="AR8" s="4"/>
      <c r="AS8" s="4"/>
      <c r="AT8" s="4"/>
      <c r="AU8" s="4"/>
    </row>
    <row r="9" spans="1:50" ht="15.75" customHeight="1" x14ac:dyDescent="0.3">
      <c r="B9" s="491" t="s">
        <v>79</v>
      </c>
      <c r="C9" s="492"/>
      <c r="D9" s="166">
        <f t="shared" ref="D9:E9" si="0">D7*D8</f>
        <v>6500</v>
      </c>
      <c r="E9" s="166">
        <f t="shared" si="0"/>
        <v>8000</v>
      </c>
      <c r="H9" s="160"/>
      <c r="I9" s="186">
        <v>0.76919999999999999</v>
      </c>
      <c r="J9" s="187">
        <v>1092.8399999999999</v>
      </c>
      <c r="K9" s="160"/>
      <c r="L9" s="160"/>
      <c r="M9" s="188">
        <v>0.5</v>
      </c>
      <c r="N9" s="189">
        <v>-4924.93</v>
      </c>
      <c r="O9" s="4"/>
      <c r="P9" s="160"/>
      <c r="Q9" s="198">
        <v>0.69230000000000003</v>
      </c>
      <c r="R9" s="199">
        <v>-13546.67</v>
      </c>
      <c r="S9" s="200">
        <v>-8527.9</v>
      </c>
      <c r="T9" s="200">
        <v>-3509.13</v>
      </c>
      <c r="U9" s="160">
        <v>1509.64</v>
      </c>
      <c r="V9" s="160">
        <v>6528.4</v>
      </c>
      <c r="W9" s="160">
        <v>11547.17</v>
      </c>
      <c r="X9" s="178">
        <v>16565.939999999999</v>
      </c>
      <c r="Y9" s="160">
        <v>21584.71</v>
      </c>
      <c r="Z9" s="189">
        <v>26603.48</v>
      </c>
      <c r="AA9" s="4"/>
      <c r="AB9" s="176">
        <v>1</v>
      </c>
      <c r="AC9" s="201">
        <v>10</v>
      </c>
      <c r="AD9" s="202">
        <v>8621.9960680524964</v>
      </c>
      <c r="AE9" s="203">
        <v>0.18584457000258547</v>
      </c>
      <c r="AF9" s="202">
        <v>15150.149006833846</v>
      </c>
      <c r="AG9" s="204">
        <v>0.13666</v>
      </c>
      <c r="AH9" s="202">
        <v>6528.1529387813453</v>
      </c>
      <c r="AI9" s="205">
        <v>0.34927999999999998</v>
      </c>
      <c r="AJ9" s="201">
        <v>10</v>
      </c>
      <c r="AK9" s="202">
        <v>3251.0685560800193</v>
      </c>
      <c r="AL9" s="206">
        <v>0.21534191302333117</v>
      </c>
      <c r="AM9" s="202">
        <v>8539.7766844061771</v>
      </c>
      <c r="AN9" s="206">
        <v>0.24160999999999999</v>
      </c>
      <c r="AO9" s="202">
        <v>5288.7081283261577</v>
      </c>
      <c r="AP9" s="207">
        <v>0.45977000000000001</v>
      </c>
      <c r="AQ9" s="4"/>
      <c r="AR9" s="4"/>
      <c r="AS9" s="4"/>
      <c r="AT9" s="4"/>
      <c r="AU9" s="4"/>
    </row>
    <row r="10" spans="1:50" ht="15.75" customHeight="1" x14ac:dyDescent="0.3">
      <c r="B10" s="491" t="s">
        <v>7</v>
      </c>
      <c r="C10" s="492"/>
      <c r="D10" s="208">
        <v>10</v>
      </c>
      <c r="E10" s="208">
        <v>10</v>
      </c>
      <c r="H10" s="160"/>
      <c r="I10" s="186">
        <v>0.84619999999999995</v>
      </c>
      <c r="J10" s="187">
        <v>3604.73</v>
      </c>
      <c r="K10" s="160"/>
      <c r="L10" s="160"/>
      <c r="M10" s="188">
        <v>0.625</v>
      </c>
      <c r="N10" s="189">
        <v>93.84</v>
      </c>
      <c r="O10" s="4"/>
      <c r="P10" s="160"/>
      <c r="Q10" s="198">
        <v>0.76919999999999999</v>
      </c>
      <c r="R10" s="209">
        <v>-16055.3</v>
      </c>
      <c r="S10" s="210">
        <v>-11036.53</v>
      </c>
      <c r="T10" s="210">
        <v>-6017.76</v>
      </c>
      <c r="U10" s="210">
        <v>-999</v>
      </c>
      <c r="V10" s="160">
        <v>4019.77</v>
      </c>
      <c r="W10" s="160">
        <v>9038.5400000000009</v>
      </c>
      <c r="X10" s="178">
        <v>14057.31</v>
      </c>
      <c r="Y10" s="160">
        <v>19076.080000000002</v>
      </c>
      <c r="Z10" s="189">
        <v>24094.85</v>
      </c>
      <c r="AA10" s="4"/>
      <c r="AB10" s="176">
        <v>1.2</v>
      </c>
      <c r="AC10" s="177">
        <v>12</v>
      </c>
      <c r="AD10" s="178">
        <v>11234.023491911161</v>
      </c>
      <c r="AE10" s="195">
        <v>0.18739101103459799</v>
      </c>
      <c r="AF10" s="178">
        <v>18364.951990044508</v>
      </c>
      <c r="AG10" s="196">
        <v>0.20401273016166632</v>
      </c>
      <c r="AH10" s="178">
        <v>7130.928498133344</v>
      </c>
      <c r="AI10" s="181">
        <v>0.36943950541988135</v>
      </c>
      <c r="AJ10" s="177">
        <v>12</v>
      </c>
      <c r="AK10" s="178">
        <v>4854.9087195000175</v>
      </c>
      <c r="AL10" s="183">
        <v>0.21856476976064165</v>
      </c>
      <c r="AM10" s="178">
        <v>10513.733808615405</v>
      </c>
      <c r="AN10" s="183">
        <v>0.23562287543339222</v>
      </c>
      <c r="AO10" s="178">
        <v>5658.8250891153884</v>
      </c>
      <c r="AP10" s="211">
        <v>0.4053927645696831</v>
      </c>
      <c r="AQ10" s="4"/>
      <c r="AR10" s="4"/>
      <c r="AS10" s="4"/>
      <c r="AT10" s="4"/>
      <c r="AU10" s="4"/>
    </row>
    <row r="11" spans="1:50" ht="15.75" customHeight="1" x14ac:dyDescent="0.3">
      <c r="B11" s="491" t="s">
        <v>80</v>
      </c>
      <c r="C11" s="492"/>
      <c r="D11" s="166">
        <v>5000</v>
      </c>
      <c r="E11" s="166">
        <v>10000</v>
      </c>
      <c r="H11" s="160"/>
      <c r="I11" s="186">
        <v>0.92310000000000003</v>
      </c>
      <c r="J11" s="187">
        <v>6113.36</v>
      </c>
      <c r="K11" s="160"/>
      <c r="L11" s="160"/>
      <c r="M11" s="188">
        <v>0.75</v>
      </c>
      <c r="N11" s="189">
        <v>5112.6099999999997</v>
      </c>
      <c r="O11" s="4"/>
      <c r="P11" s="160"/>
      <c r="Q11" s="198">
        <v>0.84619999999999995</v>
      </c>
      <c r="R11" s="209">
        <v>-18567.2</v>
      </c>
      <c r="S11" s="210">
        <v>-13548.43</v>
      </c>
      <c r="T11" s="210">
        <v>-8529.66</v>
      </c>
      <c r="U11" s="210">
        <v>-3510.89</v>
      </c>
      <c r="V11" s="160">
        <v>1507.88</v>
      </c>
      <c r="W11" s="160">
        <v>6526.65</v>
      </c>
      <c r="X11" s="178">
        <v>11545.42</v>
      </c>
      <c r="Y11" s="160">
        <v>16564.18</v>
      </c>
      <c r="Z11" s="189">
        <v>21582.95</v>
      </c>
      <c r="AA11" s="4"/>
      <c r="AB11" s="176">
        <v>1.5</v>
      </c>
      <c r="AC11" s="212">
        <v>15</v>
      </c>
      <c r="AD11" s="213">
        <v>14007.905641102116</v>
      </c>
      <c r="AE11" s="214">
        <v>0.18579246641421587</v>
      </c>
      <c r="AF11" s="213">
        <v>21778.960789048753</v>
      </c>
      <c r="AG11" s="215">
        <v>0.19905345390099716</v>
      </c>
      <c r="AH11" s="213">
        <v>7771.0551479466394</v>
      </c>
      <c r="AI11" s="216">
        <v>0.32913153782888838</v>
      </c>
      <c r="AJ11" s="212">
        <v>15</v>
      </c>
      <c r="AK11" s="213">
        <v>6390.5721756365892</v>
      </c>
      <c r="AL11" s="217">
        <v>0.21903569272763868</v>
      </c>
      <c r="AM11" s="213">
        <v>12403.781139245039</v>
      </c>
      <c r="AN11" s="217">
        <v>0.2326684467930149</v>
      </c>
      <c r="AO11" s="213">
        <v>6013.2089636084438</v>
      </c>
      <c r="AP11" s="218">
        <v>0.36639321874170938</v>
      </c>
      <c r="AQ11" s="4"/>
      <c r="AR11" s="4"/>
      <c r="AS11" s="4"/>
      <c r="AT11" s="4"/>
      <c r="AU11" s="4"/>
    </row>
    <row r="12" spans="1:50" ht="15.75" customHeight="1" x14ac:dyDescent="0.25">
      <c r="B12" s="491" t="s">
        <v>81</v>
      </c>
      <c r="C12" s="492"/>
      <c r="D12" s="185">
        <v>0</v>
      </c>
      <c r="E12" s="185">
        <v>0</v>
      </c>
      <c r="H12" s="219">
        <v>6500</v>
      </c>
      <c r="I12" s="220">
        <v>1</v>
      </c>
      <c r="J12" s="221">
        <v>8622</v>
      </c>
      <c r="K12" s="160"/>
      <c r="L12" s="160"/>
      <c r="M12" s="188">
        <v>0.875</v>
      </c>
      <c r="N12" s="189">
        <v>10131.379999999999</v>
      </c>
      <c r="O12" s="4"/>
      <c r="P12" s="160"/>
      <c r="Q12" s="198">
        <v>0.92310000000000003</v>
      </c>
      <c r="R12" s="209">
        <v>-21075.83</v>
      </c>
      <c r="S12" s="210">
        <v>-16057.06</v>
      </c>
      <c r="T12" s="210">
        <v>-11038.29</v>
      </c>
      <c r="U12" s="210">
        <v>-6019.52</v>
      </c>
      <c r="V12" s="210">
        <v>-1000.75</v>
      </c>
      <c r="W12" s="160">
        <v>4018.02</v>
      </c>
      <c r="X12" s="178">
        <v>9036.7800000000007</v>
      </c>
      <c r="Y12" s="160">
        <v>14055.55</v>
      </c>
      <c r="Z12" s="189">
        <v>19074.32</v>
      </c>
      <c r="AA12" s="4"/>
      <c r="AB12" s="4"/>
      <c r="AC12" s="4"/>
      <c r="AD12" s="4"/>
      <c r="AE12" s="4"/>
      <c r="AF12" s="4"/>
      <c r="AG12" s="4"/>
      <c r="AH12" s="4"/>
      <c r="AI12" s="4"/>
      <c r="AJ12" s="4"/>
      <c r="AK12" s="4"/>
      <c r="AL12" s="4"/>
      <c r="AM12" s="4"/>
      <c r="AN12" s="4"/>
      <c r="AO12" s="4"/>
      <c r="AP12" s="4"/>
      <c r="AQ12" s="4"/>
      <c r="AR12" s="4"/>
      <c r="AS12" s="4"/>
      <c r="AT12" s="4"/>
      <c r="AU12" s="4"/>
      <c r="AV12" s="4"/>
    </row>
    <row r="13" spans="1:50" ht="15.75" customHeight="1" x14ac:dyDescent="0.25">
      <c r="B13" s="493" t="s">
        <v>82</v>
      </c>
      <c r="C13" s="463"/>
      <c r="D13" s="222">
        <f t="shared" ref="D13:E13" si="1">D11*D12</f>
        <v>0</v>
      </c>
      <c r="E13" s="222">
        <f t="shared" si="1"/>
        <v>0</v>
      </c>
      <c r="H13" s="160"/>
      <c r="I13" s="186">
        <v>1.0769</v>
      </c>
      <c r="J13" s="187">
        <v>11130.63</v>
      </c>
      <c r="K13" s="223"/>
      <c r="L13" s="219">
        <v>8000</v>
      </c>
      <c r="M13" s="224">
        <v>1</v>
      </c>
      <c r="N13" s="225">
        <v>15150.15</v>
      </c>
      <c r="O13" s="4"/>
      <c r="P13" s="219">
        <v>6500</v>
      </c>
      <c r="Q13" s="226">
        <v>1</v>
      </c>
      <c r="R13" s="227">
        <v>-23584.46</v>
      </c>
      <c r="S13" s="228">
        <v>-18565.689999999999</v>
      </c>
      <c r="T13" s="228">
        <v>-13546.92</v>
      </c>
      <c r="U13" s="228">
        <v>-8528.15</v>
      </c>
      <c r="V13" s="228">
        <v>-3509.38</v>
      </c>
      <c r="W13" s="229">
        <v>1509.38</v>
      </c>
      <c r="X13" s="202">
        <v>6528.15</v>
      </c>
      <c r="Y13" s="229">
        <v>11546.92</v>
      </c>
      <c r="Z13" s="230">
        <v>16565.689999999999</v>
      </c>
      <c r="AA13" s="4"/>
      <c r="AB13" s="4"/>
      <c r="AC13" s="4"/>
      <c r="AD13" s="4"/>
      <c r="AJ13" s="4"/>
      <c r="AK13" s="4"/>
      <c r="AL13" s="4"/>
      <c r="AM13" s="4"/>
      <c r="AN13" s="4"/>
      <c r="AO13" s="4"/>
      <c r="AP13" s="4"/>
      <c r="AQ13" s="4"/>
      <c r="AR13" s="4"/>
      <c r="AS13" s="4"/>
      <c r="AT13" s="4"/>
      <c r="AU13" s="4"/>
      <c r="AV13" s="4"/>
    </row>
    <row r="14" spans="1:50" ht="15.75" customHeight="1" x14ac:dyDescent="0.25">
      <c r="B14" s="4"/>
      <c r="C14" s="4"/>
      <c r="D14" s="4"/>
      <c r="E14" s="4"/>
      <c r="F14" s="4"/>
      <c r="G14" s="4"/>
      <c r="H14" s="167">
        <v>7500</v>
      </c>
      <c r="I14" s="231">
        <v>1.1537999999999999</v>
      </c>
      <c r="J14" s="222">
        <v>13639.26</v>
      </c>
      <c r="K14" s="160"/>
      <c r="L14" s="160"/>
      <c r="M14" s="188">
        <v>1.125</v>
      </c>
      <c r="N14" s="189">
        <v>20168.919999999998</v>
      </c>
      <c r="O14" s="4"/>
      <c r="P14" s="160"/>
      <c r="Q14" s="198">
        <v>1.0769</v>
      </c>
      <c r="R14" s="209">
        <v>-26093.09</v>
      </c>
      <c r="S14" s="210">
        <v>-21074.32</v>
      </c>
      <c r="T14" s="210">
        <v>-16055.55</v>
      </c>
      <c r="U14" s="210">
        <v>-11036.78</v>
      </c>
      <c r="V14" s="210">
        <v>-6018.02</v>
      </c>
      <c r="W14" s="210">
        <v>-999.25</v>
      </c>
      <c r="X14" s="178">
        <v>4019.52</v>
      </c>
      <c r="Y14" s="160">
        <v>9038.2900000000009</v>
      </c>
      <c r="Z14" s="189">
        <v>14057.06</v>
      </c>
      <c r="AA14" s="4"/>
      <c r="AC14" s="504" t="s">
        <v>115</v>
      </c>
      <c r="AD14" s="461"/>
      <c r="AE14" s="461"/>
      <c r="AF14" s="461"/>
      <c r="AG14" s="461"/>
      <c r="AH14" s="461"/>
      <c r="AI14" s="462"/>
      <c r="AJ14" s="4"/>
      <c r="AK14" s="504" t="s">
        <v>116</v>
      </c>
      <c r="AL14" s="461"/>
      <c r="AM14" s="461"/>
      <c r="AN14" s="461"/>
      <c r="AO14" s="461"/>
      <c r="AP14" s="461"/>
      <c r="AQ14" s="462"/>
      <c r="AR14" s="4"/>
      <c r="AS14" s="4"/>
      <c r="AT14" s="4"/>
      <c r="AU14" s="4"/>
      <c r="AV14" s="4"/>
      <c r="AW14" s="4"/>
    </row>
    <row r="15" spans="1:50" ht="15.75" customHeight="1" x14ac:dyDescent="0.25">
      <c r="B15" s="232" t="s">
        <v>24</v>
      </c>
      <c r="C15" s="233">
        <v>0.15</v>
      </c>
      <c r="E15" s="4"/>
      <c r="F15" s="4"/>
      <c r="G15" s="4"/>
      <c r="H15" s="4"/>
      <c r="I15" s="4"/>
      <c r="J15" s="4"/>
      <c r="K15" s="160"/>
      <c r="L15" s="167">
        <v>9000</v>
      </c>
      <c r="M15" s="234">
        <v>1.25</v>
      </c>
      <c r="N15" s="235">
        <v>25187.69</v>
      </c>
      <c r="O15" s="4"/>
      <c r="P15" s="167">
        <v>7500</v>
      </c>
      <c r="Q15" s="236">
        <v>1.1537999999999999</v>
      </c>
      <c r="R15" s="237">
        <v>-28601.72</v>
      </c>
      <c r="S15" s="238">
        <v>-23582.95</v>
      </c>
      <c r="T15" s="238">
        <v>-18564.18</v>
      </c>
      <c r="U15" s="238">
        <v>-13545.42</v>
      </c>
      <c r="V15" s="238">
        <v>-8526.65</v>
      </c>
      <c r="W15" s="238">
        <v>-3507.88</v>
      </c>
      <c r="X15" s="213">
        <v>1510.89</v>
      </c>
      <c r="Y15" s="239">
        <v>6529.66</v>
      </c>
      <c r="Z15" s="235">
        <v>11548.43</v>
      </c>
      <c r="AA15" s="4"/>
      <c r="AC15" s="240"/>
      <c r="AD15" s="495" t="s">
        <v>106</v>
      </c>
      <c r="AE15" s="462"/>
      <c r="AH15" s="495" t="s">
        <v>107</v>
      </c>
      <c r="AI15" s="462"/>
      <c r="AJ15" s="4"/>
      <c r="AK15" s="240"/>
      <c r="AL15" s="495" t="s">
        <v>106</v>
      </c>
      <c r="AM15" s="462"/>
      <c r="AP15" s="495" t="s">
        <v>107</v>
      </c>
      <c r="AQ15" s="462"/>
      <c r="AR15" s="4"/>
      <c r="AS15" s="4"/>
      <c r="AT15" s="4"/>
      <c r="AU15" s="4"/>
      <c r="AV15" s="4"/>
      <c r="AW15" s="4"/>
    </row>
    <row r="16" spans="1:50" ht="15.75" customHeight="1" x14ac:dyDescent="0.25">
      <c r="B16" s="241" t="s">
        <v>83</v>
      </c>
      <c r="C16" s="242">
        <v>0.2</v>
      </c>
      <c r="E16" s="4"/>
      <c r="F16" s="4"/>
      <c r="G16" s="4"/>
      <c r="H16" s="4"/>
      <c r="I16" s="4"/>
      <c r="J16" s="4"/>
      <c r="K16" s="4"/>
      <c r="L16" s="4"/>
      <c r="M16" s="4"/>
      <c r="N16" s="4"/>
      <c r="O16" s="4"/>
      <c r="P16" s="4"/>
      <c r="Q16" s="4"/>
      <c r="R16" s="4"/>
      <c r="S16" s="4"/>
      <c r="T16" s="4"/>
      <c r="U16" s="4"/>
      <c r="V16" s="4"/>
      <c r="W16" s="4"/>
      <c r="X16" s="4"/>
      <c r="Y16" s="4"/>
      <c r="Z16" s="4"/>
      <c r="AA16" s="4"/>
      <c r="AC16" s="243">
        <v>0</v>
      </c>
      <c r="AD16" s="244">
        <v>0</v>
      </c>
      <c r="AE16" s="245">
        <v>8621.9960680000004</v>
      </c>
      <c r="AG16" s="243">
        <v>0</v>
      </c>
      <c r="AH16" s="244">
        <v>0</v>
      </c>
      <c r="AI16" s="245">
        <v>15150.149009999999</v>
      </c>
      <c r="AJ16" s="246"/>
      <c r="AK16" s="243">
        <v>0</v>
      </c>
      <c r="AL16" s="244">
        <v>0</v>
      </c>
      <c r="AM16" s="245">
        <v>3251.0685560000002</v>
      </c>
      <c r="AO16" s="243">
        <v>0</v>
      </c>
      <c r="AP16" s="244">
        <v>0</v>
      </c>
      <c r="AQ16" s="245">
        <v>8539.7766840000004</v>
      </c>
      <c r="AR16" s="4"/>
      <c r="AS16" s="4"/>
      <c r="AT16" s="4"/>
      <c r="AU16" s="4"/>
      <c r="AV16" s="4"/>
      <c r="AW16" s="4"/>
    </row>
    <row r="17" spans="1:49" ht="15.75" customHeight="1" x14ac:dyDescent="0.25">
      <c r="H17" s="499" t="s">
        <v>117</v>
      </c>
      <c r="I17" s="466"/>
      <c r="J17" s="466"/>
      <c r="K17" s="466"/>
      <c r="L17" s="466"/>
      <c r="M17" s="466"/>
      <c r="N17" s="466"/>
      <c r="O17" s="4"/>
      <c r="P17" s="501" t="s">
        <v>118</v>
      </c>
      <c r="Q17" s="466"/>
      <c r="R17" s="466"/>
      <c r="S17" s="466"/>
      <c r="T17" s="466"/>
      <c r="U17" s="466"/>
      <c r="V17" s="466"/>
      <c r="W17" s="466"/>
      <c r="X17" s="466"/>
      <c r="Y17" s="466"/>
      <c r="Z17" s="466"/>
      <c r="AA17" s="4"/>
      <c r="AC17" s="247"/>
      <c r="AD17" s="248">
        <v>0.25</v>
      </c>
      <c r="AE17" s="187">
        <v>8930.9769510000006</v>
      </c>
      <c r="AG17" s="4"/>
      <c r="AH17" s="248">
        <v>0.25</v>
      </c>
      <c r="AI17" s="187">
        <v>15768.110769999999</v>
      </c>
      <c r="AJ17" s="4"/>
      <c r="AK17" s="247"/>
      <c r="AL17" s="248">
        <v>0.25</v>
      </c>
      <c r="AM17" s="187">
        <v>3452.9505349999999</v>
      </c>
      <c r="AO17" s="4"/>
      <c r="AP17" s="248">
        <v>0.25</v>
      </c>
      <c r="AQ17" s="187">
        <v>8943.5406419999999</v>
      </c>
      <c r="AR17" s="4"/>
      <c r="AS17" s="4"/>
      <c r="AT17" s="4"/>
      <c r="AU17" s="4"/>
      <c r="AV17" s="4"/>
      <c r="AW17" s="4"/>
    </row>
    <row r="18" spans="1:49" ht="15.75" customHeight="1" x14ac:dyDescent="0.25">
      <c r="A18" s="4"/>
      <c r="B18" s="4" t="s">
        <v>119</v>
      </c>
      <c r="C18" s="4"/>
      <c r="D18" s="4"/>
      <c r="E18" s="4"/>
      <c r="F18" s="4"/>
      <c r="G18" s="4"/>
      <c r="I18" s="500" t="s">
        <v>106</v>
      </c>
      <c r="J18" s="487"/>
      <c r="K18" s="4"/>
      <c r="M18" s="500" t="s">
        <v>107</v>
      </c>
      <c r="N18" s="487"/>
      <c r="O18" s="4"/>
      <c r="P18" s="156"/>
      <c r="Q18" s="156" t="s">
        <v>17</v>
      </c>
      <c r="R18" s="159">
        <v>2000</v>
      </c>
      <c r="S18" s="160"/>
      <c r="T18" s="160"/>
      <c r="U18" s="160"/>
      <c r="V18" s="160"/>
      <c r="W18" s="160"/>
      <c r="X18" s="161">
        <v>8000</v>
      </c>
      <c r="Y18" s="160"/>
      <c r="Z18" s="159">
        <v>9000</v>
      </c>
      <c r="AA18" s="4"/>
      <c r="AC18" s="247"/>
      <c r="AD18" s="248">
        <v>0.5</v>
      </c>
      <c r="AE18" s="187">
        <v>9239.9578330000004</v>
      </c>
      <c r="AG18" s="4"/>
      <c r="AH18" s="248">
        <v>0.5</v>
      </c>
      <c r="AI18" s="187">
        <v>16386.072540000001</v>
      </c>
      <c r="AJ18" s="4"/>
      <c r="AK18" s="247"/>
      <c r="AL18" s="248">
        <v>0.5</v>
      </c>
      <c r="AM18" s="187">
        <v>3654.8325129999998</v>
      </c>
      <c r="AO18" s="4"/>
      <c r="AP18" s="248">
        <v>0.5</v>
      </c>
      <c r="AQ18" s="187">
        <v>9347.3045989999991</v>
      </c>
      <c r="AR18" s="4"/>
      <c r="AS18" s="4"/>
      <c r="AT18" s="4"/>
      <c r="AU18" s="4"/>
      <c r="AV18" s="4"/>
      <c r="AW18" s="4"/>
    </row>
    <row r="19" spans="1:49" ht="15.75" customHeight="1" x14ac:dyDescent="0.25">
      <c r="A19" s="4"/>
      <c r="B19" s="249" t="s">
        <v>120</v>
      </c>
      <c r="C19" s="4"/>
      <c r="D19" s="4"/>
      <c r="E19" s="4"/>
      <c r="F19" s="4"/>
      <c r="G19" s="4"/>
      <c r="H19" s="167">
        <v>4000</v>
      </c>
      <c r="I19" s="250">
        <v>0.61539999999999995</v>
      </c>
      <c r="J19" s="169">
        <v>-7229.69</v>
      </c>
      <c r="K19" s="160"/>
      <c r="L19" s="167">
        <v>2000</v>
      </c>
      <c r="M19" s="251">
        <v>0.25</v>
      </c>
      <c r="N19" s="169">
        <v>-16615.060000000001</v>
      </c>
      <c r="O19" s="4"/>
      <c r="P19" s="156" t="s">
        <v>16</v>
      </c>
      <c r="Q19" s="156"/>
      <c r="R19" s="172">
        <v>0.25</v>
      </c>
      <c r="S19" s="173">
        <v>0.375</v>
      </c>
      <c r="T19" s="173">
        <v>0.5</v>
      </c>
      <c r="U19" s="173">
        <v>0.625</v>
      </c>
      <c r="V19" s="173">
        <v>0.75</v>
      </c>
      <c r="W19" s="173">
        <v>0.875</v>
      </c>
      <c r="X19" s="252">
        <v>1</v>
      </c>
      <c r="Y19" s="173">
        <v>1.125</v>
      </c>
      <c r="Z19" s="175">
        <v>1.25</v>
      </c>
      <c r="AA19" s="4"/>
      <c r="AC19" s="247"/>
      <c r="AD19" s="248">
        <v>0.75</v>
      </c>
      <c r="AE19" s="187">
        <v>9548.9387160000006</v>
      </c>
      <c r="AG19" s="4"/>
      <c r="AH19" s="248">
        <v>0.75</v>
      </c>
      <c r="AI19" s="187">
        <v>17004.034299999999</v>
      </c>
      <c r="AJ19" s="4"/>
      <c r="AK19" s="247"/>
      <c r="AL19" s="248">
        <v>0.75</v>
      </c>
      <c r="AM19" s="187">
        <v>3856.7144920000001</v>
      </c>
      <c r="AO19" s="4"/>
      <c r="AP19" s="248">
        <v>0.75</v>
      </c>
      <c r="AQ19" s="187">
        <v>9751.0685560000002</v>
      </c>
      <c r="AR19" s="4"/>
      <c r="AS19" s="4"/>
      <c r="AT19" s="4"/>
      <c r="AU19" s="4"/>
      <c r="AV19" s="4"/>
      <c r="AW19" s="4"/>
    </row>
    <row r="20" spans="1:49" ht="15.75" customHeight="1" x14ac:dyDescent="0.25">
      <c r="A20" s="4"/>
      <c r="B20" s="253" t="s">
        <v>121</v>
      </c>
      <c r="C20" s="4"/>
      <c r="D20" s="4"/>
      <c r="E20" s="4"/>
      <c r="F20" s="4"/>
      <c r="G20" s="4"/>
      <c r="H20" s="160"/>
      <c r="I20" s="198">
        <v>0.69230000000000003</v>
      </c>
      <c r="J20" s="187">
        <v>-5134.09</v>
      </c>
      <c r="K20" s="160"/>
      <c r="L20" s="160"/>
      <c r="M20" s="172">
        <v>0.375</v>
      </c>
      <c r="N20" s="187">
        <v>-12422.58</v>
      </c>
      <c r="O20" s="4"/>
      <c r="P20" s="167">
        <v>4000</v>
      </c>
      <c r="Q20" s="190">
        <v>0.61539999999999995</v>
      </c>
      <c r="R20" s="191">
        <v>-9385.36</v>
      </c>
      <c r="S20" s="192">
        <v>-5192.8900000000003</v>
      </c>
      <c r="T20" s="192">
        <v>-1000.42</v>
      </c>
      <c r="U20" s="254">
        <v>3192.05</v>
      </c>
      <c r="V20" s="193">
        <v>7384.52</v>
      </c>
      <c r="W20" s="193">
        <v>11577</v>
      </c>
      <c r="X20" s="194">
        <v>15769.47</v>
      </c>
      <c r="Y20" s="193">
        <v>19961.939999999999</v>
      </c>
      <c r="Z20" s="171">
        <v>24154.41</v>
      </c>
      <c r="AA20" s="4"/>
      <c r="AC20" s="255">
        <v>5000</v>
      </c>
      <c r="AD20" s="256">
        <v>1</v>
      </c>
      <c r="AE20" s="222">
        <v>9857.9195990000007</v>
      </c>
      <c r="AG20" s="255">
        <v>10000</v>
      </c>
      <c r="AH20" s="256">
        <v>1</v>
      </c>
      <c r="AI20" s="222">
        <v>17621.996070000001</v>
      </c>
      <c r="AJ20" s="246"/>
      <c r="AK20" s="255">
        <v>5000</v>
      </c>
      <c r="AL20" s="256">
        <v>1</v>
      </c>
      <c r="AM20" s="222">
        <v>4058.5964709999998</v>
      </c>
      <c r="AO20" s="255">
        <v>10000</v>
      </c>
      <c r="AP20" s="256">
        <v>1</v>
      </c>
      <c r="AQ20" s="222">
        <v>10154.83251</v>
      </c>
      <c r="AR20" s="4"/>
      <c r="AS20" s="4"/>
      <c r="AT20" s="4"/>
      <c r="AU20" s="4"/>
      <c r="AV20" s="4"/>
      <c r="AW20" s="4"/>
    </row>
    <row r="21" spans="1:49" ht="15.75" customHeight="1" x14ac:dyDescent="0.25">
      <c r="A21" s="4"/>
      <c r="B21" s="257" t="s">
        <v>122</v>
      </c>
      <c r="C21" s="4"/>
      <c r="D21" s="4"/>
      <c r="E21" s="4"/>
      <c r="F21" s="4"/>
      <c r="G21" s="4"/>
      <c r="H21" s="160"/>
      <c r="I21" s="198">
        <v>0.76919999999999999</v>
      </c>
      <c r="J21" s="187">
        <v>-3038.48</v>
      </c>
      <c r="K21" s="160"/>
      <c r="L21" s="160"/>
      <c r="M21" s="172">
        <v>0.5</v>
      </c>
      <c r="N21" s="187">
        <v>-8230.11</v>
      </c>
      <c r="O21" s="4"/>
      <c r="P21" s="160"/>
      <c r="Q21" s="198">
        <v>0.69230000000000003</v>
      </c>
      <c r="R21" s="199">
        <v>-11480.97</v>
      </c>
      <c r="S21" s="200">
        <v>-7288.5</v>
      </c>
      <c r="T21" s="200">
        <v>-3096.03</v>
      </c>
      <c r="U21" s="258">
        <v>1096.45</v>
      </c>
      <c r="V21" s="160">
        <v>5288.92</v>
      </c>
      <c r="W21" s="160">
        <v>9481.39</v>
      </c>
      <c r="X21" s="178">
        <v>13673.86</v>
      </c>
      <c r="Y21" s="160">
        <v>17866.330000000002</v>
      </c>
      <c r="Z21" s="189">
        <v>22058.81</v>
      </c>
      <c r="AA21" s="4"/>
      <c r="AC21" s="247"/>
      <c r="AD21" s="4"/>
      <c r="AE21" s="4"/>
      <c r="AF21" s="4"/>
      <c r="AG21" s="4"/>
      <c r="AH21" s="4"/>
      <c r="AI21" s="259"/>
      <c r="AJ21" s="4"/>
      <c r="AK21" s="240"/>
      <c r="AQ21" s="260"/>
      <c r="AR21" s="4"/>
      <c r="AS21" s="4"/>
      <c r="AT21" s="4"/>
      <c r="AU21" s="4"/>
      <c r="AV21" s="4"/>
      <c r="AW21" s="4"/>
    </row>
    <row r="22" spans="1:49" ht="15.75" customHeight="1" x14ac:dyDescent="0.25">
      <c r="A22" s="4"/>
      <c r="B22" s="261" t="s">
        <v>123</v>
      </c>
      <c r="C22" s="4"/>
      <c r="D22" s="4"/>
      <c r="E22" s="4"/>
      <c r="F22" s="4"/>
      <c r="G22" s="4"/>
      <c r="H22" s="160"/>
      <c r="I22" s="198">
        <v>0.84619999999999995</v>
      </c>
      <c r="J22" s="187">
        <v>-940.15</v>
      </c>
      <c r="K22" s="160"/>
      <c r="L22" s="160"/>
      <c r="M22" s="172">
        <v>0.625</v>
      </c>
      <c r="N22" s="187">
        <v>-4037.64</v>
      </c>
      <c r="O22" s="4"/>
      <c r="P22" s="160"/>
      <c r="Q22" s="198">
        <v>0.76919999999999999</v>
      </c>
      <c r="R22" s="199">
        <v>-13576.58</v>
      </c>
      <c r="S22" s="200">
        <v>-9384.11</v>
      </c>
      <c r="T22" s="200">
        <v>-5191.63</v>
      </c>
      <c r="U22" s="200">
        <v>-999.16</v>
      </c>
      <c r="V22" s="160">
        <v>3193.31</v>
      </c>
      <c r="W22" s="160">
        <v>7385.78</v>
      </c>
      <c r="X22" s="178">
        <v>11578.25</v>
      </c>
      <c r="Y22" s="160">
        <v>15770.73</v>
      </c>
      <c r="Z22" s="189">
        <v>19963.2</v>
      </c>
      <c r="AA22" s="4"/>
      <c r="AC22" s="247"/>
      <c r="AD22" s="156" t="s">
        <v>17</v>
      </c>
      <c r="AE22" s="262">
        <v>0</v>
      </c>
      <c r="AF22" s="4"/>
      <c r="AG22" s="4"/>
      <c r="AH22" s="4"/>
      <c r="AI22" s="263">
        <v>10000</v>
      </c>
      <c r="AJ22" s="4"/>
      <c r="AK22" s="247"/>
      <c r="AL22" s="156" t="s">
        <v>17</v>
      </c>
      <c r="AM22" s="262">
        <v>0</v>
      </c>
      <c r="AN22" s="4"/>
      <c r="AO22" s="4"/>
      <c r="AP22" s="4"/>
      <c r="AQ22" s="263">
        <v>10000</v>
      </c>
      <c r="AR22" s="4"/>
      <c r="AS22" s="4"/>
      <c r="AT22" s="4"/>
      <c r="AU22" s="4"/>
      <c r="AV22" s="4"/>
      <c r="AW22" s="4"/>
    </row>
    <row r="23" spans="1:49" ht="15.75" customHeight="1" x14ac:dyDescent="0.25">
      <c r="A23" s="4"/>
      <c r="B23" s="4"/>
      <c r="C23" s="4"/>
      <c r="D23" s="4"/>
      <c r="E23" s="4"/>
      <c r="F23" s="4"/>
      <c r="G23" s="4"/>
      <c r="H23" s="160"/>
      <c r="I23" s="198">
        <v>0.92310000000000003</v>
      </c>
      <c r="J23" s="187">
        <v>1155.46</v>
      </c>
      <c r="K23" s="160"/>
      <c r="L23" s="160"/>
      <c r="M23" s="172">
        <v>0.75</v>
      </c>
      <c r="N23" s="187">
        <v>154.83000000000001</v>
      </c>
      <c r="O23" s="4"/>
      <c r="P23" s="160"/>
      <c r="Q23" s="198">
        <v>0.84619999999999995</v>
      </c>
      <c r="R23" s="199">
        <v>-15674.91</v>
      </c>
      <c r="S23" s="200">
        <v>-11482.44</v>
      </c>
      <c r="T23" s="200">
        <v>-7289.97</v>
      </c>
      <c r="U23" s="200">
        <v>-3097.49</v>
      </c>
      <c r="V23" s="160">
        <v>1094.98</v>
      </c>
      <c r="W23" s="160">
        <v>5287.45</v>
      </c>
      <c r="X23" s="178">
        <v>9479.92</v>
      </c>
      <c r="Y23" s="160">
        <v>13672.39</v>
      </c>
      <c r="Z23" s="189">
        <v>17864.87</v>
      </c>
      <c r="AA23" s="4"/>
      <c r="AC23" s="264" t="s">
        <v>16</v>
      </c>
      <c r="AD23" s="4"/>
      <c r="AE23" s="265">
        <v>0</v>
      </c>
      <c r="AF23" s="266">
        <v>0.25</v>
      </c>
      <c r="AG23" s="266">
        <v>0.5</v>
      </c>
      <c r="AH23" s="266">
        <v>0.75</v>
      </c>
      <c r="AI23" s="267">
        <v>1</v>
      </c>
      <c r="AJ23" s="4"/>
      <c r="AK23" s="264" t="s">
        <v>16</v>
      </c>
      <c r="AL23" s="4"/>
      <c r="AM23" s="265">
        <v>0</v>
      </c>
      <c r="AN23" s="266">
        <v>0.25</v>
      </c>
      <c r="AO23" s="266">
        <v>0.5</v>
      </c>
      <c r="AP23" s="266">
        <v>0.75</v>
      </c>
      <c r="AQ23" s="267">
        <v>1</v>
      </c>
      <c r="AR23" s="4"/>
      <c r="AS23" s="4"/>
      <c r="AT23" s="4"/>
      <c r="AU23" s="4"/>
      <c r="AV23" s="4"/>
      <c r="AW23" s="4"/>
    </row>
    <row r="24" spans="1:49" ht="15.75" customHeight="1" x14ac:dyDescent="0.25">
      <c r="A24" s="4"/>
      <c r="B24" s="4"/>
      <c r="C24" s="4"/>
      <c r="D24" s="4"/>
      <c r="E24" s="4"/>
      <c r="F24" s="4"/>
      <c r="G24" s="4"/>
      <c r="H24" s="219">
        <v>6500</v>
      </c>
      <c r="I24" s="268">
        <v>1</v>
      </c>
      <c r="J24" s="221">
        <v>3251.07</v>
      </c>
      <c r="K24" s="160"/>
      <c r="L24" s="160"/>
      <c r="M24" s="172">
        <v>0.875</v>
      </c>
      <c r="N24" s="187">
        <v>4347.3</v>
      </c>
      <c r="O24" s="4"/>
      <c r="P24" s="160"/>
      <c r="Q24" s="198">
        <v>0.92310000000000003</v>
      </c>
      <c r="R24" s="209">
        <v>-17770.52</v>
      </c>
      <c r="S24" s="210">
        <v>-13578.05</v>
      </c>
      <c r="T24" s="210">
        <v>-9385.57</v>
      </c>
      <c r="U24" s="210">
        <v>-5193.1000000000004</v>
      </c>
      <c r="V24" s="210">
        <v>-1000.63</v>
      </c>
      <c r="W24" s="160">
        <v>3191.84</v>
      </c>
      <c r="X24" s="178">
        <v>7384.32</v>
      </c>
      <c r="Y24" s="160">
        <v>11576.79</v>
      </c>
      <c r="Z24" s="189">
        <v>15769.26</v>
      </c>
      <c r="AA24" s="4"/>
      <c r="AC24" s="243">
        <v>0</v>
      </c>
      <c r="AD24" s="244">
        <v>0</v>
      </c>
      <c r="AE24" s="269">
        <v>6528.1529389999996</v>
      </c>
      <c r="AF24" s="270">
        <v>7146.1147039999996</v>
      </c>
      <c r="AG24" s="270">
        <v>7764.0764689999996</v>
      </c>
      <c r="AH24" s="270">
        <v>8382.038235</v>
      </c>
      <c r="AI24" s="271">
        <v>9000</v>
      </c>
      <c r="AJ24" s="4"/>
      <c r="AK24" s="243">
        <v>0</v>
      </c>
      <c r="AL24" s="244">
        <v>0</v>
      </c>
      <c r="AM24" s="269">
        <v>5288.7081280000002</v>
      </c>
      <c r="AN24" s="270">
        <v>5692.4720859999998</v>
      </c>
      <c r="AO24" s="270">
        <v>6096.2360429999999</v>
      </c>
      <c r="AP24" s="270">
        <v>6500</v>
      </c>
      <c r="AQ24" s="271">
        <v>6903.7639570000001</v>
      </c>
      <c r="AR24" s="4"/>
      <c r="AS24" s="4"/>
      <c r="AT24" s="4"/>
      <c r="AU24" s="4"/>
      <c r="AV24" s="4"/>
      <c r="AW24" s="4"/>
    </row>
    <row r="25" spans="1:49" ht="15.75" customHeight="1" x14ac:dyDescent="0.25">
      <c r="A25" s="4"/>
      <c r="B25" s="3"/>
      <c r="C25" s="3"/>
      <c r="D25" s="3"/>
      <c r="E25" s="3"/>
      <c r="F25" s="3"/>
      <c r="G25" s="4"/>
      <c r="H25" s="160"/>
      <c r="I25" s="198">
        <v>1.0769</v>
      </c>
      <c r="J25" s="187">
        <v>5346.68</v>
      </c>
      <c r="K25" s="223"/>
      <c r="L25" s="219">
        <v>8000</v>
      </c>
      <c r="M25" s="272">
        <v>1</v>
      </c>
      <c r="N25" s="221">
        <v>8539.7800000000007</v>
      </c>
      <c r="O25" s="4"/>
      <c r="P25" s="219">
        <v>6500</v>
      </c>
      <c r="Q25" s="268">
        <v>1</v>
      </c>
      <c r="R25" s="227">
        <v>-19866.12</v>
      </c>
      <c r="S25" s="228">
        <v>-15673.65</v>
      </c>
      <c r="T25" s="228">
        <v>-11481.18</v>
      </c>
      <c r="U25" s="228">
        <v>-7288.71</v>
      </c>
      <c r="V25" s="228">
        <v>-3096.24</v>
      </c>
      <c r="W25" s="229">
        <v>1096.24</v>
      </c>
      <c r="X25" s="202">
        <v>5288.71</v>
      </c>
      <c r="Y25" s="229">
        <v>9481.18</v>
      </c>
      <c r="Z25" s="230">
        <v>13673.65</v>
      </c>
      <c r="AA25" s="4"/>
      <c r="AC25" s="247"/>
      <c r="AD25" s="248">
        <v>0.25</v>
      </c>
      <c r="AE25" s="273">
        <v>6219.1720560000003</v>
      </c>
      <c r="AF25" s="160">
        <v>6837.1338210000004</v>
      </c>
      <c r="AG25" s="160">
        <v>7455.0955869999998</v>
      </c>
      <c r="AH25" s="160">
        <v>8073.0573519999998</v>
      </c>
      <c r="AI25" s="189">
        <v>8691.0191169999998</v>
      </c>
      <c r="AJ25" s="4"/>
      <c r="AK25" s="247"/>
      <c r="AL25" s="248">
        <v>0.25</v>
      </c>
      <c r="AM25" s="273">
        <v>5086.8261499999999</v>
      </c>
      <c r="AN25" s="160">
        <v>5490.590107</v>
      </c>
      <c r="AO25" s="160">
        <v>5894.3540640000001</v>
      </c>
      <c r="AP25" s="160">
        <v>6298.1180210000002</v>
      </c>
      <c r="AQ25" s="189">
        <v>6701.8819789999998</v>
      </c>
      <c r="AR25" s="4"/>
      <c r="AS25" s="4"/>
      <c r="AT25" s="4"/>
      <c r="AU25" s="4"/>
      <c r="AV25" s="4"/>
      <c r="AW25" s="4"/>
    </row>
    <row r="26" spans="1:49" ht="15.75" customHeight="1" x14ac:dyDescent="0.25">
      <c r="A26" s="4"/>
      <c r="B26" s="3"/>
      <c r="C26" s="3"/>
      <c r="D26" s="3"/>
      <c r="E26" s="3"/>
      <c r="F26" s="3"/>
      <c r="G26" s="4"/>
      <c r="H26" s="167">
        <v>7500</v>
      </c>
      <c r="I26" s="236">
        <v>1.1537999999999999</v>
      </c>
      <c r="J26" s="222">
        <v>7442.28</v>
      </c>
      <c r="K26" s="160"/>
      <c r="L26" s="160"/>
      <c r="M26" s="172">
        <v>1.125</v>
      </c>
      <c r="N26" s="187">
        <v>12732.25</v>
      </c>
      <c r="O26" s="4"/>
      <c r="P26" s="160"/>
      <c r="Q26" s="198">
        <v>1.0769</v>
      </c>
      <c r="R26" s="209">
        <v>-21961.73</v>
      </c>
      <c r="S26" s="210">
        <v>-17769.259999999998</v>
      </c>
      <c r="T26" s="210">
        <v>-13576.79</v>
      </c>
      <c r="U26" s="210">
        <v>-9384.32</v>
      </c>
      <c r="V26" s="210">
        <v>-5191.84</v>
      </c>
      <c r="W26" s="210">
        <v>-999.37</v>
      </c>
      <c r="X26" s="178">
        <v>3193.1</v>
      </c>
      <c r="Y26" s="160">
        <v>7385.57</v>
      </c>
      <c r="Z26" s="189">
        <v>11578.05</v>
      </c>
      <c r="AA26" s="4"/>
      <c r="AC26" s="247"/>
      <c r="AD26" s="248">
        <v>0.5</v>
      </c>
      <c r="AE26" s="273">
        <v>5910.1911730000002</v>
      </c>
      <c r="AF26" s="160">
        <v>6528.1529389999996</v>
      </c>
      <c r="AG26" s="160">
        <v>7146.1147039999996</v>
      </c>
      <c r="AH26" s="160">
        <v>7764.0764689999996</v>
      </c>
      <c r="AI26" s="189">
        <v>8382.038235</v>
      </c>
      <c r="AJ26" s="4"/>
      <c r="AK26" s="247"/>
      <c r="AL26" s="248">
        <v>0.5</v>
      </c>
      <c r="AM26" s="273">
        <v>4884.9441710000001</v>
      </c>
      <c r="AN26" s="160">
        <v>5288.7081280000002</v>
      </c>
      <c r="AO26" s="160">
        <v>5692.4720859999998</v>
      </c>
      <c r="AP26" s="160">
        <v>6096.2360429999999</v>
      </c>
      <c r="AQ26" s="189">
        <v>6500</v>
      </c>
      <c r="AR26" s="4"/>
      <c r="AS26" s="4"/>
      <c r="AT26" s="4"/>
      <c r="AU26" s="4"/>
      <c r="AV26" s="4"/>
      <c r="AW26" s="4"/>
    </row>
    <row r="27" spans="1:49" ht="15.75" customHeight="1" x14ac:dyDescent="0.25">
      <c r="A27" s="4"/>
      <c r="B27" s="3"/>
      <c r="C27" s="3"/>
      <c r="D27" s="3"/>
      <c r="E27" s="3"/>
      <c r="F27" s="3"/>
      <c r="G27" s="4"/>
      <c r="H27" s="4"/>
      <c r="I27" s="4"/>
      <c r="J27" s="4"/>
      <c r="K27" s="160"/>
      <c r="L27" s="167">
        <v>9000</v>
      </c>
      <c r="M27" s="274">
        <v>1.25</v>
      </c>
      <c r="N27" s="222">
        <v>16924.72</v>
      </c>
      <c r="O27" s="4"/>
      <c r="P27" s="167">
        <v>7500</v>
      </c>
      <c r="Q27" s="236">
        <v>1.1537999999999999</v>
      </c>
      <c r="R27" s="237">
        <v>-24057.34</v>
      </c>
      <c r="S27" s="238">
        <v>-19864.87</v>
      </c>
      <c r="T27" s="238">
        <v>-15672.39</v>
      </c>
      <c r="U27" s="238">
        <v>-11479.92</v>
      </c>
      <c r="V27" s="238">
        <v>-7287.45</v>
      </c>
      <c r="W27" s="238">
        <v>-3094.98</v>
      </c>
      <c r="X27" s="213">
        <v>1097.49</v>
      </c>
      <c r="Y27" s="239">
        <v>5289.97</v>
      </c>
      <c r="Z27" s="235">
        <v>9482.44</v>
      </c>
      <c r="AA27" s="4"/>
      <c r="AC27" s="247"/>
      <c r="AD27" s="248">
        <v>0.75</v>
      </c>
      <c r="AE27" s="273">
        <v>5601.2102910000003</v>
      </c>
      <c r="AF27" s="160">
        <v>6219.1720560000003</v>
      </c>
      <c r="AG27" s="160">
        <v>6837.1338210000004</v>
      </c>
      <c r="AH27" s="160">
        <v>7455.0955869999998</v>
      </c>
      <c r="AI27" s="189">
        <v>8073.0573519999998</v>
      </c>
      <c r="AJ27" s="4"/>
      <c r="AK27" s="247"/>
      <c r="AL27" s="248">
        <v>0.75</v>
      </c>
      <c r="AM27" s="273">
        <v>4683.0621920000003</v>
      </c>
      <c r="AN27" s="160">
        <v>5086.8261499999999</v>
      </c>
      <c r="AO27" s="160">
        <v>5490.590107</v>
      </c>
      <c r="AP27" s="160">
        <v>5894.3540640000001</v>
      </c>
      <c r="AQ27" s="189">
        <v>6298.1180210000002</v>
      </c>
      <c r="AR27" s="4"/>
      <c r="AS27" s="4"/>
      <c r="AT27" s="4"/>
      <c r="AU27" s="4"/>
      <c r="AV27" s="4"/>
      <c r="AW27" s="4"/>
    </row>
    <row r="28" spans="1:49" ht="15.75" customHeight="1" x14ac:dyDescent="0.25">
      <c r="A28" s="4"/>
      <c r="B28" s="3"/>
      <c r="C28" s="3"/>
      <c r="D28" s="3"/>
      <c r="E28" s="3"/>
      <c r="F28" s="3"/>
      <c r="G28" s="4"/>
      <c r="H28" s="4"/>
      <c r="I28" s="4"/>
      <c r="J28" s="4"/>
      <c r="K28" s="4"/>
      <c r="L28" s="4"/>
      <c r="M28" s="4"/>
      <c r="N28" s="4"/>
      <c r="O28" s="4"/>
      <c r="P28" s="4"/>
      <c r="Q28" s="4"/>
      <c r="R28" s="275" t="s">
        <v>124</v>
      </c>
      <c r="S28" s="4"/>
      <c r="T28" s="4"/>
      <c r="V28" s="4"/>
      <c r="W28" s="4"/>
      <c r="X28" s="4"/>
      <c r="Y28" s="4"/>
      <c r="Z28" s="4"/>
      <c r="AA28" s="4"/>
      <c r="AC28" s="255">
        <v>5000</v>
      </c>
      <c r="AD28" s="256">
        <v>1</v>
      </c>
      <c r="AE28" s="276">
        <v>5292.2294080000001</v>
      </c>
      <c r="AF28" s="239">
        <v>5910.1911730000002</v>
      </c>
      <c r="AG28" s="239">
        <v>6528.1529389999996</v>
      </c>
      <c r="AH28" s="239">
        <v>7146.1147039999996</v>
      </c>
      <c r="AI28" s="235">
        <v>7764.0764689999996</v>
      </c>
      <c r="AJ28" s="4"/>
      <c r="AK28" s="255">
        <v>5000</v>
      </c>
      <c r="AL28" s="256">
        <v>1</v>
      </c>
      <c r="AM28" s="276">
        <v>4481.180214</v>
      </c>
      <c r="AN28" s="239">
        <v>4884.9441710000001</v>
      </c>
      <c r="AO28" s="239">
        <v>5288.7081280000002</v>
      </c>
      <c r="AP28" s="239">
        <v>5692.4720859999998</v>
      </c>
      <c r="AQ28" s="235">
        <v>6096.2360429999999</v>
      </c>
      <c r="AR28" s="4"/>
      <c r="AS28" s="4"/>
      <c r="AT28" s="4"/>
      <c r="AU28" s="4"/>
      <c r="AV28" s="4"/>
      <c r="AW28" s="4"/>
    </row>
    <row r="29" spans="1:49" ht="15.75" customHeight="1" x14ac:dyDescent="0.25">
      <c r="A29" s="4"/>
      <c r="B29" s="3"/>
      <c r="C29" s="3"/>
      <c r="D29" s="3"/>
      <c r="E29" s="3"/>
      <c r="F29" s="3"/>
      <c r="G29" s="4"/>
      <c r="H29" s="499" t="s">
        <v>125</v>
      </c>
      <c r="I29" s="466"/>
      <c r="J29" s="466"/>
      <c r="K29" s="466"/>
      <c r="L29" s="466"/>
      <c r="M29" s="466"/>
      <c r="N29" s="466"/>
      <c r="O29" s="4"/>
      <c r="P29" s="501" t="s">
        <v>126</v>
      </c>
      <c r="Q29" s="466"/>
      <c r="R29" s="466"/>
      <c r="S29" s="466"/>
      <c r="T29" s="466"/>
      <c r="U29" s="466"/>
      <c r="V29" s="466"/>
      <c r="W29" s="466"/>
      <c r="X29" s="466"/>
      <c r="Y29" s="466"/>
      <c r="Z29" s="466"/>
      <c r="AA29" s="4"/>
      <c r="AQ29" s="4"/>
      <c r="AR29" s="4"/>
      <c r="AS29" s="4"/>
      <c r="AT29" s="4"/>
      <c r="AU29" s="4"/>
      <c r="AV29" s="4"/>
      <c r="AW29" s="4"/>
    </row>
    <row r="30" spans="1:49" ht="15.75" customHeight="1" x14ac:dyDescent="0.25">
      <c r="A30" s="4"/>
      <c r="B30" s="3"/>
      <c r="C30" s="3"/>
      <c r="D30" s="3"/>
      <c r="E30" s="3"/>
      <c r="F30" s="3"/>
      <c r="G30" s="4"/>
      <c r="I30" s="494" t="s">
        <v>127</v>
      </c>
      <c r="J30" s="462"/>
      <c r="K30" s="4"/>
      <c r="M30" s="495" t="s">
        <v>128</v>
      </c>
      <c r="N30" s="462"/>
      <c r="O30" s="4"/>
      <c r="P30" s="156"/>
      <c r="Q30" s="156" t="s">
        <v>17</v>
      </c>
      <c r="R30" s="159">
        <v>2000</v>
      </c>
      <c r="S30" s="160"/>
      <c r="T30" s="160"/>
      <c r="U30" s="160"/>
      <c r="V30" s="160"/>
      <c r="W30" s="160"/>
      <c r="X30" s="161">
        <v>8000</v>
      </c>
      <c r="Y30" s="160"/>
      <c r="Z30" s="159">
        <v>9000</v>
      </c>
      <c r="AA30" s="4"/>
      <c r="AQ30" s="4"/>
      <c r="AR30" s="4"/>
      <c r="AS30" s="4"/>
      <c r="AT30" s="4"/>
      <c r="AU30" s="4"/>
      <c r="AV30" s="4"/>
      <c r="AW30" s="4"/>
    </row>
    <row r="31" spans="1:49" ht="15.75" customHeight="1" x14ac:dyDescent="0.25">
      <c r="A31" s="4"/>
      <c r="B31" s="3"/>
      <c r="C31" s="3"/>
      <c r="D31" s="3"/>
      <c r="E31" s="3"/>
      <c r="F31" s="3"/>
      <c r="G31" s="4"/>
      <c r="H31" s="167">
        <v>4000</v>
      </c>
      <c r="I31" s="168">
        <v>0.61539999999999995</v>
      </c>
      <c r="J31" s="277">
        <v>0.12964999999999999</v>
      </c>
      <c r="K31" s="160"/>
      <c r="L31" s="167">
        <v>2000</v>
      </c>
      <c r="M31" s="170">
        <v>0.25</v>
      </c>
      <c r="N31" s="278">
        <v>4.9700000000000001E-2</v>
      </c>
      <c r="O31" s="4"/>
      <c r="P31" s="156" t="s">
        <v>16</v>
      </c>
      <c r="Q31" s="156"/>
      <c r="R31" s="172">
        <v>0.25</v>
      </c>
      <c r="S31" s="173">
        <v>0.375</v>
      </c>
      <c r="T31" s="173">
        <v>0.5</v>
      </c>
      <c r="U31" s="173">
        <v>0.625</v>
      </c>
      <c r="V31" s="173">
        <v>0.75</v>
      </c>
      <c r="W31" s="173">
        <v>0.875</v>
      </c>
      <c r="X31" s="174">
        <v>1</v>
      </c>
      <c r="Y31" s="173">
        <v>1.125</v>
      </c>
      <c r="Z31" s="175">
        <v>1.25</v>
      </c>
      <c r="AA31" s="4"/>
      <c r="AQ31" s="4"/>
      <c r="AR31" s="4"/>
      <c r="AS31" s="4"/>
      <c r="AT31" s="4"/>
      <c r="AU31" s="4"/>
      <c r="AV31" s="4"/>
      <c r="AW31" s="4"/>
    </row>
    <row r="32" spans="1:49" ht="15.75" customHeight="1" x14ac:dyDescent="0.25">
      <c r="A32" s="4"/>
      <c r="B32" s="3"/>
      <c r="C32" s="3"/>
      <c r="D32" s="3"/>
      <c r="E32" s="3"/>
      <c r="F32" s="3"/>
      <c r="G32" s="4"/>
      <c r="H32" s="160"/>
      <c r="I32" s="186">
        <v>0.69230000000000003</v>
      </c>
      <c r="J32" s="279">
        <v>0.14302999999999999</v>
      </c>
      <c r="K32" s="160"/>
      <c r="L32" s="160"/>
      <c r="M32" s="188">
        <v>0.375</v>
      </c>
      <c r="N32" s="280">
        <v>9.3140000000000001E-2</v>
      </c>
      <c r="O32" s="4"/>
      <c r="P32" s="167">
        <v>4000</v>
      </c>
      <c r="Q32" s="190">
        <v>0.61539999999999995</v>
      </c>
      <c r="R32" s="281">
        <v>-1</v>
      </c>
      <c r="S32" s="282">
        <v>-1</v>
      </c>
      <c r="T32" s="282">
        <v>-1</v>
      </c>
      <c r="U32" s="282">
        <v>0.3513</v>
      </c>
      <c r="V32" s="282">
        <v>0.44829999999999998</v>
      </c>
      <c r="W32" s="282">
        <v>0.50822999999999996</v>
      </c>
      <c r="X32" s="283">
        <v>0.55225000000000002</v>
      </c>
      <c r="Y32" s="282">
        <v>0.58728000000000002</v>
      </c>
      <c r="Z32" s="284">
        <v>0.61648999999999998</v>
      </c>
      <c r="AA32" s="4"/>
      <c r="AQ32" s="4"/>
      <c r="AR32" s="4"/>
      <c r="AS32" s="4"/>
      <c r="AT32" s="4"/>
      <c r="AU32" s="4"/>
      <c r="AV32" s="4"/>
      <c r="AW32" s="4"/>
    </row>
    <row r="33" spans="1:49" ht="15.75" customHeight="1" x14ac:dyDescent="0.3">
      <c r="A33" s="4"/>
      <c r="B33" s="3"/>
      <c r="C33" s="3"/>
      <c r="D33" s="3"/>
      <c r="E33" s="3"/>
      <c r="F33" s="3"/>
      <c r="G33" s="4"/>
      <c r="H33" s="160"/>
      <c r="I33" s="186">
        <v>0.76919999999999999</v>
      </c>
      <c r="J33" s="285">
        <v>0.15512999999999999</v>
      </c>
      <c r="K33" s="160"/>
      <c r="L33" s="160"/>
      <c r="M33" s="188">
        <v>0.5</v>
      </c>
      <c r="N33" s="280">
        <v>0.12504000000000001</v>
      </c>
      <c r="O33" s="4"/>
      <c r="P33" s="160"/>
      <c r="Q33" s="198">
        <v>0.69230000000000003</v>
      </c>
      <c r="R33" s="286">
        <v>-1</v>
      </c>
      <c r="S33" s="287">
        <v>-1</v>
      </c>
      <c r="T33" s="287">
        <v>-1</v>
      </c>
      <c r="U33" s="287">
        <v>0.26084000000000002</v>
      </c>
      <c r="V33" s="287">
        <v>0.40723999999999999</v>
      </c>
      <c r="W33" s="287">
        <v>0.48098999999999997</v>
      </c>
      <c r="X33" s="288">
        <v>0.53166999999999998</v>
      </c>
      <c r="Y33" s="287">
        <v>0.57064999999999999</v>
      </c>
      <c r="Z33" s="289">
        <v>0.60248999999999997</v>
      </c>
      <c r="AA33" s="4"/>
      <c r="AB33" s="4"/>
      <c r="AC33" s="485" t="s">
        <v>129</v>
      </c>
      <c r="AD33" s="486"/>
      <c r="AE33" s="486"/>
      <c r="AF33" s="486"/>
      <c r="AG33" s="486"/>
      <c r="AH33" s="486"/>
      <c r="AI33" s="486"/>
      <c r="AJ33" s="487"/>
      <c r="AK33" s="66"/>
      <c r="AQ33" s="4"/>
      <c r="AR33" s="4"/>
      <c r="AS33" s="4"/>
      <c r="AT33" s="4"/>
      <c r="AU33" s="4"/>
      <c r="AV33" s="4"/>
      <c r="AW33" s="4"/>
    </row>
    <row r="34" spans="1:49" ht="15.75" customHeight="1" x14ac:dyDescent="0.3">
      <c r="A34" s="4"/>
      <c r="B34" s="3"/>
      <c r="C34" s="3"/>
      <c r="D34" s="3"/>
      <c r="E34" s="3"/>
      <c r="F34" s="3"/>
      <c r="G34" s="4"/>
      <c r="H34" s="160"/>
      <c r="I34" s="186">
        <v>0.84619999999999995</v>
      </c>
      <c r="J34" s="285">
        <v>0.16621</v>
      </c>
      <c r="K34" s="160"/>
      <c r="L34" s="160"/>
      <c r="M34" s="188">
        <v>0.625</v>
      </c>
      <c r="N34" s="289">
        <v>0.15043000000000001</v>
      </c>
      <c r="O34" s="4"/>
      <c r="P34" s="160"/>
      <c r="Q34" s="198">
        <v>0.76919999999999999</v>
      </c>
      <c r="R34" s="286">
        <v>-1</v>
      </c>
      <c r="S34" s="287">
        <v>-1</v>
      </c>
      <c r="T34" s="287">
        <v>-1</v>
      </c>
      <c r="U34" s="287">
        <v>-0.42342000000000002</v>
      </c>
      <c r="V34" s="287">
        <v>0.35135</v>
      </c>
      <c r="W34" s="287">
        <v>0.44832</v>
      </c>
      <c r="X34" s="288">
        <v>0.50824999999999998</v>
      </c>
      <c r="Y34" s="287">
        <v>0.55225999999999997</v>
      </c>
      <c r="Z34" s="289">
        <v>0.58728999999999998</v>
      </c>
      <c r="AA34" s="4"/>
      <c r="AB34" s="4"/>
      <c r="AC34" s="502" t="s">
        <v>130</v>
      </c>
      <c r="AD34" s="461"/>
      <c r="AE34" s="461"/>
      <c r="AF34" s="462"/>
      <c r="AG34" s="502" t="s">
        <v>131</v>
      </c>
      <c r="AH34" s="461"/>
      <c r="AI34" s="461"/>
      <c r="AJ34" s="462"/>
      <c r="AL34" s="4"/>
      <c r="AM34" s="4"/>
      <c r="AN34" s="4"/>
      <c r="AO34" s="4"/>
      <c r="AP34" s="4"/>
      <c r="AQ34" s="4"/>
      <c r="AR34" s="4"/>
      <c r="AS34" s="4"/>
      <c r="AT34" s="4"/>
      <c r="AU34" s="4"/>
      <c r="AV34" s="4"/>
      <c r="AW34" s="4"/>
    </row>
    <row r="35" spans="1:49" ht="15.75" customHeight="1" x14ac:dyDescent="0.3">
      <c r="A35" s="4"/>
      <c r="B35" s="3"/>
      <c r="C35" s="3"/>
      <c r="D35" s="3"/>
      <c r="E35" s="3"/>
      <c r="F35" s="3"/>
      <c r="G35" s="4"/>
      <c r="H35" s="160"/>
      <c r="I35" s="186">
        <v>0.92310000000000003</v>
      </c>
      <c r="J35" s="285">
        <v>0.17638999999999999</v>
      </c>
      <c r="K35" s="160"/>
      <c r="L35" s="160"/>
      <c r="M35" s="188">
        <v>0.75</v>
      </c>
      <c r="N35" s="289">
        <v>0.1716</v>
      </c>
      <c r="O35" s="4"/>
      <c r="P35" s="160"/>
      <c r="Q35" s="198">
        <v>0.84619999999999995</v>
      </c>
      <c r="R35" s="286">
        <v>-1</v>
      </c>
      <c r="S35" s="287">
        <v>-1</v>
      </c>
      <c r="T35" s="287">
        <v>-1</v>
      </c>
      <c r="U35" s="287">
        <v>-1</v>
      </c>
      <c r="V35" s="287">
        <v>0.26074999999999998</v>
      </c>
      <c r="W35" s="287">
        <v>0.40721000000000002</v>
      </c>
      <c r="X35" s="288">
        <v>0.48097000000000001</v>
      </c>
      <c r="Y35" s="287">
        <v>0.53164999999999996</v>
      </c>
      <c r="Z35" s="289">
        <v>0.57064000000000004</v>
      </c>
      <c r="AA35" s="4"/>
      <c r="AB35" s="4"/>
      <c r="AC35" s="290"/>
      <c r="AD35" s="291" t="s">
        <v>6</v>
      </c>
      <c r="AE35" s="291" t="s">
        <v>7</v>
      </c>
      <c r="AF35" s="292" t="s">
        <v>8</v>
      </c>
      <c r="AG35" s="290"/>
      <c r="AH35" s="291" t="s">
        <v>6</v>
      </c>
      <c r="AI35" s="291" t="s">
        <v>7</v>
      </c>
      <c r="AJ35" s="293" t="s">
        <v>8</v>
      </c>
      <c r="AL35" s="4"/>
      <c r="AM35" s="4"/>
      <c r="AN35" s="4"/>
      <c r="AO35" s="4"/>
      <c r="AP35" s="4"/>
      <c r="AQ35" s="4"/>
      <c r="AR35" s="4"/>
      <c r="AS35" s="4"/>
      <c r="AT35" s="4"/>
      <c r="AU35" s="4"/>
      <c r="AV35" s="4"/>
      <c r="AW35" s="4"/>
    </row>
    <row r="36" spans="1:49" ht="15.75" customHeight="1" x14ac:dyDescent="0.25">
      <c r="A36" s="4"/>
      <c r="B36" s="3"/>
      <c r="C36" s="3"/>
      <c r="D36" s="3"/>
      <c r="E36" s="3"/>
      <c r="F36" s="3"/>
      <c r="G36" s="4"/>
      <c r="H36" s="219">
        <v>6500</v>
      </c>
      <c r="I36" s="220">
        <v>1</v>
      </c>
      <c r="J36" s="294">
        <v>0.18584000000000001</v>
      </c>
      <c r="K36" s="160"/>
      <c r="L36" s="160"/>
      <c r="M36" s="188">
        <v>0.875</v>
      </c>
      <c r="N36" s="289">
        <v>0.1898</v>
      </c>
      <c r="O36" s="4"/>
      <c r="P36" s="160"/>
      <c r="Q36" s="198">
        <v>0.92310000000000003</v>
      </c>
      <c r="R36" s="286">
        <v>-1</v>
      </c>
      <c r="S36" s="287">
        <v>-1</v>
      </c>
      <c r="T36" s="287">
        <v>-1</v>
      </c>
      <c r="U36" s="287">
        <v>-1</v>
      </c>
      <c r="V36" s="287">
        <v>-1</v>
      </c>
      <c r="W36" s="287">
        <v>0.3513</v>
      </c>
      <c r="X36" s="288">
        <v>0.44829999999999998</v>
      </c>
      <c r="Y36" s="287">
        <v>0.50822999999999996</v>
      </c>
      <c r="Z36" s="289">
        <v>0.55225000000000002</v>
      </c>
      <c r="AA36" s="4"/>
      <c r="AB36" s="4"/>
      <c r="AC36" s="295" t="s">
        <v>132</v>
      </c>
      <c r="AD36" s="296">
        <v>-11038.04</v>
      </c>
      <c r="AE36" s="297">
        <v>4676.7240408844382</v>
      </c>
      <c r="AF36" s="298">
        <v>6528.1529389999996</v>
      </c>
      <c r="AG36" s="295" t="s">
        <v>132</v>
      </c>
      <c r="AH36" s="296">
        <v>-9385.36</v>
      </c>
      <c r="AI36" s="297">
        <v>3988.2651748971193</v>
      </c>
      <c r="AJ36" s="299">
        <v>5288.7081280000002</v>
      </c>
      <c r="AL36" s="4"/>
      <c r="AM36" s="4"/>
      <c r="AN36" s="4"/>
      <c r="AO36" s="4"/>
      <c r="AP36" s="4"/>
      <c r="AQ36" s="4"/>
      <c r="AR36" s="4"/>
      <c r="AS36" s="4"/>
      <c r="AT36" s="4"/>
      <c r="AU36" s="4"/>
      <c r="AV36" s="4"/>
      <c r="AW36" s="4"/>
    </row>
    <row r="37" spans="1:49" ht="15.75" customHeight="1" x14ac:dyDescent="0.25">
      <c r="A37" s="4"/>
      <c r="B37" s="3"/>
      <c r="C37" s="3"/>
      <c r="D37" s="3"/>
      <c r="E37" s="3"/>
      <c r="F37" s="3"/>
      <c r="G37" s="4"/>
      <c r="H37" s="160"/>
      <c r="I37" s="186">
        <v>1.0769</v>
      </c>
      <c r="J37" s="285">
        <v>0.19466</v>
      </c>
      <c r="K37" s="223"/>
      <c r="L37" s="219">
        <v>8000</v>
      </c>
      <c r="M37" s="224">
        <v>1</v>
      </c>
      <c r="N37" s="300">
        <v>0.20579</v>
      </c>
      <c r="O37" s="4"/>
      <c r="P37" s="219">
        <v>6500</v>
      </c>
      <c r="Q37" s="226">
        <v>1</v>
      </c>
      <c r="R37" s="301">
        <v>-1</v>
      </c>
      <c r="S37" s="302">
        <v>-1</v>
      </c>
      <c r="T37" s="302">
        <v>-1</v>
      </c>
      <c r="U37" s="302">
        <v>-1</v>
      </c>
      <c r="V37" s="302">
        <v>-1</v>
      </c>
      <c r="W37" s="302">
        <v>0.26082</v>
      </c>
      <c r="X37" s="303">
        <v>0.40723999999999999</v>
      </c>
      <c r="Y37" s="302">
        <v>0.48098999999999997</v>
      </c>
      <c r="Z37" s="304">
        <v>0.53166999999999998</v>
      </c>
      <c r="AA37" s="4"/>
      <c r="AB37" s="4"/>
      <c r="AC37" s="295" t="s">
        <v>133</v>
      </c>
      <c r="AD37" s="305">
        <v>-999</v>
      </c>
      <c r="AE37" s="297">
        <v>5730.9822615383282</v>
      </c>
      <c r="AF37" s="298">
        <v>6528.1529389999996</v>
      </c>
      <c r="AG37" s="295" t="s">
        <v>133</v>
      </c>
      <c r="AH37" s="296">
        <v>-999.16</v>
      </c>
      <c r="AI37" s="297">
        <v>4755.7397047896666</v>
      </c>
      <c r="AJ37" s="299">
        <v>5288.7081280000002</v>
      </c>
      <c r="AL37" s="4"/>
      <c r="AM37" s="4"/>
      <c r="AN37" s="4"/>
      <c r="AO37" s="4"/>
      <c r="AP37" s="4"/>
      <c r="AQ37" s="4"/>
      <c r="AR37" s="4"/>
      <c r="AS37" s="4"/>
      <c r="AT37" s="4"/>
      <c r="AU37" s="4"/>
      <c r="AV37" s="4"/>
      <c r="AW37" s="4"/>
    </row>
    <row r="38" spans="1:49" ht="15.75" customHeight="1" x14ac:dyDescent="0.25">
      <c r="A38" s="4"/>
      <c r="B38" s="3"/>
      <c r="C38" s="3"/>
      <c r="D38" s="3"/>
      <c r="E38" s="3"/>
      <c r="F38" s="3"/>
      <c r="G38" s="4"/>
      <c r="H38" s="167">
        <v>7500</v>
      </c>
      <c r="I38" s="231">
        <v>1.1537999999999999</v>
      </c>
      <c r="J38" s="306">
        <v>0.20293</v>
      </c>
      <c r="K38" s="160"/>
      <c r="L38" s="160"/>
      <c r="M38" s="188">
        <v>1.125</v>
      </c>
      <c r="N38" s="289">
        <v>0.22008</v>
      </c>
      <c r="O38" s="4"/>
      <c r="P38" s="160"/>
      <c r="Q38" s="198">
        <v>1.0769</v>
      </c>
      <c r="R38" s="286">
        <v>-1</v>
      </c>
      <c r="S38" s="287">
        <v>-1</v>
      </c>
      <c r="T38" s="287">
        <v>-1</v>
      </c>
      <c r="U38" s="287">
        <v>-1</v>
      </c>
      <c r="V38" s="287">
        <v>-1</v>
      </c>
      <c r="W38" s="287">
        <v>-0.43976999999999999</v>
      </c>
      <c r="X38" s="288">
        <v>0.35133999999999999</v>
      </c>
      <c r="Y38" s="287">
        <v>0.44832</v>
      </c>
      <c r="Z38" s="289">
        <v>0.50824000000000003</v>
      </c>
      <c r="AA38" s="4"/>
      <c r="AB38" s="4"/>
      <c r="AC38" s="295" t="s">
        <v>134</v>
      </c>
      <c r="AD38" s="297">
        <v>6528.15</v>
      </c>
      <c r="AE38" s="297">
        <v>6528.1529387813453</v>
      </c>
      <c r="AF38" s="298">
        <v>6528.1529389999996</v>
      </c>
      <c r="AG38" s="295" t="s">
        <v>134</v>
      </c>
      <c r="AH38" s="297">
        <v>5288.71</v>
      </c>
      <c r="AI38" s="297">
        <v>5288.7081283261577</v>
      </c>
      <c r="AJ38" s="299">
        <v>5288.7081280000002</v>
      </c>
      <c r="AL38" s="4"/>
      <c r="AM38" s="4"/>
      <c r="AN38" s="4"/>
      <c r="AO38" s="4"/>
      <c r="AP38" s="4"/>
      <c r="AQ38" s="4"/>
      <c r="AR38" s="4"/>
      <c r="AS38" s="4"/>
      <c r="AT38" s="4"/>
      <c r="AU38" s="4"/>
      <c r="AV38" s="4"/>
      <c r="AW38" s="4"/>
    </row>
    <row r="39" spans="1:49" ht="15.75" customHeight="1" x14ac:dyDescent="0.25">
      <c r="A39" s="4"/>
      <c r="B39" s="4"/>
      <c r="C39" s="4"/>
      <c r="D39" s="4"/>
      <c r="E39" s="4"/>
      <c r="F39" s="4"/>
      <c r="G39" s="4"/>
      <c r="H39" s="4"/>
      <c r="I39" s="4"/>
      <c r="J39" s="4"/>
      <c r="K39" s="160"/>
      <c r="L39" s="167">
        <v>9000</v>
      </c>
      <c r="M39" s="234">
        <v>1.25</v>
      </c>
      <c r="N39" s="307">
        <v>0.23300000000000001</v>
      </c>
      <c r="O39" s="4"/>
      <c r="P39" s="167">
        <v>7500</v>
      </c>
      <c r="Q39" s="236">
        <v>1.1537999999999999</v>
      </c>
      <c r="R39" s="308">
        <v>-1</v>
      </c>
      <c r="S39" s="309">
        <v>-1</v>
      </c>
      <c r="T39" s="309">
        <v>-1</v>
      </c>
      <c r="U39" s="309">
        <v>-1</v>
      </c>
      <c r="V39" s="309">
        <v>-1</v>
      </c>
      <c r="W39" s="309">
        <v>-1</v>
      </c>
      <c r="X39" s="310">
        <v>0.26090000000000002</v>
      </c>
      <c r="Y39" s="309">
        <v>0.40726000000000001</v>
      </c>
      <c r="Z39" s="307">
        <v>0.48100999999999999</v>
      </c>
      <c r="AA39" s="4"/>
      <c r="AB39" s="4"/>
      <c r="AC39" s="295" t="s">
        <v>135</v>
      </c>
      <c r="AD39" s="297">
        <v>9038.2900000000009</v>
      </c>
      <c r="AE39" s="297">
        <v>7130.928498133344</v>
      </c>
      <c r="AF39" s="298">
        <v>7146.1147039999996</v>
      </c>
      <c r="AG39" s="295" t="s">
        <v>135</v>
      </c>
      <c r="AH39" s="297">
        <v>7385.57</v>
      </c>
      <c r="AI39" s="297">
        <v>5658.8250891153884</v>
      </c>
      <c r="AJ39" s="299">
        <v>5692.4720859999998</v>
      </c>
      <c r="AL39" s="4"/>
      <c r="AM39" s="4"/>
      <c r="AN39" s="4"/>
      <c r="AO39" s="4"/>
      <c r="AP39" s="4"/>
      <c r="AQ39" s="4"/>
      <c r="AR39" s="4"/>
      <c r="AS39" s="4"/>
      <c r="AT39" s="4"/>
      <c r="AU39" s="4"/>
      <c r="AV39" s="4"/>
      <c r="AW39" s="4"/>
    </row>
    <row r="40" spans="1:49" ht="15.7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311" t="s">
        <v>136</v>
      </c>
      <c r="AD40" s="312">
        <v>11548.43</v>
      </c>
      <c r="AE40" s="312">
        <v>7771.0551479466394</v>
      </c>
      <c r="AF40" s="313">
        <v>7764.0764689999996</v>
      </c>
      <c r="AG40" s="311" t="s">
        <v>136</v>
      </c>
      <c r="AH40" s="312">
        <v>9482.44</v>
      </c>
      <c r="AI40" s="312">
        <v>6013.2089636084438</v>
      </c>
      <c r="AJ40" s="314">
        <v>6096.2360429999999</v>
      </c>
      <c r="AL40" s="4"/>
      <c r="AM40" s="4"/>
      <c r="AN40" s="4"/>
      <c r="AO40" s="4"/>
      <c r="AP40" s="4"/>
      <c r="AQ40" s="4"/>
      <c r="AR40" s="4"/>
      <c r="AS40" s="4"/>
      <c r="AT40" s="4"/>
      <c r="AU40" s="4"/>
      <c r="AV40" s="4"/>
      <c r="AW40" s="4"/>
    </row>
    <row r="41" spans="1:49" ht="15.75" customHeight="1" x14ac:dyDescent="0.25">
      <c r="A41" s="4"/>
      <c r="B41" s="4"/>
      <c r="C41" s="4"/>
      <c r="D41" s="4"/>
      <c r="E41" s="4"/>
      <c r="F41" s="4"/>
      <c r="G41" s="4"/>
      <c r="H41" s="499" t="s">
        <v>137</v>
      </c>
      <c r="I41" s="466"/>
      <c r="J41" s="466"/>
      <c r="K41" s="466"/>
      <c r="L41" s="466"/>
      <c r="M41" s="466"/>
      <c r="N41" s="466"/>
      <c r="O41" s="4"/>
      <c r="P41" s="501" t="s">
        <v>138</v>
      </c>
      <c r="Q41" s="466"/>
      <c r="R41" s="466"/>
      <c r="S41" s="466"/>
      <c r="T41" s="466"/>
      <c r="U41" s="466"/>
      <c r="V41" s="466"/>
      <c r="W41" s="466"/>
      <c r="X41" s="466"/>
      <c r="Y41" s="466"/>
      <c r="Z41" s="466"/>
      <c r="AA41" s="4"/>
      <c r="AB41" s="4"/>
      <c r="AK41" s="4"/>
      <c r="AL41" s="4"/>
      <c r="AM41" s="4"/>
      <c r="AN41" s="4"/>
      <c r="AO41" s="4"/>
      <c r="AP41" s="4"/>
      <c r="AQ41" s="4"/>
      <c r="AR41" s="4"/>
      <c r="AS41" s="4"/>
      <c r="AT41" s="4"/>
      <c r="AU41" s="4"/>
      <c r="AV41" s="4"/>
      <c r="AW41" s="4"/>
    </row>
    <row r="42" spans="1:49" ht="15.75" customHeight="1" x14ac:dyDescent="0.3">
      <c r="A42" s="4"/>
      <c r="B42" s="4"/>
      <c r="C42" s="4"/>
      <c r="D42" s="4"/>
      <c r="E42" s="4"/>
      <c r="F42" s="4"/>
      <c r="G42" s="4"/>
      <c r="I42" s="500" t="s">
        <v>127</v>
      </c>
      <c r="J42" s="487"/>
      <c r="K42" s="4"/>
      <c r="M42" s="500" t="s">
        <v>128</v>
      </c>
      <c r="N42" s="487"/>
      <c r="O42" s="4"/>
      <c r="P42" s="156"/>
      <c r="Q42" s="156" t="s">
        <v>17</v>
      </c>
      <c r="R42" s="159">
        <v>2000</v>
      </c>
      <c r="S42" s="160"/>
      <c r="T42" s="160"/>
      <c r="U42" s="160"/>
      <c r="V42" s="160"/>
      <c r="W42" s="160"/>
      <c r="X42" s="161">
        <v>8000</v>
      </c>
      <c r="Y42" s="160"/>
      <c r="Z42" s="159">
        <v>9000</v>
      </c>
      <c r="AA42" s="4"/>
      <c r="AB42" s="4"/>
      <c r="AC42" s="502" t="s">
        <v>139</v>
      </c>
      <c r="AD42" s="461"/>
      <c r="AE42" s="461"/>
      <c r="AF42" s="462"/>
      <c r="AG42" s="503" t="s">
        <v>140</v>
      </c>
      <c r="AH42" s="461"/>
      <c r="AI42" s="461"/>
      <c r="AJ42" s="462"/>
      <c r="AQ42" s="4"/>
      <c r="AR42" s="4"/>
      <c r="AS42" s="4"/>
      <c r="AT42" s="4"/>
      <c r="AU42" s="4"/>
      <c r="AV42" s="4"/>
      <c r="AW42" s="4"/>
    </row>
    <row r="43" spans="1:49" ht="15.75" customHeight="1" x14ac:dyDescent="0.3">
      <c r="A43" s="4"/>
      <c r="B43" s="4"/>
      <c r="C43" s="4"/>
      <c r="D43" s="4"/>
      <c r="E43" s="4"/>
      <c r="F43" s="4"/>
      <c r="G43" s="4"/>
      <c r="H43" s="167">
        <v>4000</v>
      </c>
      <c r="I43" s="250">
        <v>0.61539999999999995</v>
      </c>
      <c r="J43" s="277">
        <v>0.15775</v>
      </c>
      <c r="K43" s="160"/>
      <c r="L43" s="167">
        <v>2000</v>
      </c>
      <c r="M43" s="251">
        <v>0.25</v>
      </c>
      <c r="N43" s="277">
        <v>7.5810000000000002E-2</v>
      </c>
      <c r="O43" s="4"/>
      <c r="P43" s="156" t="s">
        <v>16</v>
      </c>
      <c r="Q43" s="156"/>
      <c r="R43" s="172">
        <v>0.25</v>
      </c>
      <c r="S43" s="173">
        <v>0.375</v>
      </c>
      <c r="T43" s="173">
        <v>0.5</v>
      </c>
      <c r="U43" s="173">
        <v>0.625</v>
      </c>
      <c r="V43" s="173">
        <v>0.75</v>
      </c>
      <c r="W43" s="173">
        <v>0.875</v>
      </c>
      <c r="X43" s="252">
        <v>1</v>
      </c>
      <c r="Y43" s="173">
        <v>1.125</v>
      </c>
      <c r="Z43" s="175">
        <v>1.25</v>
      </c>
      <c r="AA43" s="4"/>
      <c r="AB43" s="4"/>
      <c r="AC43" s="290"/>
      <c r="AD43" s="291" t="s">
        <v>6</v>
      </c>
      <c r="AE43" s="291" t="s">
        <v>7</v>
      </c>
      <c r="AF43" s="293" t="s">
        <v>8</v>
      </c>
      <c r="AG43" s="290"/>
      <c r="AH43" s="291" t="s">
        <v>6</v>
      </c>
      <c r="AI43" s="291" t="s">
        <v>7</v>
      </c>
      <c r="AJ43" s="293" t="s">
        <v>8</v>
      </c>
      <c r="AQ43" s="4"/>
      <c r="AR43" s="4"/>
      <c r="AS43" s="4"/>
      <c r="AT43" s="4"/>
      <c r="AU43" s="4"/>
      <c r="AV43" s="4"/>
      <c r="AW43" s="4"/>
    </row>
    <row r="44" spans="1:49" ht="15.75" customHeight="1" x14ac:dyDescent="0.25">
      <c r="A44" s="4"/>
      <c r="B44" s="4"/>
      <c r="C44" s="4"/>
      <c r="D44" s="4"/>
      <c r="E44" s="4"/>
      <c r="F44" s="4"/>
      <c r="G44" s="4"/>
      <c r="H44" s="160"/>
      <c r="I44" s="198">
        <v>0.69230000000000003</v>
      </c>
      <c r="J44" s="279">
        <v>0.17146</v>
      </c>
      <c r="K44" s="160"/>
      <c r="L44" s="160"/>
      <c r="M44" s="172">
        <v>0.375</v>
      </c>
      <c r="N44" s="279">
        <v>0.12033000000000001</v>
      </c>
      <c r="O44" s="4"/>
      <c r="P44" s="167">
        <v>4000</v>
      </c>
      <c r="Q44" s="190">
        <v>0.61539999999999995</v>
      </c>
      <c r="R44" s="281">
        <v>-1</v>
      </c>
      <c r="S44" s="282">
        <v>-1</v>
      </c>
      <c r="T44" s="282">
        <v>-1</v>
      </c>
      <c r="U44" s="315">
        <v>0.38491999999999998</v>
      </c>
      <c r="V44" s="282">
        <v>0.48432999999999998</v>
      </c>
      <c r="W44" s="282">
        <v>0.54574999999999996</v>
      </c>
      <c r="X44" s="283">
        <v>0.59086000000000005</v>
      </c>
      <c r="Y44" s="282">
        <v>0.62675999999999998</v>
      </c>
      <c r="Z44" s="284">
        <v>0.65669999999999995</v>
      </c>
      <c r="AA44" s="4"/>
      <c r="AB44" s="4"/>
      <c r="AC44" s="295" t="s">
        <v>132</v>
      </c>
      <c r="AD44" s="297">
        <v>-3924.42</v>
      </c>
      <c r="AE44" s="297">
        <v>599.13751049923303</v>
      </c>
      <c r="AF44" s="316">
        <v>8621.9960680000004</v>
      </c>
      <c r="AG44" s="295" t="s">
        <v>132</v>
      </c>
      <c r="AH44" s="297">
        <v>-14962.46</v>
      </c>
      <c r="AI44" s="297">
        <v>5275.8615513836703</v>
      </c>
      <c r="AJ44" s="317">
        <v>15150.149009999999</v>
      </c>
      <c r="AQ44" s="4"/>
      <c r="AR44" s="4"/>
      <c r="AS44" s="4"/>
      <c r="AT44" s="4"/>
      <c r="AU44" s="4"/>
      <c r="AV44" s="4"/>
      <c r="AW44" s="4"/>
    </row>
    <row r="45" spans="1:49" ht="15.75" customHeight="1" x14ac:dyDescent="0.25">
      <c r="A45" s="4"/>
      <c r="B45" s="4"/>
      <c r="C45" s="4"/>
      <c r="D45" s="4"/>
      <c r="E45" s="4"/>
      <c r="F45" s="4"/>
      <c r="G45" s="4"/>
      <c r="H45" s="160"/>
      <c r="I45" s="198">
        <v>0.76919999999999999</v>
      </c>
      <c r="J45" s="279">
        <v>0.18387000000000001</v>
      </c>
      <c r="K45" s="160"/>
      <c r="L45" s="160"/>
      <c r="M45" s="172">
        <v>0.5</v>
      </c>
      <c r="N45" s="279">
        <v>0.15303</v>
      </c>
      <c r="O45" s="4"/>
      <c r="P45" s="160"/>
      <c r="Q45" s="198">
        <v>0.69230000000000003</v>
      </c>
      <c r="R45" s="286">
        <v>-1</v>
      </c>
      <c r="S45" s="287">
        <v>-1</v>
      </c>
      <c r="T45" s="287">
        <v>-1</v>
      </c>
      <c r="U45" s="318">
        <v>0.29220000000000002</v>
      </c>
      <c r="V45" s="287">
        <v>0.44224000000000002</v>
      </c>
      <c r="W45" s="287">
        <v>0.51783000000000001</v>
      </c>
      <c r="X45" s="288">
        <v>0.56977</v>
      </c>
      <c r="Y45" s="287">
        <v>0.60972000000000004</v>
      </c>
      <c r="Z45" s="289">
        <v>0.64234999999999998</v>
      </c>
      <c r="AA45" s="4"/>
      <c r="AB45" s="4"/>
      <c r="AC45" s="295" t="s">
        <v>133</v>
      </c>
      <c r="AD45" s="297">
        <v>1092.8399999999999</v>
      </c>
      <c r="AE45" s="297">
        <v>5167.5897999994231</v>
      </c>
      <c r="AF45" s="316">
        <v>8621.9960680000004</v>
      </c>
      <c r="AG45" s="295" t="s">
        <v>133</v>
      </c>
      <c r="AH45" s="297">
        <v>93.84</v>
      </c>
      <c r="AI45" s="297">
        <v>10898.57206153775</v>
      </c>
      <c r="AJ45" s="316">
        <v>15150.149009999999</v>
      </c>
      <c r="AQ45" s="4"/>
      <c r="AR45" s="4"/>
      <c r="AS45" s="4"/>
      <c r="AT45" s="4"/>
      <c r="AU45" s="4"/>
      <c r="AV45" s="4"/>
      <c r="AW45" s="4"/>
    </row>
    <row r="46" spans="1:49" ht="15.75" customHeight="1" x14ac:dyDescent="0.25">
      <c r="A46" s="4"/>
      <c r="B46" s="4"/>
      <c r="C46" s="4"/>
      <c r="D46" s="4"/>
      <c r="E46" s="4"/>
      <c r="F46" s="4"/>
      <c r="G46" s="4"/>
      <c r="H46" s="160"/>
      <c r="I46" s="198">
        <v>0.84619999999999995</v>
      </c>
      <c r="J46" s="279">
        <v>0.19520999999999999</v>
      </c>
      <c r="K46" s="160"/>
      <c r="L46" s="160"/>
      <c r="M46" s="172">
        <v>0.625</v>
      </c>
      <c r="N46" s="279">
        <v>0.17904999999999999</v>
      </c>
      <c r="O46" s="4"/>
      <c r="P46" s="160"/>
      <c r="Q46" s="198">
        <v>0.76919999999999999</v>
      </c>
      <c r="R46" s="286">
        <v>-1</v>
      </c>
      <c r="S46" s="287">
        <v>-1</v>
      </c>
      <c r="T46" s="287">
        <v>-1</v>
      </c>
      <c r="U46" s="287">
        <v>-0.40908</v>
      </c>
      <c r="V46" s="287">
        <v>0.38496000000000002</v>
      </c>
      <c r="W46" s="287">
        <v>0.48435</v>
      </c>
      <c r="X46" s="288">
        <v>0.54576000000000002</v>
      </c>
      <c r="Y46" s="287">
        <v>0.59087999999999996</v>
      </c>
      <c r="Z46" s="289">
        <v>0.62677000000000005</v>
      </c>
      <c r="AA46" s="4"/>
      <c r="AB46" s="4"/>
      <c r="AC46" s="295" t="s">
        <v>134</v>
      </c>
      <c r="AD46" s="202">
        <v>8622</v>
      </c>
      <c r="AE46" s="202">
        <v>8621.9960680524964</v>
      </c>
      <c r="AF46" s="316">
        <v>8621.9960680000004</v>
      </c>
      <c r="AG46" s="295" t="s">
        <v>134</v>
      </c>
      <c r="AH46" s="202">
        <v>15150.15</v>
      </c>
      <c r="AI46" s="202">
        <v>15150.149006833846</v>
      </c>
      <c r="AJ46" s="316">
        <v>15150.149009999999</v>
      </c>
      <c r="AQ46" s="4"/>
      <c r="AR46" s="4"/>
      <c r="AS46" s="4"/>
      <c r="AT46" s="4"/>
      <c r="AU46" s="4"/>
      <c r="AV46" s="4"/>
      <c r="AW46" s="4"/>
    </row>
    <row r="47" spans="1:49" ht="15.75" customHeight="1" x14ac:dyDescent="0.25">
      <c r="A47" s="4"/>
      <c r="B47" s="4"/>
      <c r="C47" s="4"/>
      <c r="D47" s="4"/>
      <c r="E47" s="4"/>
      <c r="F47" s="4"/>
      <c r="G47" s="4"/>
      <c r="H47" s="160"/>
      <c r="I47" s="198">
        <v>0.92310000000000003</v>
      </c>
      <c r="J47" s="285">
        <v>0.20566000000000001</v>
      </c>
      <c r="K47" s="160"/>
      <c r="L47" s="160"/>
      <c r="M47" s="172">
        <v>0.75</v>
      </c>
      <c r="N47" s="285">
        <v>0.20074</v>
      </c>
      <c r="O47" s="4"/>
      <c r="P47" s="160"/>
      <c r="Q47" s="198">
        <v>0.84619999999999995</v>
      </c>
      <c r="R47" s="286">
        <v>-1</v>
      </c>
      <c r="S47" s="287">
        <v>-1</v>
      </c>
      <c r="T47" s="287">
        <v>-1</v>
      </c>
      <c r="U47" s="287">
        <v>-1</v>
      </c>
      <c r="V47" s="287">
        <v>0.29210999999999998</v>
      </c>
      <c r="W47" s="287">
        <v>0.44220999999999999</v>
      </c>
      <c r="X47" s="288">
        <v>0.51780999999999999</v>
      </c>
      <c r="Y47" s="287">
        <v>0.56974999999999998</v>
      </c>
      <c r="Z47" s="289">
        <v>0.60970999999999997</v>
      </c>
      <c r="AA47" s="4"/>
      <c r="AB47" s="4"/>
      <c r="AC47" s="295" t="s">
        <v>135</v>
      </c>
      <c r="AD47" s="297">
        <v>11130.63</v>
      </c>
      <c r="AE47" s="297">
        <v>11234.023491911161</v>
      </c>
      <c r="AF47" s="299">
        <v>9239.9578330000004</v>
      </c>
      <c r="AG47" s="295" t="s">
        <v>135</v>
      </c>
      <c r="AH47" s="297">
        <v>20168.919999999998</v>
      </c>
      <c r="AI47" s="297">
        <v>18364.951990044508</v>
      </c>
      <c r="AJ47" s="299">
        <v>16386.072540000001</v>
      </c>
      <c r="AQ47" s="4"/>
      <c r="AR47" s="4"/>
      <c r="AS47" s="4"/>
      <c r="AT47" s="4"/>
      <c r="AU47" s="4"/>
      <c r="AV47" s="4"/>
      <c r="AW47" s="4"/>
    </row>
    <row r="48" spans="1:49" ht="15.75" customHeight="1" x14ac:dyDescent="0.25">
      <c r="A48" s="4"/>
      <c r="B48" s="4"/>
      <c r="C48" s="4"/>
      <c r="D48" s="4"/>
      <c r="E48" s="4"/>
      <c r="F48" s="4"/>
      <c r="G48" s="4"/>
      <c r="H48" s="219">
        <v>6500</v>
      </c>
      <c r="I48" s="268">
        <v>1</v>
      </c>
      <c r="J48" s="294">
        <v>0.21534</v>
      </c>
      <c r="K48" s="160"/>
      <c r="L48" s="160"/>
      <c r="M48" s="172">
        <v>0.875</v>
      </c>
      <c r="N48" s="285">
        <v>0.21939</v>
      </c>
      <c r="O48" s="4"/>
      <c r="P48" s="160"/>
      <c r="Q48" s="198">
        <v>0.92310000000000003</v>
      </c>
      <c r="R48" s="286">
        <v>-1</v>
      </c>
      <c r="S48" s="287">
        <v>-1</v>
      </c>
      <c r="T48" s="287">
        <v>-1</v>
      </c>
      <c r="U48" s="287">
        <v>-1</v>
      </c>
      <c r="V48" s="287">
        <v>-1</v>
      </c>
      <c r="W48" s="287">
        <v>0.38490999999999997</v>
      </c>
      <c r="X48" s="288">
        <v>0.48431999999999997</v>
      </c>
      <c r="Y48" s="287">
        <v>0.54574999999999996</v>
      </c>
      <c r="Z48" s="289">
        <v>0.59086000000000005</v>
      </c>
      <c r="AA48" s="4"/>
      <c r="AB48" s="4"/>
      <c r="AC48" s="311" t="s">
        <v>136</v>
      </c>
      <c r="AD48" s="312">
        <v>13639.26</v>
      </c>
      <c r="AE48" s="312">
        <v>14007.905641102116</v>
      </c>
      <c r="AF48" s="314">
        <v>9857.9195990000007</v>
      </c>
      <c r="AG48" s="311" t="s">
        <v>136</v>
      </c>
      <c r="AH48" s="312">
        <v>25187.69</v>
      </c>
      <c r="AI48" s="312">
        <v>21778.960789048753</v>
      </c>
      <c r="AJ48" s="314">
        <v>17621.996070000001</v>
      </c>
      <c r="AQ48" s="4"/>
      <c r="AR48" s="4"/>
      <c r="AS48" s="4"/>
      <c r="AT48" s="4"/>
      <c r="AU48" s="4"/>
      <c r="AV48" s="4"/>
      <c r="AW48" s="4"/>
    </row>
    <row r="49" spans="1:50" ht="15.75" customHeight="1" x14ac:dyDescent="0.25">
      <c r="A49" s="4"/>
      <c r="B49" s="4"/>
      <c r="C49" s="4"/>
      <c r="D49" s="4"/>
      <c r="E49" s="4"/>
      <c r="F49" s="4"/>
      <c r="G49" s="4"/>
      <c r="H49" s="160"/>
      <c r="I49" s="198">
        <v>1.0769</v>
      </c>
      <c r="J49" s="285">
        <v>0.22438</v>
      </c>
      <c r="K49" s="223"/>
      <c r="L49" s="219">
        <v>8000</v>
      </c>
      <c r="M49" s="272">
        <v>1</v>
      </c>
      <c r="N49" s="294">
        <v>0.23579</v>
      </c>
      <c r="O49" s="4"/>
      <c r="P49" s="219">
        <v>6500</v>
      </c>
      <c r="Q49" s="268">
        <v>1</v>
      </c>
      <c r="R49" s="301">
        <v>-1</v>
      </c>
      <c r="S49" s="302">
        <v>-1</v>
      </c>
      <c r="T49" s="302">
        <v>-1</v>
      </c>
      <c r="U49" s="302">
        <v>-1</v>
      </c>
      <c r="V49" s="302">
        <v>-1</v>
      </c>
      <c r="W49" s="302">
        <v>0.29219000000000001</v>
      </c>
      <c r="X49" s="303">
        <v>0.44224000000000002</v>
      </c>
      <c r="Y49" s="302">
        <v>0.51783000000000001</v>
      </c>
      <c r="Z49" s="304">
        <v>0.56977</v>
      </c>
      <c r="AA49" s="4"/>
      <c r="AB49" s="4"/>
      <c r="AK49" s="4"/>
      <c r="AL49" s="4"/>
      <c r="AM49" s="4"/>
      <c r="AN49" s="4"/>
      <c r="AO49" s="4"/>
      <c r="AP49" s="4"/>
      <c r="AQ49" s="4"/>
      <c r="AR49" s="4"/>
      <c r="AS49" s="4"/>
      <c r="AT49" s="4"/>
      <c r="AU49" s="4"/>
      <c r="AV49" s="4"/>
      <c r="AW49" s="4"/>
    </row>
    <row r="50" spans="1:50" ht="15.75" customHeight="1" x14ac:dyDescent="0.3">
      <c r="A50" s="4"/>
      <c r="B50" s="4"/>
      <c r="C50" s="4"/>
      <c r="D50" s="4"/>
      <c r="E50" s="4"/>
      <c r="F50" s="4"/>
      <c r="G50" s="4"/>
      <c r="H50" s="167">
        <v>7500</v>
      </c>
      <c r="I50" s="236">
        <v>1.1537999999999999</v>
      </c>
      <c r="J50" s="306">
        <v>0.23285</v>
      </c>
      <c r="K50" s="160"/>
      <c r="L50" s="160"/>
      <c r="M50" s="172">
        <v>1.125</v>
      </c>
      <c r="N50" s="285">
        <v>0.25042999999999999</v>
      </c>
      <c r="O50" s="4"/>
      <c r="P50" s="160"/>
      <c r="Q50" s="198">
        <v>1.0769</v>
      </c>
      <c r="R50" s="286">
        <v>-1</v>
      </c>
      <c r="S50" s="287">
        <v>-1</v>
      </c>
      <c r="T50" s="287">
        <v>-1</v>
      </c>
      <c r="U50" s="287">
        <v>-1</v>
      </c>
      <c r="V50" s="287">
        <v>-1</v>
      </c>
      <c r="W50" s="287">
        <v>-0.42582999999999999</v>
      </c>
      <c r="X50" s="288">
        <v>0.38495000000000001</v>
      </c>
      <c r="Y50" s="287">
        <v>0.48433999999999999</v>
      </c>
      <c r="Z50" s="289">
        <v>0.54576000000000002</v>
      </c>
      <c r="AA50" s="4"/>
      <c r="AB50" s="4"/>
      <c r="AC50" s="502" t="s">
        <v>141</v>
      </c>
      <c r="AD50" s="461"/>
      <c r="AE50" s="461"/>
      <c r="AF50" s="462"/>
      <c r="AG50" s="503" t="s">
        <v>142</v>
      </c>
      <c r="AH50" s="461"/>
      <c r="AI50" s="461"/>
      <c r="AJ50" s="462"/>
      <c r="AQ50" s="4"/>
      <c r="AR50" s="4"/>
      <c r="AS50" s="4"/>
      <c r="AT50" s="4"/>
      <c r="AU50" s="4"/>
      <c r="AV50" s="4"/>
      <c r="AW50" s="4"/>
    </row>
    <row r="51" spans="1:50" ht="15.75" customHeight="1" x14ac:dyDescent="0.3">
      <c r="A51" s="4"/>
      <c r="B51" s="4"/>
      <c r="C51" s="4"/>
      <c r="D51" s="4"/>
      <c r="E51" s="4"/>
      <c r="F51" s="4"/>
      <c r="G51" s="4"/>
      <c r="H51" s="4"/>
      <c r="I51" s="4"/>
      <c r="J51" s="4"/>
      <c r="K51" s="160"/>
      <c r="L51" s="167">
        <v>9000</v>
      </c>
      <c r="M51" s="274">
        <v>1.25</v>
      </c>
      <c r="N51" s="306">
        <v>0.26367000000000002</v>
      </c>
      <c r="O51" s="4"/>
      <c r="P51" s="167">
        <v>7500</v>
      </c>
      <c r="Q51" s="236">
        <v>1.1537999999999999</v>
      </c>
      <c r="R51" s="308">
        <v>-1</v>
      </c>
      <c r="S51" s="309">
        <v>-1</v>
      </c>
      <c r="T51" s="309">
        <v>-1</v>
      </c>
      <c r="U51" s="309">
        <v>-1</v>
      </c>
      <c r="V51" s="309">
        <v>-1</v>
      </c>
      <c r="W51" s="309">
        <v>-1</v>
      </c>
      <c r="X51" s="310">
        <v>0.29226000000000002</v>
      </c>
      <c r="Y51" s="309">
        <v>0.44227</v>
      </c>
      <c r="Z51" s="307">
        <v>0.51785000000000003</v>
      </c>
      <c r="AA51" s="4"/>
      <c r="AB51" s="4"/>
      <c r="AC51" s="319"/>
      <c r="AD51" s="291" t="s">
        <v>6</v>
      </c>
      <c r="AE51" s="291" t="s">
        <v>7</v>
      </c>
      <c r="AF51" s="293" t="s">
        <v>8</v>
      </c>
      <c r="AG51" s="319"/>
      <c r="AH51" s="291" t="s">
        <v>6</v>
      </c>
      <c r="AI51" s="291" t="s">
        <v>7</v>
      </c>
      <c r="AJ51" s="293" t="s">
        <v>8</v>
      </c>
      <c r="AQ51" s="4"/>
      <c r="AR51" s="4"/>
      <c r="AS51" s="4"/>
      <c r="AT51" s="4"/>
      <c r="AU51" s="4"/>
      <c r="AV51" s="4"/>
      <c r="AW51" s="4"/>
    </row>
    <row r="52" spans="1:50" ht="15.7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295" t="s">
        <v>132</v>
      </c>
      <c r="AD52" s="297">
        <v>-3924.42</v>
      </c>
      <c r="AE52" s="297">
        <v>-2384.184242112482</v>
      </c>
      <c r="AF52" s="316">
        <v>3251.0685560000002</v>
      </c>
      <c r="AG52" s="295" t="s">
        <v>132</v>
      </c>
      <c r="AH52" s="297">
        <v>-14962.46</v>
      </c>
      <c r="AI52" s="297">
        <v>1604.08093278464</v>
      </c>
      <c r="AJ52" s="316">
        <v>8539.7766840000004</v>
      </c>
      <c r="AQ52" s="4"/>
      <c r="AR52" s="4"/>
      <c r="AS52" s="4"/>
      <c r="AT52" s="4"/>
      <c r="AU52" s="4"/>
      <c r="AV52" s="4"/>
      <c r="AW52" s="4"/>
    </row>
    <row r="53" spans="1:50" ht="13"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295" t="s">
        <v>133</v>
      </c>
      <c r="AD53" s="297">
        <v>-3038.48</v>
      </c>
      <c r="AE53" s="297">
        <v>941.53872075522304</v>
      </c>
      <c r="AF53" s="316">
        <v>3251.0685560000002</v>
      </c>
      <c r="AG53" s="295" t="s">
        <v>133</v>
      </c>
      <c r="AH53" s="297">
        <v>-4037.64</v>
      </c>
      <c r="AI53" s="297">
        <v>5697.2784255448896</v>
      </c>
      <c r="AJ53" s="316">
        <v>8539.7766840000004</v>
      </c>
      <c r="AQ53" s="4"/>
      <c r="AR53" s="4"/>
      <c r="AS53" s="4"/>
      <c r="AT53" s="4"/>
      <c r="AU53" s="4"/>
      <c r="AV53" s="4"/>
      <c r="AW53" s="4"/>
    </row>
    <row r="54" spans="1:50" ht="13"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295" t="s">
        <v>134</v>
      </c>
      <c r="AD54" s="202">
        <v>3251.07</v>
      </c>
      <c r="AE54" s="202">
        <v>3251.0685560800193</v>
      </c>
      <c r="AF54" s="316">
        <v>3251.0685560000002</v>
      </c>
      <c r="AG54" s="295" t="s">
        <v>134</v>
      </c>
      <c r="AH54" s="202">
        <v>8539.7800000000007</v>
      </c>
      <c r="AI54" s="202">
        <v>8539.7766844061771</v>
      </c>
      <c r="AJ54" s="316">
        <v>8539.7766840000004</v>
      </c>
      <c r="AQ54" s="4"/>
      <c r="AR54" s="4"/>
      <c r="AS54" s="4"/>
      <c r="AT54" s="4"/>
      <c r="AU54" s="4"/>
      <c r="AV54" s="4"/>
      <c r="AW54" s="4"/>
    </row>
    <row r="55" spans="1:50" ht="13"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295" t="s">
        <v>135</v>
      </c>
      <c r="AD55" s="297">
        <v>5346.68</v>
      </c>
      <c r="AE55" s="297">
        <v>4854.9087195000175</v>
      </c>
      <c r="AF55" s="299">
        <v>3654.8325129999998</v>
      </c>
      <c r="AG55" s="295" t="s">
        <v>135</v>
      </c>
      <c r="AH55" s="297">
        <v>12732.25</v>
      </c>
      <c r="AI55" s="297">
        <v>10513.733808615405</v>
      </c>
      <c r="AJ55" s="299">
        <v>9347.3045989999991</v>
      </c>
      <c r="AQ55" s="4"/>
      <c r="AR55" s="4"/>
      <c r="AS55" s="4"/>
      <c r="AT55" s="4"/>
      <c r="AU55" s="4"/>
      <c r="AV55" s="4"/>
      <c r="AW55" s="4"/>
    </row>
    <row r="56" spans="1:50" ht="13"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311" t="s">
        <v>136</v>
      </c>
      <c r="AD56" s="312">
        <v>7442.28</v>
      </c>
      <c r="AE56" s="312">
        <v>6390.5721756365892</v>
      </c>
      <c r="AF56" s="314">
        <v>4058.5964709999998</v>
      </c>
      <c r="AG56" s="311" t="s">
        <v>136</v>
      </c>
      <c r="AH56" s="312">
        <v>16924.72</v>
      </c>
      <c r="AI56" s="312">
        <v>12403.781139245039</v>
      </c>
      <c r="AJ56" s="314">
        <v>10154.83251</v>
      </c>
      <c r="AQ56" s="4"/>
      <c r="AR56" s="4"/>
      <c r="AS56" s="4"/>
      <c r="AT56" s="4"/>
      <c r="AU56" s="4"/>
      <c r="AV56" s="4"/>
      <c r="AW56" s="4"/>
    </row>
    <row r="57" spans="1:50" ht="12.5"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Q57" s="4"/>
      <c r="AR57" s="4"/>
      <c r="AS57" s="4"/>
      <c r="AT57" s="4"/>
      <c r="AU57" s="4"/>
      <c r="AV57" s="4"/>
      <c r="AW57" s="4"/>
    </row>
    <row r="58" spans="1:50" ht="12.5"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row>
    <row r="59" spans="1:50" ht="12.5"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row>
    <row r="60" spans="1:50" ht="15.5" x14ac:dyDescent="0.25">
      <c r="A60" s="496" t="s">
        <v>143</v>
      </c>
      <c r="B60" s="497"/>
      <c r="C60" s="155"/>
      <c r="D60" s="155"/>
      <c r="E60" s="155"/>
      <c r="F60" s="155"/>
      <c r="G60" s="155"/>
      <c r="H60" s="155"/>
      <c r="I60" s="155"/>
      <c r="J60" s="155"/>
      <c r="K60" s="155"/>
      <c r="L60" s="155"/>
      <c r="M60" s="155"/>
      <c r="N60" s="155"/>
      <c r="O60" s="155"/>
      <c r="P60" s="155"/>
      <c r="Q60" s="155"/>
      <c r="R60" s="155"/>
      <c r="S60" s="155"/>
      <c r="T60" s="155"/>
      <c r="U60" s="155"/>
      <c r="V60" s="155"/>
      <c r="W60" s="155"/>
      <c r="X60" s="155"/>
      <c r="Y60" s="155"/>
      <c r="Z60" s="155"/>
      <c r="AA60" s="155"/>
      <c r="AB60" s="155"/>
      <c r="AC60" s="155"/>
      <c r="AD60" s="155"/>
      <c r="AE60" s="155"/>
      <c r="AF60" s="155"/>
      <c r="AG60" s="155"/>
      <c r="AH60" s="155"/>
      <c r="AI60" s="155"/>
      <c r="AJ60" s="155"/>
      <c r="AK60" s="155"/>
      <c r="AL60" s="155"/>
      <c r="AM60" s="155"/>
      <c r="AN60" s="155"/>
      <c r="AO60" s="155"/>
      <c r="AP60" s="155"/>
      <c r="AQ60" s="155"/>
      <c r="AR60" s="155"/>
      <c r="AS60" s="155"/>
      <c r="AT60" s="155"/>
      <c r="AU60" s="155"/>
    </row>
    <row r="61" spans="1:50" ht="13" x14ac:dyDescent="0.25">
      <c r="A61" s="4"/>
      <c r="B61" s="156"/>
      <c r="C61" s="156"/>
      <c r="D61" s="156"/>
      <c r="E61" s="156"/>
      <c r="F61" s="4"/>
      <c r="G61" s="156"/>
      <c r="H61" s="156"/>
      <c r="I61" s="156"/>
      <c r="J61" s="156"/>
      <c r="K61" s="4"/>
      <c r="L61" s="156"/>
      <c r="M61" s="156"/>
      <c r="N61" s="156"/>
      <c r="O61" s="156"/>
      <c r="P61" s="4"/>
      <c r="Q61" s="156"/>
      <c r="R61" s="156"/>
      <c r="S61" s="156"/>
      <c r="T61" s="156"/>
      <c r="U61" s="4"/>
      <c r="V61" s="156"/>
      <c r="W61" s="156"/>
      <c r="X61" s="156"/>
      <c r="Y61" s="156"/>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2.5" x14ac:dyDescent="0.25">
      <c r="A62" s="4"/>
      <c r="B62" s="490" t="s">
        <v>144</v>
      </c>
      <c r="C62" s="461"/>
      <c r="D62" s="461"/>
      <c r="E62" s="462"/>
      <c r="F62" s="4"/>
      <c r="G62" s="490" t="s">
        <v>145</v>
      </c>
      <c r="H62" s="461"/>
      <c r="I62" s="461"/>
      <c r="J62" s="462"/>
      <c r="K62" s="4"/>
      <c r="L62" s="498" t="s">
        <v>146</v>
      </c>
      <c r="M62" s="461"/>
      <c r="N62" s="461"/>
      <c r="O62" s="462"/>
      <c r="P62" s="4"/>
      <c r="Q62" s="490" t="s">
        <v>147</v>
      </c>
      <c r="R62" s="461"/>
      <c r="S62" s="461"/>
      <c r="T62" s="462"/>
      <c r="U62" s="4"/>
      <c r="V62" s="490" t="s">
        <v>148</v>
      </c>
      <c r="W62" s="461"/>
      <c r="X62" s="461"/>
      <c r="Y62" s="462"/>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2.5" x14ac:dyDescent="0.25">
      <c r="A63" s="4"/>
      <c r="B63" s="484"/>
      <c r="C63" s="463"/>
      <c r="D63" s="463"/>
      <c r="E63" s="464"/>
      <c r="F63" s="4"/>
      <c r="G63" s="484"/>
      <c r="H63" s="463"/>
      <c r="I63" s="463"/>
      <c r="J63" s="464"/>
      <c r="K63" s="4"/>
      <c r="L63" s="484"/>
      <c r="M63" s="463"/>
      <c r="N63" s="463"/>
      <c r="O63" s="464"/>
      <c r="P63" s="4"/>
      <c r="Q63" s="484"/>
      <c r="R63" s="463"/>
      <c r="S63" s="463"/>
      <c r="T63" s="464"/>
      <c r="U63" s="4"/>
      <c r="V63" s="484"/>
      <c r="W63" s="463"/>
      <c r="X63" s="463"/>
      <c r="Y63" s="46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 x14ac:dyDescent="0.25">
      <c r="A64" s="4"/>
      <c r="B64" s="162" t="s">
        <v>51</v>
      </c>
      <c r="C64" s="163" t="s">
        <v>149</v>
      </c>
      <c r="D64" s="163" t="s">
        <v>150</v>
      </c>
      <c r="E64" s="165" t="s">
        <v>151</v>
      </c>
      <c r="F64" s="4"/>
      <c r="G64" s="162" t="s">
        <v>51</v>
      </c>
      <c r="H64" s="163" t="s">
        <v>149</v>
      </c>
      <c r="I64" s="163" t="s">
        <v>150</v>
      </c>
      <c r="J64" s="165" t="s">
        <v>151</v>
      </c>
      <c r="K64" s="4"/>
      <c r="L64" s="320" t="s">
        <v>51</v>
      </c>
      <c r="M64" s="321" t="s">
        <v>149</v>
      </c>
      <c r="N64" s="321" t="s">
        <v>150</v>
      </c>
      <c r="O64" s="322" t="s">
        <v>151</v>
      </c>
      <c r="P64" s="4"/>
      <c r="Q64" s="162" t="s">
        <v>51</v>
      </c>
      <c r="R64" s="163" t="s">
        <v>149</v>
      </c>
      <c r="S64" s="163" t="s">
        <v>150</v>
      </c>
      <c r="T64" s="165" t="s">
        <v>151</v>
      </c>
      <c r="U64" s="4"/>
      <c r="V64" s="162" t="s">
        <v>51</v>
      </c>
      <c r="W64" s="163" t="s">
        <v>149</v>
      </c>
      <c r="X64" s="163" t="s">
        <v>150</v>
      </c>
      <c r="Y64" s="165" t="s">
        <v>151</v>
      </c>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2.5" x14ac:dyDescent="0.25">
      <c r="A65" s="4"/>
      <c r="B65" s="323">
        <v>0</v>
      </c>
      <c r="C65" s="324">
        <f>-$D$6</f>
        <v>-24000</v>
      </c>
      <c r="D65" s="324">
        <f>-$E$6</f>
        <v>-25000</v>
      </c>
      <c r="E65" s="325">
        <f t="shared" ref="E65:E71" si="2">D65-C65</f>
        <v>-1000</v>
      </c>
      <c r="F65" s="4"/>
      <c r="G65" s="323">
        <v>0</v>
      </c>
      <c r="H65" s="324">
        <f>-$D$6</f>
        <v>-24000</v>
      </c>
      <c r="I65" s="324">
        <f>-$E$6</f>
        <v>-25000</v>
      </c>
      <c r="J65" s="325">
        <f t="shared" ref="J65:J73" si="3">I65-H65</f>
        <v>-1000</v>
      </c>
      <c r="K65" s="4"/>
      <c r="L65" s="326">
        <v>0</v>
      </c>
      <c r="M65" s="324">
        <f>-$D$6</f>
        <v>-24000</v>
      </c>
      <c r="N65" s="324">
        <f>-$E$6</f>
        <v>-25000</v>
      </c>
      <c r="O65" s="325">
        <f t="shared" ref="O65:O75" si="4">N65-M65</f>
        <v>-1000</v>
      </c>
      <c r="P65" s="4"/>
      <c r="Q65" s="323">
        <v>0</v>
      </c>
      <c r="R65" s="324">
        <f>-$D$6</f>
        <v>-24000</v>
      </c>
      <c r="S65" s="324">
        <f>-$E$6</f>
        <v>-25000</v>
      </c>
      <c r="T65" s="325">
        <f t="shared" ref="T65:T77" si="5">S65-R65</f>
        <v>-1000</v>
      </c>
      <c r="U65" s="4"/>
      <c r="V65" s="323">
        <v>0</v>
      </c>
      <c r="W65" s="324">
        <f>-$D$6</f>
        <v>-24000</v>
      </c>
      <c r="X65" s="324">
        <f>-$E$6</f>
        <v>-25000</v>
      </c>
      <c r="Y65" s="325">
        <f t="shared" ref="Y65:Y80" si="6">X65-W65</f>
        <v>-1000</v>
      </c>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2.5" x14ac:dyDescent="0.25">
      <c r="A66" s="4"/>
      <c r="B66" s="327">
        <v>1</v>
      </c>
      <c r="C66" s="297">
        <f t="shared" ref="C66:C70" si="7">$D$9</f>
        <v>6500</v>
      </c>
      <c r="D66" s="297">
        <f t="shared" ref="D66:D70" si="8">$E$9</f>
        <v>8000</v>
      </c>
      <c r="E66" s="299">
        <f t="shared" si="2"/>
        <v>1500</v>
      </c>
      <c r="F66" s="4"/>
      <c r="G66" s="327">
        <v>1</v>
      </c>
      <c r="H66" s="297">
        <f t="shared" ref="H66:H72" si="9">$D$9</f>
        <v>6500</v>
      </c>
      <c r="I66" s="297">
        <f t="shared" ref="I66:I72" si="10">$E$9</f>
        <v>8000</v>
      </c>
      <c r="J66" s="299">
        <f t="shared" si="3"/>
        <v>1500</v>
      </c>
      <c r="K66" s="4"/>
      <c r="L66" s="328">
        <v>1</v>
      </c>
      <c r="M66" s="297">
        <f t="shared" ref="M66:M74" si="11">$D$9</f>
        <v>6500</v>
      </c>
      <c r="N66" s="297">
        <f t="shared" ref="N66:N74" si="12">$E$9</f>
        <v>8000</v>
      </c>
      <c r="O66" s="299">
        <f t="shared" si="4"/>
        <v>1500</v>
      </c>
      <c r="P66" s="4"/>
      <c r="Q66" s="327">
        <v>1</v>
      </c>
      <c r="R66" s="297">
        <f t="shared" ref="R66:R76" si="13">$D$9</f>
        <v>6500</v>
      </c>
      <c r="S66" s="297">
        <f t="shared" ref="S66:S76" si="14">$E$9</f>
        <v>8000</v>
      </c>
      <c r="T66" s="299">
        <f t="shared" si="5"/>
        <v>1500</v>
      </c>
      <c r="U66" s="4"/>
      <c r="V66" s="327">
        <v>1</v>
      </c>
      <c r="W66" s="297">
        <f t="shared" ref="W66:W79" si="15">$D$9</f>
        <v>6500</v>
      </c>
      <c r="X66" s="297">
        <f t="shared" ref="X66:X79" si="16">$E$9</f>
        <v>8000</v>
      </c>
      <c r="Y66" s="299">
        <f t="shared" si="6"/>
        <v>1500</v>
      </c>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2.5" x14ac:dyDescent="0.25">
      <c r="A67" s="4"/>
      <c r="B67" s="327">
        <v>2</v>
      </c>
      <c r="C67" s="297">
        <f t="shared" si="7"/>
        <v>6500</v>
      </c>
      <c r="D67" s="297">
        <f t="shared" si="8"/>
        <v>8000</v>
      </c>
      <c r="E67" s="299">
        <f t="shared" si="2"/>
        <v>1500</v>
      </c>
      <c r="F67" s="4"/>
      <c r="G67" s="327">
        <v>2</v>
      </c>
      <c r="H67" s="297">
        <f t="shared" si="9"/>
        <v>6500</v>
      </c>
      <c r="I67" s="297">
        <f t="shared" si="10"/>
        <v>8000</v>
      </c>
      <c r="J67" s="299">
        <f t="shared" si="3"/>
        <v>1500</v>
      </c>
      <c r="K67" s="4"/>
      <c r="L67" s="328">
        <v>2</v>
      </c>
      <c r="M67" s="297">
        <f t="shared" si="11"/>
        <v>6500</v>
      </c>
      <c r="N67" s="297">
        <f t="shared" si="12"/>
        <v>8000</v>
      </c>
      <c r="O67" s="299">
        <f t="shared" si="4"/>
        <v>1500</v>
      </c>
      <c r="P67" s="4"/>
      <c r="Q67" s="327">
        <v>2</v>
      </c>
      <c r="R67" s="297">
        <f t="shared" si="13"/>
        <v>6500</v>
      </c>
      <c r="S67" s="297">
        <f t="shared" si="14"/>
        <v>8000</v>
      </c>
      <c r="T67" s="299">
        <f t="shared" si="5"/>
        <v>1500</v>
      </c>
      <c r="U67" s="4"/>
      <c r="V67" s="327">
        <v>2</v>
      </c>
      <c r="W67" s="297">
        <f t="shared" si="15"/>
        <v>6500</v>
      </c>
      <c r="X67" s="297">
        <f t="shared" si="16"/>
        <v>8000</v>
      </c>
      <c r="Y67" s="299">
        <f t="shared" si="6"/>
        <v>1500</v>
      </c>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2.5" x14ac:dyDescent="0.25">
      <c r="A68" s="4"/>
      <c r="B68" s="327">
        <v>3</v>
      </c>
      <c r="C68" s="297">
        <f t="shared" si="7"/>
        <v>6500</v>
      </c>
      <c r="D68" s="297">
        <f t="shared" si="8"/>
        <v>8000</v>
      </c>
      <c r="E68" s="299">
        <f t="shared" si="2"/>
        <v>1500</v>
      </c>
      <c r="F68" s="4"/>
      <c r="G68" s="327">
        <v>3</v>
      </c>
      <c r="H68" s="297">
        <f t="shared" si="9"/>
        <v>6500</v>
      </c>
      <c r="I68" s="297">
        <f t="shared" si="10"/>
        <v>8000</v>
      </c>
      <c r="J68" s="299">
        <f t="shared" si="3"/>
        <v>1500</v>
      </c>
      <c r="K68" s="4"/>
      <c r="L68" s="328">
        <v>3</v>
      </c>
      <c r="M68" s="297">
        <f t="shared" si="11"/>
        <v>6500</v>
      </c>
      <c r="N68" s="297">
        <f t="shared" si="12"/>
        <v>8000</v>
      </c>
      <c r="O68" s="299">
        <f t="shared" si="4"/>
        <v>1500</v>
      </c>
      <c r="P68" s="4"/>
      <c r="Q68" s="327">
        <v>3</v>
      </c>
      <c r="R68" s="297">
        <f t="shared" si="13"/>
        <v>6500</v>
      </c>
      <c r="S68" s="297">
        <f t="shared" si="14"/>
        <v>8000</v>
      </c>
      <c r="T68" s="299">
        <f t="shared" si="5"/>
        <v>1500</v>
      </c>
      <c r="U68" s="4"/>
      <c r="V68" s="327">
        <v>3</v>
      </c>
      <c r="W68" s="297">
        <f t="shared" si="15"/>
        <v>6500</v>
      </c>
      <c r="X68" s="297">
        <f t="shared" si="16"/>
        <v>8000</v>
      </c>
      <c r="Y68" s="299">
        <f t="shared" si="6"/>
        <v>1500</v>
      </c>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2.5" x14ac:dyDescent="0.25">
      <c r="A69" s="4"/>
      <c r="B69" s="327">
        <v>4</v>
      </c>
      <c r="C69" s="297">
        <f t="shared" si="7"/>
        <v>6500</v>
      </c>
      <c r="D69" s="297">
        <f t="shared" si="8"/>
        <v>8000</v>
      </c>
      <c r="E69" s="299">
        <f t="shared" si="2"/>
        <v>1500</v>
      </c>
      <c r="F69" s="4"/>
      <c r="G69" s="327">
        <v>4</v>
      </c>
      <c r="H69" s="297">
        <f t="shared" si="9"/>
        <v>6500</v>
      </c>
      <c r="I69" s="297">
        <f t="shared" si="10"/>
        <v>8000</v>
      </c>
      <c r="J69" s="299">
        <f t="shared" si="3"/>
        <v>1500</v>
      </c>
      <c r="K69" s="4"/>
      <c r="L69" s="328">
        <v>4</v>
      </c>
      <c r="M69" s="297">
        <f t="shared" si="11"/>
        <v>6500</v>
      </c>
      <c r="N69" s="297">
        <f t="shared" si="12"/>
        <v>8000</v>
      </c>
      <c r="O69" s="299">
        <f t="shared" si="4"/>
        <v>1500</v>
      </c>
      <c r="P69" s="4"/>
      <c r="Q69" s="327">
        <v>4</v>
      </c>
      <c r="R69" s="297">
        <f t="shared" si="13"/>
        <v>6500</v>
      </c>
      <c r="S69" s="297">
        <f t="shared" si="14"/>
        <v>8000</v>
      </c>
      <c r="T69" s="299">
        <f t="shared" si="5"/>
        <v>1500</v>
      </c>
      <c r="U69" s="4"/>
      <c r="V69" s="327">
        <v>4</v>
      </c>
      <c r="W69" s="297">
        <f t="shared" si="15"/>
        <v>6500</v>
      </c>
      <c r="X69" s="297">
        <f t="shared" si="16"/>
        <v>8000</v>
      </c>
      <c r="Y69" s="299">
        <f t="shared" si="6"/>
        <v>1500</v>
      </c>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2.5" x14ac:dyDescent="0.25">
      <c r="A70" s="4"/>
      <c r="B70" s="327">
        <v>5</v>
      </c>
      <c r="C70" s="297">
        <f t="shared" si="7"/>
        <v>6500</v>
      </c>
      <c r="D70" s="297">
        <f t="shared" si="8"/>
        <v>8000</v>
      </c>
      <c r="E70" s="299">
        <f t="shared" si="2"/>
        <v>1500</v>
      </c>
      <c r="F70" s="4"/>
      <c r="G70" s="327">
        <v>5</v>
      </c>
      <c r="H70" s="297">
        <f t="shared" si="9"/>
        <v>6500</v>
      </c>
      <c r="I70" s="297">
        <f t="shared" si="10"/>
        <v>8000</v>
      </c>
      <c r="J70" s="299">
        <f t="shared" si="3"/>
        <v>1500</v>
      </c>
      <c r="K70" s="4"/>
      <c r="L70" s="328">
        <v>5</v>
      </c>
      <c r="M70" s="297">
        <f t="shared" si="11"/>
        <v>6500</v>
      </c>
      <c r="N70" s="297">
        <f t="shared" si="12"/>
        <v>8000</v>
      </c>
      <c r="O70" s="299">
        <f t="shared" si="4"/>
        <v>1500</v>
      </c>
      <c r="P70" s="4"/>
      <c r="Q70" s="327">
        <v>5</v>
      </c>
      <c r="R70" s="297">
        <f t="shared" si="13"/>
        <v>6500</v>
      </c>
      <c r="S70" s="297">
        <f t="shared" si="14"/>
        <v>8000</v>
      </c>
      <c r="T70" s="299">
        <f t="shared" si="5"/>
        <v>1500</v>
      </c>
      <c r="U70" s="4"/>
      <c r="V70" s="327">
        <v>5</v>
      </c>
      <c r="W70" s="297">
        <f t="shared" si="15"/>
        <v>6500</v>
      </c>
      <c r="X70" s="297">
        <f t="shared" si="16"/>
        <v>8000</v>
      </c>
      <c r="Y70" s="299">
        <f t="shared" si="6"/>
        <v>1500</v>
      </c>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2.5" x14ac:dyDescent="0.25">
      <c r="A71" s="4"/>
      <c r="B71" s="329">
        <v>6</v>
      </c>
      <c r="C71" s="312">
        <f>$D$9+$D$13</f>
        <v>6500</v>
      </c>
      <c r="D71" s="312">
        <f>$E$9+$E$13</f>
        <v>8000</v>
      </c>
      <c r="E71" s="314">
        <f t="shared" si="2"/>
        <v>1500</v>
      </c>
      <c r="F71" s="4"/>
      <c r="G71" s="327">
        <v>6</v>
      </c>
      <c r="H71" s="297">
        <f t="shared" si="9"/>
        <v>6500</v>
      </c>
      <c r="I71" s="297">
        <f t="shared" si="10"/>
        <v>8000</v>
      </c>
      <c r="J71" s="299">
        <f t="shared" si="3"/>
        <v>1500</v>
      </c>
      <c r="K71" s="4"/>
      <c r="L71" s="328">
        <v>6</v>
      </c>
      <c r="M71" s="297">
        <f t="shared" si="11"/>
        <v>6500</v>
      </c>
      <c r="N71" s="297">
        <f t="shared" si="12"/>
        <v>8000</v>
      </c>
      <c r="O71" s="299">
        <f t="shared" si="4"/>
        <v>1500</v>
      </c>
      <c r="P71" s="4"/>
      <c r="Q71" s="327">
        <v>6</v>
      </c>
      <c r="R71" s="297">
        <f t="shared" si="13"/>
        <v>6500</v>
      </c>
      <c r="S71" s="297">
        <f t="shared" si="14"/>
        <v>8000</v>
      </c>
      <c r="T71" s="299">
        <f t="shared" si="5"/>
        <v>1500</v>
      </c>
      <c r="U71" s="4"/>
      <c r="V71" s="327">
        <v>6</v>
      </c>
      <c r="W71" s="297">
        <f t="shared" si="15"/>
        <v>6500</v>
      </c>
      <c r="X71" s="297">
        <f t="shared" si="16"/>
        <v>8000</v>
      </c>
      <c r="Y71" s="299">
        <f t="shared" si="6"/>
        <v>1500</v>
      </c>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2.5" x14ac:dyDescent="0.25">
      <c r="A72" s="4"/>
      <c r="B72" s="4"/>
      <c r="C72" s="4"/>
      <c r="D72" s="4"/>
      <c r="E72" s="4"/>
      <c r="F72" s="4"/>
      <c r="G72" s="327">
        <v>7</v>
      </c>
      <c r="H72" s="297">
        <f t="shared" si="9"/>
        <v>6500</v>
      </c>
      <c r="I72" s="297">
        <f t="shared" si="10"/>
        <v>8000</v>
      </c>
      <c r="J72" s="299">
        <f t="shared" si="3"/>
        <v>1500</v>
      </c>
      <c r="K72" s="4"/>
      <c r="L72" s="328">
        <v>7</v>
      </c>
      <c r="M72" s="297">
        <f t="shared" si="11"/>
        <v>6500</v>
      </c>
      <c r="N72" s="297">
        <f t="shared" si="12"/>
        <v>8000</v>
      </c>
      <c r="O72" s="299">
        <f t="shared" si="4"/>
        <v>1500</v>
      </c>
      <c r="P72" s="4"/>
      <c r="Q72" s="327">
        <v>7</v>
      </c>
      <c r="R72" s="297">
        <f t="shared" si="13"/>
        <v>6500</v>
      </c>
      <c r="S72" s="297">
        <f t="shared" si="14"/>
        <v>8000</v>
      </c>
      <c r="T72" s="299">
        <f t="shared" si="5"/>
        <v>1500</v>
      </c>
      <c r="U72" s="4"/>
      <c r="V72" s="327">
        <v>7</v>
      </c>
      <c r="W72" s="297">
        <f t="shared" si="15"/>
        <v>6500</v>
      </c>
      <c r="X72" s="297">
        <f t="shared" si="16"/>
        <v>8000</v>
      </c>
      <c r="Y72" s="299">
        <f t="shared" si="6"/>
        <v>1500</v>
      </c>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 x14ac:dyDescent="0.25">
      <c r="A73" s="4"/>
      <c r="B73" s="232" t="s">
        <v>55</v>
      </c>
      <c r="C73" s="330">
        <f t="shared" ref="C73:E73" si="17">NPV($C$15,C66:C71)+C65</f>
        <v>599.13751049923303</v>
      </c>
      <c r="D73" s="331">
        <f t="shared" si="17"/>
        <v>5275.8615513836703</v>
      </c>
      <c r="E73" s="332">
        <f t="shared" si="17"/>
        <v>4676.7240408844382</v>
      </c>
      <c r="F73" s="4"/>
      <c r="G73" s="329">
        <v>8</v>
      </c>
      <c r="H73" s="312">
        <f>$D$9+$D$13</f>
        <v>6500</v>
      </c>
      <c r="I73" s="312">
        <f>$E$9+$E$13</f>
        <v>8000</v>
      </c>
      <c r="J73" s="314">
        <f t="shared" si="3"/>
        <v>1500</v>
      </c>
      <c r="K73" s="4"/>
      <c r="L73" s="328">
        <v>8</v>
      </c>
      <c r="M73" s="297">
        <f t="shared" si="11"/>
        <v>6500</v>
      </c>
      <c r="N73" s="297">
        <f t="shared" si="12"/>
        <v>8000</v>
      </c>
      <c r="O73" s="299">
        <f t="shared" si="4"/>
        <v>1500</v>
      </c>
      <c r="P73" s="4"/>
      <c r="Q73" s="327">
        <v>8</v>
      </c>
      <c r="R73" s="297">
        <f t="shared" si="13"/>
        <v>6500</v>
      </c>
      <c r="S73" s="297">
        <f t="shared" si="14"/>
        <v>8000</v>
      </c>
      <c r="T73" s="299">
        <f t="shared" si="5"/>
        <v>1500</v>
      </c>
      <c r="U73" s="4"/>
      <c r="V73" s="327">
        <v>8</v>
      </c>
      <c r="W73" s="297">
        <f t="shared" si="15"/>
        <v>6500</v>
      </c>
      <c r="X73" s="297">
        <f t="shared" si="16"/>
        <v>8000</v>
      </c>
      <c r="Y73" s="299">
        <f t="shared" si="6"/>
        <v>1500</v>
      </c>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 x14ac:dyDescent="0.25">
      <c r="A74" s="4"/>
      <c r="B74" s="333" t="s">
        <v>152</v>
      </c>
      <c r="C74" s="334">
        <f t="shared" ref="C74:E74" si="18">NPV($C$16,C66:C71)+C65</f>
        <v>-2384.184242112482</v>
      </c>
      <c r="D74" s="297">
        <f t="shared" si="18"/>
        <v>1604.08093278464</v>
      </c>
      <c r="E74" s="299">
        <f t="shared" si="18"/>
        <v>3988.2651748971193</v>
      </c>
      <c r="F74" s="4"/>
      <c r="G74" s="4"/>
      <c r="H74" s="4"/>
      <c r="I74" s="4"/>
      <c r="J74" s="4"/>
      <c r="K74" s="4"/>
      <c r="L74" s="328">
        <v>9</v>
      </c>
      <c r="M74" s="297">
        <f t="shared" si="11"/>
        <v>6500</v>
      </c>
      <c r="N74" s="297">
        <f t="shared" si="12"/>
        <v>8000</v>
      </c>
      <c r="O74" s="299">
        <f t="shared" si="4"/>
        <v>1500</v>
      </c>
      <c r="P74" s="4"/>
      <c r="Q74" s="327">
        <v>9</v>
      </c>
      <c r="R74" s="297">
        <f t="shared" si="13"/>
        <v>6500</v>
      </c>
      <c r="S74" s="297">
        <f t="shared" si="14"/>
        <v>8000</v>
      </c>
      <c r="T74" s="299">
        <f t="shared" si="5"/>
        <v>1500</v>
      </c>
      <c r="U74" s="4"/>
      <c r="V74" s="327">
        <v>9</v>
      </c>
      <c r="W74" s="297">
        <f t="shared" si="15"/>
        <v>6500</v>
      </c>
      <c r="X74" s="297">
        <f t="shared" si="16"/>
        <v>8000</v>
      </c>
      <c r="Y74" s="299">
        <f t="shared" si="6"/>
        <v>1500</v>
      </c>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 x14ac:dyDescent="0.25">
      <c r="A75" s="4"/>
      <c r="B75" s="333" t="s">
        <v>96</v>
      </c>
      <c r="C75" s="335">
        <f t="shared" ref="C75:E75" si="19">IRR(C65:C71)</f>
        <v>0.15922557171601026</v>
      </c>
      <c r="D75" s="336">
        <f t="shared" si="19"/>
        <v>0.22556544686604862</v>
      </c>
      <c r="E75" s="207">
        <f t="shared" si="19"/>
        <v>1.4937632266648815</v>
      </c>
      <c r="F75" s="4"/>
      <c r="G75" s="232" t="s">
        <v>55</v>
      </c>
      <c r="H75" s="330">
        <f t="shared" ref="H75:J75" si="20">NPV($C$15,H66:H73)+H65</f>
        <v>5167.5897999994268</v>
      </c>
      <c r="I75" s="331">
        <f t="shared" si="20"/>
        <v>10898.57206153775</v>
      </c>
      <c r="J75" s="332">
        <f t="shared" si="20"/>
        <v>5730.9822615383282</v>
      </c>
      <c r="K75" s="4"/>
      <c r="L75" s="337">
        <v>10</v>
      </c>
      <c r="M75" s="312">
        <f>$D$9+$D$13</f>
        <v>6500</v>
      </c>
      <c r="N75" s="312">
        <f>$E$9+$E$13</f>
        <v>8000</v>
      </c>
      <c r="O75" s="314">
        <f t="shared" si="4"/>
        <v>1500</v>
      </c>
      <c r="P75" s="4"/>
      <c r="Q75" s="327">
        <v>10</v>
      </c>
      <c r="R75" s="297">
        <f t="shared" si="13"/>
        <v>6500</v>
      </c>
      <c r="S75" s="297">
        <f t="shared" si="14"/>
        <v>8000</v>
      </c>
      <c r="T75" s="299">
        <f t="shared" si="5"/>
        <v>1500</v>
      </c>
      <c r="U75" s="4"/>
      <c r="V75" s="327">
        <v>10</v>
      </c>
      <c r="W75" s="297">
        <f t="shared" si="15"/>
        <v>6500</v>
      </c>
      <c r="X75" s="297">
        <f t="shared" si="16"/>
        <v>8000</v>
      </c>
      <c r="Y75" s="299">
        <f t="shared" si="6"/>
        <v>1500</v>
      </c>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 x14ac:dyDescent="0.25">
      <c r="A76" s="4"/>
      <c r="B76" s="333" t="s">
        <v>97</v>
      </c>
      <c r="C76" s="335">
        <f t="shared" ref="C76:E76" si="21">MIRR(C65:C71,,$C$15)</f>
        <v>0.15473575503535963</v>
      </c>
      <c r="D76" s="336">
        <f t="shared" si="21"/>
        <v>0.18729122307514334</v>
      </c>
      <c r="E76" s="207">
        <f t="shared" si="21"/>
        <v>0.53596317711454389</v>
      </c>
      <c r="F76" s="4"/>
      <c r="G76" s="333" t="s">
        <v>152</v>
      </c>
      <c r="H76" s="334">
        <f t="shared" ref="H76:J76" si="22">NPV($C$16,H66:H73)+H65</f>
        <v>941.5387207552194</v>
      </c>
      <c r="I76" s="297">
        <f t="shared" si="22"/>
        <v>5697.2784255448896</v>
      </c>
      <c r="J76" s="299">
        <f t="shared" si="22"/>
        <v>4755.7397047896666</v>
      </c>
      <c r="K76" s="4"/>
      <c r="L76" s="4"/>
      <c r="M76" s="4"/>
      <c r="N76" s="4"/>
      <c r="O76" s="4"/>
      <c r="P76" s="4"/>
      <c r="Q76" s="327">
        <v>11</v>
      </c>
      <c r="R76" s="297">
        <f t="shared" si="13"/>
        <v>6500</v>
      </c>
      <c r="S76" s="297">
        <f t="shared" si="14"/>
        <v>8000</v>
      </c>
      <c r="T76" s="299">
        <f t="shared" si="5"/>
        <v>1500</v>
      </c>
      <c r="U76" s="4"/>
      <c r="V76" s="327">
        <v>11</v>
      </c>
      <c r="W76" s="297">
        <f t="shared" si="15"/>
        <v>6500</v>
      </c>
      <c r="X76" s="297">
        <f t="shared" si="16"/>
        <v>8000</v>
      </c>
      <c r="Y76" s="299">
        <f t="shared" si="6"/>
        <v>1500</v>
      </c>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 x14ac:dyDescent="0.25">
      <c r="A77" s="4"/>
      <c r="B77" s="338" t="s">
        <v>153</v>
      </c>
      <c r="C77" s="339">
        <f t="shared" ref="C77:E77" si="23">MIRR(C65:C71,,$C$16)</f>
        <v>0.17925568185443952</v>
      </c>
      <c r="D77" s="340">
        <f t="shared" si="23"/>
        <v>0.21250244025257192</v>
      </c>
      <c r="E77" s="341">
        <f t="shared" si="23"/>
        <v>0.56857817542512867</v>
      </c>
      <c r="F77" s="4"/>
      <c r="G77" s="333" t="s">
        <v>96</v>
      </c>
      <c r="H77" s="335">
        <f t="shared" ref="H77:J77" si="24">IRR(H65:H73)</f>
        <v>0.21307795539868568</v>
      </c>
      <c r="I77" s="336">
        <f t="shared" si="24"/>
        <v>0.27384522015020485</v>
      </c>
      <c r="J77" s="207">
        <f t="shared" si="24"/>
        <v>1.4990138523338938</v>
      </c>
      <c r="K77" s="4"/>
      <c r="L77" s="342" t="s">
        <v>55</v>
      </c>
      <c r="M77" s="330">
        <f t="shared" ref="M77:O77" si="25">NPV($C$15,M66:M75)+M65</f>
        <v>8621.9960680525037</v>
      </c>
      <c r="N77" s="331">
        <f t="shared" si="25"/>
        <v>15150.149006833846</v>
      </c>
      <c r="O77" s="332">
        <f t="shared" si="25"/>
        <v>6528.1529387813453</v>
      </c>
      <c r="P77" s="4"/>
      <c r="Q77" s="329">
        <v>12</v>
      </c>
      <c r="R77" s="312">
        <f>$D$9+$D$13</f>
        <v>6500</v>
      </c>
      <c r="S77" s="312">
        <f>$E$9+$E$13</f>
        <v>8000</v>
      </c>
      <c r="T77" s="314">
        <f t="shared" si="5"/>
        <v>1500</v>
      </c>
      <c r="U77" s="4"/>
      <c r="V77" s="327">
        <v>12</v>
      </c>
      <c r="W77" s="297">
        <f t="shared" si="15"/>
        <v>6500</v>
      </c>
      <c r="X77" s="297">
        <f t="shared" si="16"/>
        <v>8000</v>
      </c>
      <c r="Y77" s="299">
        <f t="shared" si="6"/>
        <v>1500</v>
      </c>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 x14ac:dyDescent="0.25">
      <c r="A78" s="4"/>
      <c r="B78" s="4"/>
      <c r="C78" s="4"/>
      <c r="D78" s="4"/>
      <c r="E78" s="4"/>
      <c r="F78" s="4"/>
      <c r="G78" s="333" t="s">
        <v>97</v>
      </c>
      <c r="H78" s="335">
        <f t="shared" ref="H78:J78" si="26">MIRR(H65:H73,,$C$15)</f>
        <v>0.1783763105393521</v>
      </c>
      <c r="I78" s="336">
        <f t="shared" si="26"/>
        <v>0.20320599190340838</v>
      </c>
      <c r="J78" s="207">
        <f t="shared" si="26"/>
        <v>0.45951191945530212</v>
      </c>
      <c r="K78" s="4"/>
      <c r="L78" s="343" t="s">
        <v>152</v>
      </c>
      <c r="M78" s="334">
        <f t="shared" ref="M78:O78" si="27">NPV($C$16,M66:M75)+M65</f>
        <v>3251.0685560800157</v>
      </c>
      <c r="N78" s="297">
        <f t="shared" si="27"/>
        <v>8539.7766844061698</v>
      </c>
      <c r="O78" s="299">
        <f t="shared" si="27"/>
        <v>5288.7081283261577</v>
      </c>
      <c r="P78" s="4"/>
      <c r="Q78" s="4"/>
      <c r="R78" s="4"/>
      <c r="S78" s="4"/>
      <c r="T78" s="4"/>
      <c r="U78" s="4"/>
      <c r="V78" s="327">
        <v>13</v>
      </c>
      <c r="W78" s="297">
        <f t="shared" si="15"/>
        <v>6500</v>
      </c>
      <c r="X78" s="297">
        <f t="shared" si="16"/>
        <v>8000</v>
      </c>
      <c r="Y78" s="299">
        <f t="shared" si="6"/>
        <v>1500</v>
      </c>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 x14ac:dyDescent="0.25">
      <c r="A79" s="4"/>
      <c r="B79" s="4"/>
      <c r="C79" s="4"/>
      <c r="D79" s="4"/>
      <c r="E79" s="4"/>
      <c r="F79" s="4"/>
      <c r="G79" s="338" t="s">
        <v>153</v>
      </c>
      <c r="H79" s="339">
        <f t="shared" ref="H79:J79" si="28">MIRR(H65:H73,,$C$16)</f>
        <v>0.20578602526139256</v>
      </c>
      <c r="I79" s="340">
        <f t="shared" si="28"/>
        <v>0.23119325937896296</v>
      </c>
      <c r="J79" s="341">
        <f t="shared" si="28"/>
        <v>0.49346101108917684</v>
      </c>
      <c r="K79" s="4"/>
      <c r="L79" s="343" t="s">
        <v>96</v>
      </c>
      <c r="M79" s="335">
        <f t="shared" ref="M79:O79" si="29">IRR(M65:M75)</f>
        <v>0.23908792995417349</v>
      </c>
      <c r="N79" s="336">
        <f t="shared" si="29"/>
        <v>0.29607522322144297</v>
      </c>
      <c r="O79" s="207">
        <f t="shared" si="29"/>
        <v>1.4998426145454182</v>
      </c>
      <c r="P79" s="4"/>
      <c r="Q79" s="232" t="s">
        <v>55</v>
      </c>
      <c r="R79" s="330">
        <f t="shared" ref="R79:T79" si="30">NPV($C$15,R66:R77)+R65</f>
        <v>11234.023491911161</v>
      </c>
      <c r="S79" s="331">
        <f t="shared" si="30"/>
        <v>18364.951990044501</v>
      </c>
      <c r="T79" s="332">
        <f t="shared" si="30"/>
        <v>7130.928498133344</v>
      </c>
      <c r="U79" s="4"/>
      <c r="V79" s="327">
        <v>14</v>
      </c>
      <c r="W79" s="297">
        <f t="shared" si="15"/>
        <v>6500</v>
      </c>
      <c r="X79" s="297">
        <f t="shared" si="16"/>
        <v>8000</v>
      </c>
      <c r="Y79" s="299">
        <f t="shared" si="6"/>
        <v>1500</v>
      </c>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 x14ac:dyDescent="0.25">
      <c r="A80" s="4"/>
      <c r="B80" s="4"/>
      <c r="C80" s="4"/>
      <c r="D80" s="4"/>
      <c r="E80" s="4"/>
      <c r="F80" s="4"/>
      <c r="G80" s="4"/>
      <c r="H80" s="4"/>
      <c r="I80" s="4"/>
      <c r="J80" s="4"/>
      <c r="K80" s="4"/>
      <c r="L80" s="343" t="s">
        <v>97</v>
      </c>
      <c r="M80" s="335">
        <f>MIRR(M65:M75,,$C$15)</f>
        <v>0.18584457000258547</v>
      </c>
      <c r="N80" s="336">
        <v>0.13666</v>
      </c>
      <c r="O80" s="207">
        <v>0.34927999999999998</v>
      </c>
      <c r="P80" s="4"/>
      <c r="Q80" s="333" t="s">
        <v>152</v>
      </c>
      <c r="R80" s="334">
        <f t="shared" ref="R80:T80" si="31">NPV($C$16,R66:R77)+R65</f>
        <v>4854.9087195000066</v>
      </c>
      <c r="S80" s="297">
        <f t="shared" si="31"/>
        <v>10513.733808615398</v>
      </c>
      <c r="T80" s="299">
        <f t="shared" si="31"/>
        <v>5658.8250891153884</v>
      </c>
      <c r="U80" s="4"/>
      <c r="V80" s="329">
        <v>15</v>
      </c>
      <c r="W80" s="312">
        <f>$D$9+$D$13</f>
        <v>6500</v>
      </c>
      <c r="X80" s="312">
        <f>$E$9+$E$13</f>
        <v>8000</v>
      </c>
      <c r="Y80" s="314">
        <f t="shared" si="6"/>
        <v>1500</v>
      </c>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 x14ac:dyDescent="0.25">
      <c r="A81" s="4"/>
      <c r="B81" s="4"/>
      <c r="C81" s="4"/>
      <c r="D81" s="4"/>
      <c r="E81" s="4"/>
      <c r="F81" s="4"/>
      <c r="G81" s="4"/>
      <c r="H81" s="4"/>
      <c r="I81" s="4"/>
      <c r="J81" s="4"/>
      <c r="K81" s="4"/>
      <c r="L81" s="344" t="s">
        <v>153</v>
      </c>
      <c r="M81" s="339">
        <f>MIRR(M65:M75,,$C$16)</f>
        <v>0.21534191302333117</v>
      </c>
      <c r="N81" s="340">
        <v>0.24160999999999999</v>
      </c>
      <c r="O81" s="341">
        <v>0.45977000000000001</v>
      </c>
      <c r="P81" s="4"/>
      <c r="Q81" s="333" t="s">
        <v>96</v>
      </c>
      <c r="R81" s="335">
        <f t="shared" ref="R81:T81" si="32">IRR(R65:R77)</f>
        <v>0.25269699103585586</v>
      </c>
      <c r="S81" s="336">
        <f t="shared" si="32"/>
        <v>0.30713853091208776</v>
      </c>
      <c r="T81" s="207">
        <f t="shared" si="32"/>
        <v>1.4999748311355039</v>
      </c>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 x14ac:dyDescent="0.25">
      <c r="A82" s="4"/>
      <c r="B82" s="4"/>
      <c r="C82" s="4"/>
      <c r="D82" s="4"/>
      <c r="E82" s="4"/>
      <c r="F82" s="4"/>
      <c r="G82" s="4"/>
      <c r="H82" s="4"/>
      <c r="I82" s="4"/>
      <c r="J82" s="4"/>
      <c r="K82" s="4"/>
      <c r="L82" s="4"/>
      <c r="M82" s="4"/>
      <c r="N82" s="4"/>
      <c r="O82" s="4"/>
      <c r="P82" s="4"/>
      <c r="Q82" s="333" t="s">
        <v>97</v>
      </c>
      <c r="R82" s="335">
        <f>MIRR(R65:R77,,marr)</f>
        <v>0.18739101103459799</v>
      </c>
      <c r="S82" s="336">
        <f>MIRR(S65:S77,,marr)</f>
        <v>0.20401273016166632</v>
      </c>
      <c r="T82" s="207">
        <f>MIRR(T65:T77,,marr)</f>
        <v>0.36943950541988135</v>
      </c>
      <c r="U82" s="4"/>
      <c r="V82" s="232" t="s">
        <v>55</v>
      </c>
      <c r="W82" s="330">
        <f t="shared" ref="W82:Y82" si="33">NPV($C$15,W66:W80)+W65</f>
        <v>14007.905641102116</v>
      </c>
      <c r="X82" s="331">
        <f t="shared" si="33"/>
        <v>21778.960789048746</v>
      </c>
      <c r="Y82" s="332">
        <f t="shared" si="33"/>
        <v>7771.0551479466394</v>
      </c>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 x14ac:dyDescent="0.25">
      <c r="A83" s="4"/>
      <c r="B83" s="4"/>
      <c r="C83" s="4"/>
      <c r="D83" s="4"/>
      <c r="E83" s="4"/>
      <c r="F83" s="4"/>
      <c r="G83" s="4"/>
      <c r="H83" s="4"/>
      <c r="I83" s="4"/>
      <c r="J83" s="4"/>
      <c r="K83" s="4"/>
      <c r="L83" s="4"/>
      <c r="M83" s="4"/>
      <c r="N83" s="4"/>
      <c r="O83" s="4"/>
      <c r="P83" s="4"/>
      <c r="Q83" s="338" t="s">
        <v>153</v>
      </c>
      <c r="R83" s="339">
        <f>MIRR(R65:R77,,avgR)</f>
        <v>0.21856476976064165</v>
      </c>
      <c r="S83" s="340">
        <f>MIRR(S65:S77,,avgR)</f>
        <v>0.23562287543339222</v>
      </c>
      <c r="T83" s="341">
        <f>MIRR(T65:T77,,avgR)</f>
        <v>0.4053927645696831</v>
      </c>
      <c r="U83" s="4"/>
      <c r="V83" s="333" t="s">
        <v>152</v>
      </c>
      <c r="W83" s="334">
        <f t="shared" ref="W83:Y83" si="34">NPV($C$16,W66:W80)+W65</f>
        <v>6390.572175636571</v>
      </c>
      <c r="X83" s="297">
        <f t="shared" si="34"/>
        <v>12403.781139245031</v>
      </c>
      <c r="Y83" s="299">
        <f t="shared" si="34"/>
        <v>6013.2089636084438</v>
      </c>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 x14ac:dyDescent="0.25">
      <c r="A84" s="4"/>
      <c r="B84" s="4"/>
      <c r="C84" s="4"/>
      <c r="D84" s="4"/>
      <c r="E84" s="4"/>
      <c r="F84" s="4"/>
      <c r="G84" s="4"/>
      <c r="H84" s="4"/>
      <c r="I84" s="4"/>
      <c r="J84" s="4"/>
      <c r="K84" s="4"/>
      <c r="L84" s="4"/>
      <c r="M84" s="4"/>
      <c r="N84" s="4"/>
      <c r="O84" s="4"/>
      <c r="P84" s="4"/>
      <c r="Q84" s="4"/>
      <c r="R84" s="4"/>
      <c r="S84" s="4"/>
      <c r="T84" s="4"/>
      <c r="U84" s="4"/>
      <c r="V84" s="333" t="s">
        <v>96</v>
      </c>
      <c r="W84" s="335">
        <f t="shared" ref="W84:Y84" si="35">IRR(W65:W80)</f>
        <v>0.2626389896481478</v>
      </c>
      <c r="X84" s="336">
        <f t="shared" si="35"/>
        <v>0.31471977991961753</v>
      </c>
      <c r="Y84" s="207">
        <f t="shared" si="35"/>
        <v>1.4999983893716973</v>
      </c>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 x14ac:dyDescent="0.25">
      <c r="A85" s="4"/>
      <c r="B85" s="4"/>
      <c r="C85" s="4"/>
      <c r="D85" s="4"/>
      <c r="E85" s="4"/>
      <c r="F85" s="4"/>
      <c r="G85" s="4"/>
      <c r="H85" s="4"/>
      <c r="I85" s="4"/>
      <c r="J85" s="4"/>
      <c r="K85" s="4"/>
      <c r="L85" s="4"/>
      <c r="M85" s="4"/>
      <c r="N85" s="4"/>
      <c r="O85" s="4"/>
      <c r="P85" s="4"/>
      <c r="Q85" s="4"/>
      <c r="R85" s="4"/>
      <c r="S85" s="4"/>
      <c r="T85" s="4"/>
      <c r="U85" s="4"/>
      <c r="V85" s="333" t="s">
        <v>97</v>
      </c>
      <c r="W85" s="335">
        <f>MIRR(W65:W80,,marr)</f>
        <v>0.18579246641421587</v>
      </c>
      <c r="X85" s="336">
        <f>MIRR(X65:X80,,marr)</f>
        <v>0.19905345390099716</v>
      </c>
      <c r="Y85" s="207">
        <f>MIRR(Y65:Y80,,marr)</f>
        <v>0.32913153782888838</v>
      </c>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 x14ac:dyDescent="0.25">
      <c r="A86" s="4"/>
      <c r="B86" s="4"/>
      <c r="C86" s="4"/>
      <c r="D86" s="4"/>
      <c r="E86" s="4"/>
      <c r="F86" s="4"/>
      <c r="G86" s="4"/>
      <c r="H86" s="4"/>
      <c r="I86" s="4"/>
      <c r="J86" s="4"/>
      <c r="K86" s="4"/>
      <c r="L86" s="4"/>
      <c r="M86" s="4"/>
      <c r="N86" s="4"/>
      <c r="O86" s="4"/>
      <c r="P86" s="4"/>
      <c r="Q86" s="4"/>
      <c r="R86" s="4"/>
      <c r="S86" s="4"/>
      <c r="T86" s="4"/>
      <c r="U86" s="4"/>
      <c r="V86" s="338" t="s">
        <v>153</v>
      </c>
      <c r="W86" s="339">
        <f>MIRR(W65:W80,,avgR)</f>
        <v>0.21903569272763868</v>
      </c>
      <c r="X86" s="340">
        <f>MIRR(X65:X80,,avgR)</f>
        <v>0.2326684467930149</v>
      </c>
      <c r="Y86" s="341">
        <f>MIRR(Y65:Y80,,avgR)</f>
        <v>0.36639321874170938</v>
      </c>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2.5"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2.5"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2.5"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2.5"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2.5"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2.5"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2.5"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2.5"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2.5"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2.5"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2.5"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2.5"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2.5"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2.5"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2.5"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2.5"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2.5"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2.5"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2.5"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2.5"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2.5"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2.5"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2.5"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2.5"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2.5"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2.5"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2.5"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2.5"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2.5"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2.5"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2.5"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2.5"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2.5"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2.5"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2.5"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2.5"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2.5"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2.5"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2.5"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2.5"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2.5"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2.5"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2.5"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2.5"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2.5"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2.5"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2.5"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2.5"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2.5"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2.5"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2.5"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2.5"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2.5"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2.5"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2.5"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2.5"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2.5"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2.5"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2.5"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2.5"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2.5"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2.5"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2.5"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2.5"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2.5"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2.5"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2.5"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2.5"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2.5"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2.5"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2.5"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2.5"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2.5"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2.5"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2.5"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2.5"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2.5"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2.5"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2.5"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2.5"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2.5"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2.5"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2.5"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2.5"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2.5"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2.5"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2.5"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2.5"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2.5"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2.5"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2.5"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2.5"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2.5"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2.5"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2.5"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2.5"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2.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2.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2.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2.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2.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2.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2.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2.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2.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2.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2.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2.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2.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2.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2.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2.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2.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2.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2.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2.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2.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2.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2.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2.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2.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2.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2.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2.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2.5"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2.5"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2.5"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2.5"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2.5"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2.5"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2.5"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2.5"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2.5"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2.5"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2.5"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2.5"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2.5"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2.5"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2.5"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2.5"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2.5"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2.5"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2.5"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2.5"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2.5"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2.5"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2.5"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2.5"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ht="12.5"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ht="12.5"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ht="12.5"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ht="12.5"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ht="12.5"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ht="12.5"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ht="12.5"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ht="12.5"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ht="12.5"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ht="12.5"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ht="12.5"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ht="12.5"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ht="12.5"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ht="12.5"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ht="12.5"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spans="1:50" ht="12.5"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spans="1:50" ht="12.5"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spans="1:50" ht="12.5"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spans="1:50" ht="12.5"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spans="1:50" ht="12.5"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spans="1:50" ht="12.5"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spans="1:50" ht="12.5"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spans="1:50" ht="12.5"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spans="1:50" ht="12.5"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spans="1:50" ht="12.5"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spans="1:50" ht="12.5"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spans="1:50" ht="12.5"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spans="1:50" ht="12.5"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spans="1:50" ht="12.5"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spans="1:50" ht="12.5"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spans="1:50" ht="12.5"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spans="1:50" ht="12.5"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spans="1:50" ht="12.5"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spans="1:50" ht="12.5"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spans="1:50" ht="12.5"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spans="1:50" ht="12.5"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spans="1:50" ht="12.5"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spans="1:50" ht="12.5"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spans="1:50" ht="12.5"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spans="1:50" ht="12.5"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spans="1:50" ht="12.5"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spans="1:50" ht="12.5"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spans="1:50" ht="12.5"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spans="1:50" ht="12.5"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spans="1:50" ht="12.5"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spans="1:50" ht="12.5"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spans="1:50" ht="12.5"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spans="1:50" ht="12.5"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spans="1:50" ht="12.5"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spans="1:50" ht="12.5"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spans="1:50" ht="12.5"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spans="1:50" ht="12.5"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spans="1:50" ht="12.5"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spans="1:50" ht="12.5"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spans="1:50" ht="12.5"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spans="1:50" ht="12.5"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spans="1:50" ht="12.5"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spans="1:50" ht="12.5"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spans="1:50" ht="12.5"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spans="1:50" ht="12.5"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spans="1:50" ht="12.5"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spans="1:50" ht="12.5"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spans="1:50" ht="12.5"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spans="1:50" ht="12.5"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spans="1:50" ht="12.5"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spans="1:50" ht="12.5"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spans="1:50" ht="12.5"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spans="1:50" ht="12.5"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spans="1:50" ht="12.5"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spans="1:50" ht="12.5"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spans="1:50" ht="12.5"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spans="1:50" ht="12.5"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spans="1:50" ht="12.5"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spans="1:50" ht="12.5"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spans="1:50" ht="12.5"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spans="1:50" ht="12.5"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spans="1:50" ht="12.5"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spans="1:50" ht="12.5"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spans="1:50" ht="12.5"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spans="1:50" ht="12.5"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spans="1:50" ht="12.5"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spans="1:50" ht="12.5"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spans="1:50" ht="12.5"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spans="1:50" ht="12.5"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spans="1:50" ht="12.5"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spans="1:50" ht="12.5"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spans="1:50" ht="12.5"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spans="1:50" ht="12.5"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spans="1:50" ht="12.5"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spans="1:50" ht="12.5"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spans="1:50" ht="12.5"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spans="1:50" ht="12.5"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spans="1:50" ht="12.5"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spans="1:50" ht="12.5"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spans="1:50" ht="12.5"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spans="1:50" ht="12.5"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spans="1:50" ht="12.5"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spans="1:50" ht="12.5"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spans="1:50" ht="12.5"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spans="1:50" ht="12.5"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spans="1:50" ht="12.5"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spans="1:50" ht="12.5"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spans="1:50" ht="12.5"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spans="1:50" ht="12.5"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spans="1:50" ht="12.5"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spans="1:50" ht="12.5"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spans="1:50" ht="12.5"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spans="1:50" ht="12.5"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spans="1:50" ht="12.5"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spans="1:50" ht="12.5"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spans="1:50" ht="12.5"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spans="1:50" ht="12.5"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spans="1:50" ht="12.5"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spans="1:50" ht="12.5"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spans="1:50" ht="12.5"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spans="1:50" ht="12.5"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spans="1:50" ht="12.5"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spans="1:50" ht="12.5"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spans="1:50" ht="12.5"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spans="1:50" ht="12.5"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spans="1:50" ht="12.5"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spans="1:50" ht="12.5"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spans="1:50" ht="12.5"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spans="1:50" ht="12.5"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spans="1:50" ht="12.5"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spans="1:50" ht="12.5"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spans="1:50" ht="12.5"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spans="1:50" ht="12.5"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spans="1:50" ht="12.5"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spans="1:50" ht="12.5"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spans="1:50" ht="12.5"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spans="1:50" ht="12.5"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spans="1:50" ht="12.5"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spans="1:50" ht="12.5"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spans="1:50" ht="12.5"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spans="1:50" ht="12.5"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spans="1:50" ht="12.5"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spans="1:50" ht="12.5"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spans="1:50" ht="12.5"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spans="1:50" ht="12.5"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spans="1:50" ht="12.5"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spans="1:50" ht="12.5"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spans="1:50" ht="12.5"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spans="1:50" ht="12.5"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spans="1:50" ht="12.5"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spans="1:50" ht="12.5"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spans="1:50" ht="12.5"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spans="1:50" ht="12.5"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spans="1:50" ht="12.5"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spans="1:50" ht="12.5"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spans="1:50" ht="12.5"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spans="1:50" ht="12.5"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spans="1:50" ht="12.5"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spans="1:50" ht="12.5"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spans="1:50" ht="12.5"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spans="1:50" ht="12.5"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spans="1:50" ht="12.5"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spans="1:50" ht="12.5"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spans="1:50" ht="12.5"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spans="1:50" ht="12.5"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spans="1:50" ht="12.5"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spans="1:50" ht="12.5"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spans="1:50" ht="12.5"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spans="1:50" ht="12.5"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spans="1:50" ht="12.5"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spans="1:50" ht="12.5"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spans="1:50" ht="12.5"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spans="1:50" ht="12.5"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spans="1:50" ht="12.5"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spans="1:50" ht="12.5"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spans="1:50" ht="12.5"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spans="1:50" ht="12.5"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spans="1:50" ht="12.5"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spans="1:50" ht="12.5"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spans="1:50" ht="12.5"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spans="1:50" ht="12.5"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spans="1:50" ht="12.5"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spans="1:50" ht="12.5"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spans="1:50" ht="12.5"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spans="1:50" ht="12.5"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spans="1:50" ht="12.5"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spans="1:50" ht="12.5"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spans="1:50" ht="12.5"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spans="1:50" ht="12.5"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spans="1:50" ht="12.5"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spans="1:50" ht="12.5"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spans="1:50" ht="12.5"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spans="1:50" ht="12.5"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spans="1:50" ht="12.5"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spans="1:50" ht="12.5"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spans="1:50" ht="12.5"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spans="1:50" ht="12.5"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spans="1:50" ht="12.5"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spans="1:50" ht="12.5"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spans="1:50" ht="12.5"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spans="1:50" ht="12.5"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spans="1:50" ht="12.5"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spans="1:50" ht="12.5"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spans="1:50" ht="12.5"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spans="1:50" ht="12.5"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spans="1:50" ht="12.5"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spans="1:50" ht="12.5"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spans="1:50" ht="12.5"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spans="1:50" ht="12.5"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spans="1:50" ht="12.5"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spans="1:50" ht="12.5"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spans="1:50" ht="12.5"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spans="1:50" ht="12.5"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spans="1:50" ht="12.5"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spans="1:50" ht="12.5"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spans="1:50" ht="12.5"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spans="1:50" ht="12.5"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spans="1:50" ht="12.5"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spans="1:50" ht="12.5"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spans="1:50" ht="12.5"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spans="1:50" ht="12.5"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spans="1:50" ht="12.5"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spans="1:50" ht="12.5"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spans="1:50" ht="12.5"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spans="1:50" ht="12.5"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spans="1:50" ht="12.5"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spans="1:50" ht="12.5"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spans="1:50" ht="12.5"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spans="1:50" ht="12.5"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spans="1:50" ht="12.5"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spans="1:50" ht="12.5"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spans="1:50" ht="12.5"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spans="1:50" ht="12.5"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spans="1:50" ht="12.5"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spans="1:50" ht="12.5"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spans="1:50" ht="12.5"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spans="1:50" ht="12.5"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spans="1:50" ht="12.5"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spans="1:50" ht="12.5"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spans="1:50" ht="12.5"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spans="1:50" ht="12.5"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spans="1:50" ht="12.5"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spans="1:50" ht="12.5"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spans="1:50" ht="12.5"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spans="1:50" ht="12.5"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spans="1:50" ht="12.5"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spans="1:50" ht="12.5"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spans="1:50" ht="12.5"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spans="1:50" ht="12.5"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spans="1:50" ht="12.5"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spans="1:50" ht="12.5"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spans="1:50" ht="12.5"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spans="1:50" ht="12.5"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spans="1:50" ht="12.5"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spans="1:50" ht="12.5"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spans="1:50" ht="12.5"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spans="1:50" ht="12.5"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spans="1:50" ht="12.5"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spans="1:50" ht="12.5"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spans="1:50" ht="12.5"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spans="1:50" ht="12.5"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spans="1:50" ht="12.5"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spans="1:50" ht="12.5"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spans="1:50" ht="12.5"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spans="1:50" ht="12.5"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spans="1:50" ht="12.5"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spans="1:50" ht="12.5"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spans="1:50" ht="12.5"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spans="1:50" ht="12.5"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spans="1:50" ht="12.5"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spans="1:50" ht="12.5"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spans="1:50" ht="12.5"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spans="1:50" ht="12.5"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spans="1:50" ht="12.5"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spans="1:50" ht="12.5"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spans="1:50" ht="12.5"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spans="1:50" ht="12.5"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spans="1:50" ht="12.5"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spans="1:50" ht="12.5"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spans="1:50" ht="12.5"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spans="1:50" ht="12.5"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spans="1:50" ht="12.5"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spans="1:50" ht="12.5"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spans="1:50" ht="12.5"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spans="1:50" ht="12.5"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spans="1:50" ht="12.5"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spans="1:50" ht="12.5"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spans="1:50" ht="12.5"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spans="1:50" ht="12.5"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spans="1:50" ht="12.5"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spans="1:50" ht="12.5"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spans="1:50" ht="12.5"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spans="1:50" ht="12.5"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spans="1:50" ht="12.5"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spans="1:50" ht="12.5"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spans="1:50" ht="12.5"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spans="1:50" ht="12.5"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spans="1:50" ht="12.5"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spans="1:50" ht="12.5"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spans="1:50" ht="12.5"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spans="1:50" ht="12.5"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spans="1:50" ht="12.5"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spans="1:50" ht="12.5"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spans="1:50" ht="12.5"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spans="1:50" ht="12.5"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spans="1:50" ht="12.5"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spans="1:50" ht="12.5"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spans="1:50" ht="12.5"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spans="1:50" ht="12.5"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spans="1:50" ht="12.5"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spans="1:50" ht="12.5"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spans="1:50" ht="12.5"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spans="1:50" ht="12.5"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spans="1:50" ht="12.5"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spans="1:50" ht="12.5"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spans="1:50" ht="12.5"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spans="1:50" ht="12.5"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spans="1:50" ht="12.5"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spans="1:50" ht="12.5"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spans="1:50" ht="12.5"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spans="1:50" ht="12.5"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spans="1:50" ht="12.5"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spans="1:50" ht="12.5"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spans="1:50" ht="12.5"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spans="1:50" ht="12.5"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spans="1:50" ht="12.5"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spans="1:50" ht="12.5"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spans="1:50" ht="12.5"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spans="1:50" ht="12.5"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spans="1:50" ht="12.5"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spans="1:50" ht="12.5"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spans="1:50" ht="12.5"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spans="1:50" ht="12.5"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spans="1:50" ht="12.5"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spans="1:50" ht="12.5"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spans="1:50" ht="12.5"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spans="1:50" ht="12.5"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spans="1:50" ht="12.5"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spans="1:50" ht="12.5"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spans="1:50" ht="12.5"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spans="1:50" ht="12.5"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spans="1:50" ht="12.5"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spans="1:50" ht="12.5"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spans="1:50" ht="12.5"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spans="1:50" ht="12.5"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spans="1:50" ht="12.5"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spans="1:50" ht="12.5"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spans="1:50" ht="12.5"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spans="1:50" ht="12.5"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spans="1:50" ht="12.5"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spans="1:50" ht="12.5"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spans="1:50" ht="12.5"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spans="1:50" ht="12.5"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spans="1:50" ht="12.5"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spans="1:50" ht="12.5"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spans="1:50" ht="12.5"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spans="1:50" ht="12.5"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spans="1:50" ht="12.5"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spans="1:50" ht="12.5"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spans="1:50" ht="12.5"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spans="1:50" ht="12.5"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spans="1:50" ht="12.5"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spans="1:50" ht="12.5"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spans="1:50" ht="12.5"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spans="1:50" ht="12.5"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spans="1:50" ht="12.5"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spans="1:50" ht="12.5"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spans="1:50" ht="12.5"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spans="1:50" ht="12.5"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spans="1:50" ht="12.5"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spans="1:50" ht="12.5"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spans="1:50" ht="12.5"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spans="1:50" ht="12.5"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spans="1:50" ht="12.5"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spans="1:50" ht="12.5"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spans="1:50" ht="12.5"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spans="1:50" ht="12.5"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spans="1:50" ht="12.5"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spans="1:50" ht="12.5"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spans="1:50" ht="12.5"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spans="1:50" ht="12.5"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spans="1:50" ht="12.5"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spans="1:50" ht="12.5"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spans="1:50" ht="12.5"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spans="1:50" ht="12.5"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spans="1:50" ht="12.5"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spans="1:50" ht="12.5"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spans="1:50" ht="12.5"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spans="1:50" ht="12.5"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spans="1:50" ht="12.5"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spans="1:50" ht="12.5"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spans="1:50" ht="12.5"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spans="1:50" ht="12.5"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spans="1:50" ht="12.5"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spans="1:50" ht="12.5"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spans="1:50" ht="12.5"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spans="1:50" ht="12.5"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spans="1:50" ht="12.5"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spans="1:50" ht="12.5"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spans="1:50" ht="12.5"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spans="1:50" ht="12.5"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spans="1:50" ht="12.5"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spans="1:50" ht="12.5"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spans="1:50" ht="12.5"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spans="1:50" ht="12.5"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spans="1:50" ht="12.5"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spans="1:50" ht="12.5"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spans="1:50" ht="12.5"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spans="1:50" ht="12.5"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spans="1:50" ht="12.5"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spans="1:50" ht="12.5"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spans="1:50" ht="12.5"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spans="1:50" ht="12.5"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spans="1:50" ht="12.5"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spans="1:50" ht="12.5"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spans="1:50" ht="12.5"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spans="1:50" ht="12.5"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spans="1:50" ht="12.5"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spans="1:50" ht="12.5"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spans="1:50" ht="12.5"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spans="1:50" ht="12.5"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spans="1:50" ht="12.5"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spans="1:50" ht="12.5"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spans="1:50" ht="12.5"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spans="1:50" ht="12.5"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spans="1:50" ht="12.5"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spans="1:50" ht="12.5"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spans="1:50" ht="12.5"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spans="1:50" ht="12.5"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spans="1:50" ht="12.5"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spans="1:50" ht="12.5"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spans="1:50" ht="12.5"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spans="1:50" ht="12.5"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spans="1:50" ht="12.5"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spans="1:50" ht="12.5"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spans="1:50" ht="12.5"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spans="1:50" ht="12.5"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spans="1:50" ht="12.5"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spans="1:50" ht="12.5"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spans="1:50" ht="12.5"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spans="1:50" ht="12.5"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spans="1:50" ht="12.5"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spans="1:50" ht="12.5"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spans="1:50" ht="12.5"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spans="1:50" ht="12.5"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spans="1:50" ht="12.5"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spans="1:50" ht="12.5"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spans="1:50" ht="12.5"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spans="1:50" ht="12.5"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spans="1:50" ht="12.5"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spans="1:50" ht="12.5"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spans="1:50" ht="12.5"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spans="1:50" ht="12.5"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spans="1:50" ht="12.5"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spans="1:50" ht="12.5"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spans="1:50" ht="12.5"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spans="1:50" ht="12.5"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spans="1:50" ht="12.5"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spans="1:50" ht="12.5"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spans="1:50" ht="12.5"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spans="1:50" ht="12.5"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spans="1:50" ht="12.5"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spans="1:50" ht="12.5"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spans="1:50" ht="12.5"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spans="1:50" ht="12.5"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spans="1:50" ht="12.5"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spans="1:50" ht="12.5"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spans="1:50" ht="12.5"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spans="1:50" ht="12.5"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spans="1:50" ht="12.5"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spans="1:50" ht="12.5"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spans="1:50" ht="12.5"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spans="1:50" ht="12.5"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spans="1:50" ht="12.5"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spans="1:50" ht="12.5"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spans="1:50" ht="12.5"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spans="1:50" ht="12.5"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spans="1:50" ht="12.5"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spans="1:50" ht="12.5"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spans="1:50" ht="12.5"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spans="1:50" ht="12.5"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spans="1:50" ht="12.5"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spans="1:50" ht="12.5"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spans="1:50" ht="12.5"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spans="1:50" ht="12.5"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spans="1:50" ht="12.5"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spans="1:50" ht="12.5"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spans="1:50" ht="12.5"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spans="1:50" ht="12.5"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spans="1:50" ht="12.5"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spans="1:50" ht="12.5"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spans="1:50" ht="12.5"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spans="1:50" ht="12.5"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spans="1:50" ht="12.5"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spans="1:50" ht="12.5"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spans="1:50" ht="12.5"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spans="1:50" ht="12.5"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spans="1:50" ht="12.5"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spans="1:50" ht="12.5"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spans="1:50" ht="12.5"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spans="1:50" ht="12.5"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spans="1:50" ht="12.5"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spans="1:50" ht="12.5"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spans="1:50" ht="12.5"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spans="1:50" ht="12.5"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spans="1:50" ht="12.5"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spans="1:50" ht="12.5"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spans="1:50" ht="12.5"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spans="1:50" ht="12.5"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spans="1:50" ht="12.5"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spans="1:50" ht="12.5"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spans="1:50" ht="12.5"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spans="1:50" ht="12.5"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spans="1:50" ht="12.5"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spans="1:50" ht="12.5"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spans="1:50" ht="12.5"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spans="1:50" ht="12.5"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spans="1:50" ht="12.5"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spans="1:50" ht="12.5"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spans="1:50" ht="12.5"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spans="1:50" ht="12.5"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spans="1:50" ht="12.5"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spans="1:50" ht="12.5"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spans="1:50" ht="12.5"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spans="1:50" ht="12.5"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spans="1:50" ht="12.5"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spans="1:50" ht="12.5"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spans="1:50" ht="12.5"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spans="1:50" ht="12.5"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spans="1:50" ht="12.5"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spans="1:50" ht="12.5"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spans="1:50" ht="12.5"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spans="1:50" ht="12.5"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spans="1:50" ht="12.5"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spans="1:50" ht="12.5"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spans="1:50" ht="12.5"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spans="1:50" ht="12.5"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spans="1:50" ht="12.5"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spans="1:50" ht="12.5"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spans="1:50" ht="12.5"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spans="1:50" ht="12.5"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spans="1:50" ht="12.5"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spans="1:50" ht="12.5"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spans="1:50" ht="12.5"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spans="1:50" ht="12.5"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spans="1:50" ht="12.5"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spans="1:50" ht="12.5"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spans="1:50" ht="12.5"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spans="1:50" ht="12.5"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spans="1:50" ht="12.5"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spans="1:50" ht="12.5"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spans="1:50" ht="12.5"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spans="1:50" ht="12.5"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spans="1:50" ht="12.5"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spans="1:50" ht="12.5"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spans="1:50" ht="12.5"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spans="1:50" ht="12.5"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spans="1:50" ht="12.5"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spans="1:50" ht="12.5"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spans="1:50" ht="12.5"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spans="1:50" ht="12.5"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spans="1:50" ht="12.5"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spans="1:50" ht="12.5"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spans="1:50" ht="12.5"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spans="1:50" ht="12.5"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spans="1:50" ht="12.5"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spans="1:50" ht="12.5"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spans="1:50" ht="12.5"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spans="1:50" ht="12.5"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spans="1:50" ht="12.5"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spans="1:50" ht="12.5"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spans="1:50" ht="12.5"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spans="1:50" ht="12.5"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spans="1:50" ht="12.5"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spans="1:50" ht="12.5"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spans="1:50" ht="12.5"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spans="1:50" ht="12.5"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spans="1:50" ht="12.5"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spans="1:50" ht="12.5"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spans="1:50" ht="12.5"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spans="1:50" ht="12.5"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spans="1:50" ht="12.5"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spans="1:50" ht="12.5"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spans="1:50" ht="12.5"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spans="1:50" ht="12.5"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spans="1:50" ht="12.5"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spans="1:50" ht="12.5"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spans="1:50" ht="12.5"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spans="1:50" ht="12.5"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spans="1:50" ht="12.5"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spans="1:50" ht="12.5"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spans="1:50" ht="12.5"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spans="1:50" ht="12.5"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spans="1:50" ht="12.5"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spans="1:50" ht="12.5"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spans="1:50" ht="12.5"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spans="1:50" ht="12.5"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spans="1:50" ht="12.5"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spans="1:50" ht="12.5"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spans="1:50" ht="12.5"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spans="1:50" ht="12.5"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spans="1:50" ht="12.5"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spans="1:50" ht="12.5"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spans="1:50" ht="12.5"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spans="1:50" ht="12.5"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spans="1:50" ht="12.5"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spans="1:50" ht="12.5"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spans="1:50" ht="12.5"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spans="1:50" ht="12.5"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spans="1:50" ht="12.5"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spans="1:50" ht="12.5"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spans="1:50" ht="12.5"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spans="1:50" ht="12.5"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spans="1:50" ht="12.5"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spans="1:50" ht="12.5"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spans="1:50" ht="12.5"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spans="1:50" ht="12.5"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spans="1:50" ht="12.5"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spans="1:50" ht="12.5"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spans="1:50" ht="12.5"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spans="1:50" ht="12.5"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spans="1:50" ht="12.5"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spans="1:50" ht="12.5"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spans="1:50" ht="12.5"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spans="1:50" ht="12.5"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spans="1:50" ht="12.5"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spans="1:50" ht="12.5"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spans="1:50" ht="12.5"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spans="1:50" ht="12.5"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spans="1:50" ht="12.5"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spans="1:50" ht="12.5"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spans="1:50" ht="12.5"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spans="1:50" ht="12.5"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spans="1:50" ht="12.5"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spans="1:50" ht="12.5"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spans="1:50" ht="12.5"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spans="1:50" ht="12.5"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spans="1:50" ht="12.5"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spans="1:50" ht="12.5"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spans="1:50" ht="12.5"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spans="1:50" ht="12.5"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spans="1:50" ht="12.5"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spans="1:50" ht="12.5"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spans="1:50" ht="12.5"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spans="1:50" ht="12.5"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spans="1:50" ht="12.5"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spans="1:50" ht="12.5"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spans="1:50" ht="12.5"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spans="1:50" ht="12.5"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spans="1:50" ht="12.5"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spans="1:50" ht="12.5"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spans="1:50" ht="12.5"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spans="1:50" ht="12.5"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spans="1:50" ht="12.5"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spans="1:50" ht="12.5"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spans="1:50" ht="12.5"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spans="1:50" ht="12.5"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spans="1:50" ht="12.5"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spans="1:50" ht="12.5"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spans="1:50" ht="12.5"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spans="1:50" ht="12.5"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spans="1:50" ht="12.5"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spans="1:50" ht="12.5"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spans="1:50" ht="12.5"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spans="1:50" ht="12.5"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spans="1:50" ht="12.5"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spans="1:50" ht="12.5"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spans="1:50" ht="12.5"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spans="1:50" ht="12.5"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spans="1:50" ht="12.5"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spans="1:50" ht="12.5"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spans="1:50" ht="12.5"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spans="1:50" ht="12.5"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spans="1:50" ht="12.5"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spans="1:50" ht="12.5"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spans="1:50" ht="12.5"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spans="1:50" ht="12.5"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spans="1:50" ht="12.5"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spans="1:50" ht="12.5"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spans="1:50" ht="12.5"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spans="1:50" ht="12.5"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spans="1:50" ht="12.5"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spans="1:50" ht="12.5"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spans="1:50" ht="12.5"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spans="1:50" ht="12.5"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spans="1:50" ht="12.5"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spans="1:50" ht="12.5"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spans="1:50" ht="12.5"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spans="1:50" ht="12.5"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spans="1:50" ht="12.5"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spans="1:50" ht="12.5"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spans="1:50" ht="12.5"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spans="1:50" ht="12.5"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spans="1:50" ht="12.5"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spans="1:50" ht="12.5"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spans="1:50" ht="12.5"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spans="1:50" ht="12.5"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spans="1:50" ht="12.5"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spans="1:50" ht="12.5"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spans="1:50" ht="12.5"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spans="1:50" ht="12.5"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spans="1:50" ht="12.5"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spans="1:50" ht="12.5"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spans="1:50" ht="12.5"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spans="1:50" ht="12.5"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spans="1:50" ht="12.5"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spans="1:50" ht="12.5"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spans="1:50" ht="12.5"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spans="1:50" ht="12.5"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spans="1:50" ht="12.5"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spans="1:50" ht="12.5"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spans="1:50" ht="12.5"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sheetData>
  <mergeCells count="45">
    <mergeCell ref="H5:N5"/>
    <mergeCell ref="P5:Z5"/>
    <mergeCell ref="AC5:AI5"/>
    <mergeCell ref="AJ5:AP5"/>
    <mergeCell ref="B6:C6"/>
    <mergeCell ref="I6:J6"/>
    <mergeCell ref="M6:N6"/>
    <mergeCell ref="AC50:AF50"/>
    <mergeCell ref="AG50:AJ50"/>
    <mergeCell ref="AG42:AJ42"/>
    <mergeCell ref="AC14:AI14"/>
    <mergeCell ref="AK14:AQ14"/>
    <mergeCell ref="AD15:AE15"/>
    <mergeCell ref="AH15:AI15"/>
    <mergeCell ref="AL15:AM15"/>
    <mergeCell ref="AP15:AQ15"/>
    <mergeCell ref="I42:J42"/>
    <mergeCell ref="M42:N42"/>
    <mergeCell ref="AC42:AF42"/>
    <mergeCell ref="P17:Z17"/>
    <mergeCell ref="AC33:AJ33"/>
    <mergeCell ref="AC34:AF34"/>
    <mergeCell ref="AG34:AJ34"/>
    <mergeCell ref="I18:J18"/>
    <mergeCell ref="M18:N18"/>
    <mergeCell ref="H29:N29"/>
    <mergeCell ref="P29:Z29"/>
    <mergeCell ref="H41:N41"/>
    <mergeCell ref="P41:Z41"/>
    <mergeCell ref="Q62:T63"/>
    <mergeCell ref="V62:Y63"/>
    <mergeCell ref="B7:C7"/>
    <mergeCell ref="B8:C8"/>
    <mergeCell ref="B9:C9"/>
    <mergeCell ref="B10:C10"/>
    <mergeCell ref="B11:C11"/>
    <mergeCell ref="B12:C12"/>
    <mergeCell ref="B13:C13"/>
    <mergeCell ref="I30:J30"/>
    <mergeCell ref="M30:N30"/>
    <mergeCell ref="A60:B60"/>
    <mergeCell ref="B62:E63"/>
    <mergeCell ref="G62:J63"/>
    <mergeCell ref="L62:O63"/>
    <mergeCell ref="H17:N17"/>
  </mergeCells>
  <conditionalFormatting sqref="A1:AX961 AY2:AY60">
    <cfRule type="cellIs" dxfId="0" priority="1" operator="lessThan">
      <formula>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21"/>
  <sheetViews>
    <sheetView workbookViewId="0"/>
  </sheetViews>
  <sheetFormatPr defaultColWidth="12.6328125" defaultRowHeight="15.75" customHeight="1" x14ac:dyDescent="0.25"/>
  <cols>
    <col min="1" max="1" width="22.1796875" customWidth="1"/>
    <col min="3" max="3" width="13.81640625" customWidth="1"/>
    <col min="7" max="7" width="37.36328125" customWidth="1"/>
    <col min="8" max="8" width="14.81640625" customWidth="1"/>
    <col min="9" max="9" width="14.6328125" customWidth="1"/>
    <col min="10" max="10" width="15.6328125" customWidth="1"/>
    <col min="11" max="11" width="15.36328125" customWidth="1"/>
    <col min="12" max="12" width="14.6328125" customWidth="1"/>
    <col min="13" max="13" width="15.36328125" customWidth="1"/>
    <col min="14" max="14" width="22.6328125" customWidth="1"/>
    <col min="21" max="21" width="22.1796875" customWidth="1"/>
  </cols>
  <sheetData>
    <row r="1" spans="1:26" ht="15.75" customHeight="1" x14ac:dyDescent="0.25">
      <c r="A1" s="345"/>
      <c r="B1" s="345"/>
      <c r="C1" s="345"/>
      <c r="D1" s="345"/>
      <c r="E1" s="345"/>
      <c r="F1" s="345"/>
      <c r="G1" s="345"/>
      <c r="H1" s="345"/>
      <c r="I1" s="345"/>
      <c r="J1" s="345"/>
      <c r="K1" s="345"/>
      <c r="L1" s="345"/>
      <c r="M1" s="345"/>
      <c r="N1" s="345"/>
      <c r="O1" s="345"/>
      <c r="P1" s="345"/>
      <c r="Q1" s="345"/>
      <c r="R1" s="345"/>
      <c r="S1" s="345"/>
      <c r="T1" s="345"/>
      <c r="U1" s="345"/>
      <c r="V1" s="345"/>
      <c r="W1" s="345"/>
      <c r="X1" s="345"/>
      <c r="Y1" s="345"/>
      <c r="Z1" s="345"/>
    </row>
    <row r="2" spans="1:26" ht="15.75" customHeight="1" x14ac:dyDescent="0.3">
      <c r="A2" s="345"/>
      <c r="B2" s="345"/>
      <c r="C2" s="346" t="s">
        <v>19</v>
      </c>
      <c r="D2" s="347" t="s">
        <v>20</v>
      </c>
      <c r="E2" s="348" t="s">
        <v>21</v>
      </c>
      <c r="F2" s="345"/>
      <c r="G2" s="514" t="s">
        <v>154</v>
      </c>
      <c r="H2" s="515"/>
      <c r="I2" s="515"/>
      <c r="J2" s="515"/>
      <c r="K2" s="515"/>
      <c r="L2" s="468"/>
      <c r="M2" s="345"/>
      <c r="N2" s="508" t="s">
        <v>155</v>
      </c>
      <c r="O2" s="509"/>
      <c r="P2" s="509"/>
      <c r="Q2" s="509"/>
      <c r="R2" s="509"/>
      <c r="S2" s="510"/>
      <c r="T2" s="345"/>
      <c r="U2" s="508" t="s">
        <v>156</v>
      </c>
      <c r="V2" s="509"/>
      <c r="W2" s="509"/>
      <c r="X2" s="509"/>
      <c r="Y2" s="509"/>
      <c r="Z2" s="510"/>
    </row>
    <row r="3" spans="1:26" ht="15.75" customHeight="1" x14ac:dyDescent="0.3">
      <c r="A3" s="349" t="s">
        <v>157</v>
      </c>
      <c r="B3" s="350"/>
      <c r="C3" s="351">
        <v>20000</v>
      </c>
      <c r="D3" s="351">
        <v>35000</v>
      </c>
      <c r="E3" s="352">
        <v>50000</v>
      </c>
      <c r="F3" s="345"/>
      <c r="G3" s="346" t="s">
        <v>51</v>
      </c>
      <c r="H3" s="347" t="s">
        <v>19</v>
      </c>
      <c r="I3" s="347" t="s">
        <v>20</v>
      </c>
      <c r="J3" s="347" t="s">
        <v>21</v>
      </c>
      <c r="K3" s="347" t="s">
        <v>158</v>
      </c>
      <c r="L3" s="348" t="s">
        <v>159</v>
      </c>
      <c r="M3" s="345"/>
      <c r="N3" s="346" t="s">
        <v>51</v>
      </c>
      <c r="O3" s="347" t="s">
        <v>19</v>
      </c>
      <c r="P3" s="347" t="s">
        <v>20</v>
      </c>
      <c r="Q3" s="347" t="s">
        <v>21</v>
      </c>
      <c r="R3" s="347" t="s">
        <v>158</v>
      </c>
      <c r="S3" s="348" t="s">
        <v>159</v>
      </c>
      <c r="T3" s="345"/>
      <c r="U3" s="353" t="s">
        <v>51</v>
      </c>
      <c r="V3" s="354" t="s">
        <v>19</v>
      </c>
      <c r="W3" s="354" t="s">
        <v>20</v>
      </c>
      <c r="X3" s="354" t="s">
        <v>21</v>
      </c>
      <c r="Y3" s="354" t="s">
        <v>158</v>
      </c>
      <c r="Z3" s="355" t="s">
        <v>159</v>
      </c>
    </row>
    <row r="4" spans="1:26" ht="15.75" customHeight="1" x14ac:dyDescent="0.3">
      <c r="A4" s="356" t="s">
        <v>77</v>
      </c>
      <c r="B4" s="357"/>
      <c r="C4" s="358">
        <v>5000</v>
      </c>
      <c r="D4" s="358">
        <v>12000</v>
      </c>
      <c r="E4" s="359">
        <v>20000</v>
      </c>
      <c r="F4" s="345"/>
      <c r="G4" s="360">
        <v>0</v>
      </c>
      <c r="H4" s="361">
        <v>-20000</v>
      </c>
      <c r="I4" s="361">
        <v>-35000</v>
      </c>
      <c r="J4" s="361">
        <v>-50000</v>
      </c>
      <c r="K4" s="361">
        <v>-15000</v>
      </c>
      <c r="L4" s="362">
        <v>-15000</v>
      </c>
      <c r="M4" s="345"/>
      <c r="N4" s="360">
        <v>0</v>
      </c>
      <c r="O4" s="361">
        <v>-20000</v>
      </c>
      <c r="P4" s="361">
        <v>-35000</v>
      </c>
      <c r="Q4" s="361">
        <v>-50000</v>
      </c>
      <c r="R4" s="361">
        <v>-15000</v>
      </c>
      <c r="S4" s="362">
        <v>-15000</v>
      </c>
      <c r="T4" s="345"/>
      <c r="U4" s="360">
        <v>0</v>
      </c>
      <c r="V4" s="361">
        <v>-20000</v>
      </c>
      <c r="W4" s="361">
        <v>-35000</v>
      </c>
      <c r="X4" s="361">
        <v>-50000</v>
      </c>
      <c r="Y4" s="361">
        <v>-15000</v>
      </c>
      <c r="Z4" s="362">
        <v>-15000</v>
      </c>
    </row>
    <row r="5" spans="1:26" ht="15.75" customHeight="1" x14ac:dyDescent="0.3">
      <c r="A5" s="356" t="s">
        <v>7</v>
      </c>
      <c r="B5" s="357"/>
      <c r="C5" s="363">
        <v>10</v>
      </c>
      <c r="D5" s="363">
        <v>10</v>
      </c>
      <c r="E5" s="364">
        <v>10</v>
      </c>
      <c r="F5" s="345"/>
      <c r="G5" s="360">
        <v>1</v>
      </c>
      <c r="H5" s="363">
        <v>5000</v>
      </c>
      <c r="I5" s="363">
        <v>12000</v>
      </c>
      <c r="J5" s="363">
        <v>20000</v>
      </c>
      <c r="K5" s="363">
        <v>7000</v>
      </c>
      <c r="L5" s="364">
        <v>8000</v>
      </c>
      <c r="M5" s="345"/>
      <c r="N5" s="360">
        <v>1</v>
      </c>
      <c r="O5" s="363">
        <v>5000</v>
      </c>
      <c r="P5" s="363">
        <v>12000</v>
      </c>
      <c r="Q5" s="363">
        <v>20000</v>
      </c>
      <c r="R5" s="363">
        <v>7000</v>
      </c>
      <c r="S5" s="364">
        <v>8000</v>
      </c>
      <c r="T5" s="345"/>
      <c r="U5" s="360">
        <v>1</v>
      </c>
      <c r="V5" s="363">
        <v>5000</v>
      </c>
      <c r="W5" s="363">
        <v>12000</v>
      </c>
      <c r="X5" s="363">
        <v>20000</v>
      </c>
      <c r="Y5" s="363">
        <v>7000</v>
      </c>
      <c r="Z5" s="364">
        <v>8000</v>
      </c>
    </row>
    <row r="6" spans="1:26" ht="15.75" customHeight="1" x14ac:dyDescent="0.3">
      <c r="A6" s="365" t="s">
        <v>80</v>
      </c>
      <c r="B6" s="366"/>
      <c r="C6" s="366" t="s">
        <v>160</v>
      </c>
      <c r="D6" s="366" t="s">
        <v>160</v>
      </c>
      <c r="E6" s="367">
        <v>10000</v>
      </c>
      <c r="F6" s="345"/>
      <c r="G6" s="360">
        <v>2</v>
      </c>
      <c r="H6" s="363">
        <v>5000</v>
      </c>
      <c r="I6" s="363">
        <v>12000</v>
      </c>
      <c r="J6" s="363">
        <v>20000</v>
      </c>
      <c r="K6" s="363">
        <v>7000</v>
      </c>
      <c r="L6" s="364">
        <v>8000</v>
      </c>
      <c r="M6" s="345"/>
      <c r="N6" s="360">
        <v>2</v>
      </c>
      <c r="O6" s="363">
        <v>5000</v>
      </c>
      <c r="P6" s="363">
        <v>12000</v>
      </c>
      <c r="Q6" s="363">
        <v>20000</v>
      </c>
      <c r="R6" s="363">
        <v>7000</v>
      </c>
      <c r="S6" s="364">
        <v>8000</v>
      </c>
      <c r="T6" s="345"/>
      <c r="U6" s="360">
        <v>2</v>
      </c>
      <c r="V6" s="363">
        <v>5000</v>
      </c>
      <c r="W6" s="363">
        <v>12000</v>
      </c>
      <c r="X6" s="363">
        <v>20000</v>
      </c>
      <c r="Y6" s="363">
        <v>7000</v>
      </c>
      <c r="Z6" s="364">
        <v>8000</v>
      </c>
    </row>
    <row r="7" spans="1:26" ht="15.75" customHeight="1" x14ac:dyDescent="0.25">
      <c r="A7" s="345"/>
      <c r="B7" s="345"/>
      <c r="C7" s="345"/>
      <c r="D7" s="345"/>
      <c r="E7" s="345"/>
      <c r="F7" s="345"/>
      <c r="G7" s="360">
        <v>3</v>
      </c>
      <c r="H7" s="363">
        <v>5000</v>
      </c>
      <c r="I7" s="363">
        <v>12000</v>
      </c>
      <c r="J7" s="363">
        <v>20000</v>
      </c>
      <c r="K7" s="363">
        <v>7000</v>
      </c>
      <c r="L7" s="364">
        <v>8000</v>
      </c>
      <c r="M7" s="345"/>
      <c r="N7" s="360">
        <v>3</v>
      </c>
      <c r="O7" s="363">
        <v>5000</v>
      </c>
      <c r="P7" s="363">
        <v>12000</v>
      </c>
      <c r="Q7" s="363">
        <v>20000</v>
      </c>
      <c r="R7" s="363">
        <v>7000</v>
      </c>
      <c r="S7" s="364">
        <v>8000</v>
      </c>
      <c r="T7" s="345"/>
      <c r="U7" s="360">
        <v>3</v>
      </c>
      <c r="V7" s="363">
        <v>5000</v>
      </c>
      <c r="W7" s="363">
        <v>12000</v>
      </c>
      <c r="X7" s="363">
        <v>20000</v>
      </c>
      <c r="Y7" s="363">
        <v>7000</v>
      </c>
      <c r="Z7" s="364">
        <v>8000</v>
      </c>
    </row>
    <row r="8" spans="1:26" ht="15.75" customHeight="1" x14ac:dyDescent="0.3">
      <c r="A8" s="349" t="s">
        <v>24</v>
      </c>
      <c r="B8" s="368">
        <v>0.15</v>
      </c>
      <c r="C8" s="345"/>
      <c r="D8" s="345"/>
      <c r="E8" s="345"/>
      <c r="F8" s="345"/>
      <c r="G8" s="360">
        <v>4</v>
      </c>
      <c r="H8" s="363">
        <v>5000</v>
      </c>
      <c r="I8" s="363">
        <v>12000</v>
      </c>
      <c r="J8" s="363">
        <v>20000</v>
      </c>
      <c r="K8" s="363">
        <v>7000</v>
      </c>
      <c r="L8" s="364">
        <v>8000</v>
      </c>
      <c r="M8" s="345"/>
      <c r="N8" s="360">
        <v>4</v>
      </c>
      <c r="O8" s="363">
        <v>5000</v>
      </c>
      <c r="P8" s="363">
        <v>12000</v>
      </c>
      <c r="Q8" s="363">
        <v>20000</v>
      </c>
      <c r="R8" s="363">
        <v>7000</v>
      </c>
      <c r="S8" s="364">
        <v>8000</v>
      </c>
      <c r="T8" s="345"/>
      <c r="U8" s="360">
        <v>4</v>
      </c>
      <c r="V8" s="363">
        <v>5000</v>
      </c>
      <c r="W8" s="363">
        <v>12000</v>
      </c>
      <c r="X8" s="363">
        <v>20000</v>
      </c>
      <c r="Y8" s="363">
        <v>7000</v>
      </c>
      <c r="Z8" s="364">
        <v>8000</v>
      </c>
    </row>
    <row r="9" spans="1:26" ht="15.75" customHeight="1" x14ac:dyDescent="0.3">
      <c r="A9" s="365" t="s">
        <v>161</v>
      </c>
      <c r="B9" s="369">
        <v>0.2</v>
      </c>
      <c r="C9" s="345"/>
      <c r="D9" s="345"/>
      <c r="E9" s="73"/>
      <c r="F9" s="345"/>
      <c r="G9" s="360">
        <v>5</v>
      </c>
      <c r="H9" s="363">
        <v>5000</v>
      </c>
      <c r="I9" s="363">
        <v>12000</v>
      </c>
      <c r="J9" s="363">
        <v>20000</v>
      </c>
      <c r="K9" s="363">
        <v>7000</v>
      </c>
      <c r="L9" s="364">
        <v>8000</v>
      </c>
      <c r="M9" s="345"/>
      <c r="N9" s="360">
        <v>5</v>
      </c>
      <c r="O9" s="363">
        <v>5000</v>
      </c>
      <c r="P9" s="363">
        <v>12000</v>
      </c>
      <c r="Q9" s="363">
        <v>20000</v>
      </c>
      <c r="R9" s="363">
        <v>7000</v>
      </c>
      <c r="S9" s="364">
        <v>8000</v>
      </c>
      <c r="T9" s="345"/>
      <c r="U9" s="360">
        <v>5</v>
      </c>
      <c r="V9" s="363">
        <v>5000</v>
      </c>
      <c r="W9" s="363">
        <v>12000</v>
      </c>
      <c r="X9" s="363">
        <v>20000</v>
      </c>
      <c r="Y9" s="363">
        <v>7000</v>
      </c>
      <c r="Z9" s="364">
        <v>8000</v>
      </c>
    </row>
    <row r="10" spans="1:26" ht="15.75" customHeight="1" x14ac:dyDescent="0.25">
      <c r="A10" s="345"/>
      <c r="B10" s="345"/>
      <c r="C10" s="345"/>
      <c r="D10" s="345"/>
      <c r="E10" s="345"/>
      <c r="F10" s="345"/>
      <c r="G10" s="360">
        <v>6</v>
      </c>
      <c r="H10" s="363">
        <v>5000</v>
      </c>
      <c r="I10" s="363">
        <v>12000</v>
      </c>
      <c r="J10" s="363">
        <v>20000</v>
      </c>
      <c r="K10" s="363">
        <v>7000</v>
      </c>
      <c r="L10" s="364">
        <v>8000</v>
      </c>
      <c r="M10" s="345"/>
      <c r="N10" s="360">
        <v>6</v>
      </c>
      <c r="O10" s="363">
        <v>5000</v>
      </c>
      <c r="P10" s="363">
        <v>12000</v>
      </c>
      <c r="Q10" s="363">
        <v>20000</v>
      </c>
      <c r="R10" s="363">
        <v>7000</v>
      </c>
      <c r="S10" s="364">
        <v>8000</v>
      </c>
      <c r="T10" s="345"/>
      <c r="U10" s="360">
        <v>6</v>
      </c>
      <c r="V10" s="363">
        <v>5000</v>
      </c>
      <c r="W10" s="363">
        <v>12000</v>
      </c>
      <c r="X10" s="363">
        <v>20000</v>
      </c>
      <c r="Y10" s="363">
        <v>7000</v>
      </c>
      <c r="Z10" s="364">
        <v>8000</v>
      </c>
    </row>
    <row r="11" spans="1:26" ht="15.75" customHeight="1" x14ac:dyDescent="0.25">
      <c r="A11" s="516" t="s">
        <v>162</v>
      </c>
      <c r="B11" s="350" t="s">
        <v>163</v>
      </c>
      <c r="C11" s="370"/>
      <c r="D11" s="345"/>
      <c r="E11" s="345"/>
      <c r="F11" s="345"/>
      <c r="G11" s="360">
        <v>7</v>
      </c>
      <c r="H11" s="363">
        <v>5000</v>
      </c>
      <c r="I11" s="363">
        <v>12000</v>
      </c>
      <c r="J11" s="363">
        <v>20000</v>
      </c>
      <c r="K11" s="363">
        <v>7000</v>
      </c>
      <c r="L11" s="364">
        <v>8000</v>
      </c>
      <c r="M11" s="345"/>
      <c r="N11" s="360">
        <v>7</v>
      </c>
      <c r="O11" s="363">
        <v>5000</v>
      </c>
      <c r="P11" s="363">
        <v>12000</v>
      </c>
      <c r="Q11" s="363">
        <v>20000</v>
      </c>
      <c r="R11" s="363">
        <v>7000</v>
      </c>
      <c r="S11" s="364">
        <v>8000</v>
      </c>
      <c r="T11" s="345"/>
      <c r="U11" s="360">
        <v>7</v>
      </c>
      <c r="V11" s="363">
        <v>5000</v>
      </c>
      <c r="W11" s="363">
        <v>12000</v>
      </c>
      <c r="X11" s="363">
        <v>20000</v>
      </c>
      <c r="Y11" s="363">
        <v>7000</v>
      </c>
      <c r="Z11" s="364">
        <v>8000</v>
      </c>
    </row>
    <row r="12" spans="1:26" ht="15.75" customHeight="1" x14ac:dyDescent="0.25">
      <c r="A12" s="517"/>
      <c r="B12" s="357" t="s">
        <v>164</v>
      </c>
      <c r="C12" s="371"/>
      <c r="D12" s="345"/>
      <c r="E12" s="345"/>
      <c r="F12" s="345"/>
      <c r="G12" s="360">
        <v>8</v>
      </c>
      <c r="H12" s="363">
        <v>5000</v>
      </c>
      <c r="I12" s="363">
        <v>12000</v>
      </c>
      <c r="J12" s="363">
        <v>20000</v>
      </c>
      <c r="K12" s="363">
        <v>7000</v>
      </c>
      <c r="L12" s="364">
        <v>8000</v>
      </c>
      <c r="M12" s="345"/>
      <c r="N12" s="360">
        <v>8</v>
      </c>
      <c r="O12" s="363">
        <v>5000</v>
      </c>
      <c r="P12" s="363">
        <v>12000</v>
      </c>
      <c r="Q12" s="363">
        <v>20000</v>
      </c>
      <c r="R12" s="363">
        <v>7000</v>
      </c>
      <c r="S12" s="364">
        <v>8000</v>
      </c>
      <c r="T12" s="345"/>
      <c r="U12" s="360">
        <v>8</v>
      </c>
      <c r="V12" s="363">
        <v>5000</v>
      </c>
      <c r="W12" s="363">
        <v>12000</v>
      </c>
      <c r="X12" s="363">
        <v>20000</v>
      </c>
      <c r="Y12" s="363">
        <v>7000</v>
      </c>
      <c r="Z12" s="364">
        <v>8000</v>
      </c>
    </row>
    <row r="13" spans="1:26" ht="15.75" customHeight="1" x14ac:dyDescent="0.25">
      <c r="A13" s="517"/>
      <c r="B13" s="357" t="s">
        <v>165</v>
      </c>
      <c r="C13" s="371"/>
      <c r="D13" s="345"/>
      <c r="E13" s="345"/>
      <c r="F13" s="345"/>
      <c r="G13" s="511"/>
      <c r="H13" s="466"/>
      <c r="I13" s="466"/>
      <c r="J13" s="466"/>
      <c r="K13" s="466"/>
      <c r="L13" s="512"/>
      <c r="M13" s="345"/>
      <c r="N13" s="360">
        <v>9</v>
      </c>
      <c r="O13" s="363">
        <v>5000</v>
      </c>
      <c r="P13" s="363">
        <v>12000</v>
      </c>
      <c r="Q13" s="363">
        <v>20000</v>
      </c>
      <c r="R13" s="363">
        <v>7000</v>
      </c>
      <c r="S13" s="364">
        <v>8000</v>
      </c>
      <c r="T13" s="345"/>
      <c r="U13" s="360">
        <v>9</v>
      </c>
      <c r="V13" s="363">
        <v>5000</v>
      </c>
      <c r="W13" s="363">
        <v>12000</v>
      </c>
      <c r="X13" s="363">
        <v>20000</v>
      </c>
      <c r="Y13" s="363">
        <v>7000</v>
      </c>
      <c r="Z13" s="364">
        <v>8000</v>
      </c>
    </row>
    <row r="14" spans="1:26" ht="15.75" customHeight="1" x14ac:dyDescent="0.3">
      <c r="A14" s="518"/>
      <c r="B14" s="366" t="s">
        <v>166</v>
      </c>
      <c r="C14" s="373"/>
      <c r="D14" s="345"/>
      <c r="E14" s="345"/>
      <c r="F14" s="345"/>
      <c r="G14" s="374" t="s">
        <v>167</v>
      </c>
      <c r="H14" s="375">
        <f t="shared" ref="H14:L14" si="0">NPV($B$8,H5:H12)+H4</f>
        <v>2436.6075384610922</v>
      </c>
      <c r="I14" s="375">
        <f t="shared" si="0"/>
        <v>18847.858092306626</v>
      </c>
      <c r="J14" s="375">
        <f t="shared" si="0"/>
        <v>39746.430153844369</v>
      </c>
      <c r="K14" s="375">
        <f t="shared" si="0"/>
        <v>16411.250553845537</v>
      </c>
      <c r="L14" s="376">
        <f t="shared" si="0"/>
        <v>20898.57206153775</v>
      </c>
      <c r="M14" s="345"/>
      <c r="N14" s="360">
        <v>10</v>
      </c>
      <c r="O14" s="363">
        <v>5000</v>
      </c>
      <c r="P14" s="363">
        <v>12000</v>
      </c>
      <c r="Q14" s="363">
        <v>20000</v>
      </c>
      <c r="R14" s="363">
        <v>7000</v>
      </c>
      <c r="S14" s="364">
        <v>8000</v>
      </c>
      <c r="T14" s="345"/>
      <c r="U14" s="360">
        <v>10</v>
      </c>
      <c r="V14" s="363">
        <v>5000</v>
      </c>
      <c r="W14" s="363">
        <v>12000</v>
      </c>
      <c r="X14" s="363">
        <v>20000</v>
      </c>
      <c r="Y14" s="363">
        <v>7000</v>
      </c>
      <c r="Z14" s="364">
        <v>8000</v>
      </c>
    </row>
    <row r="15" spans="1:26" ht="15.75" customHeight="1" x14ac:dyDescent="0.3">
      <c r="A15" s="345"/>
      <c r="B15" s="345"/>
      <c r="C15" s="345"/>
      <c r="D15" s="345"/>
      <c r="E15" s="345"/>
      <c r="F15" s="345"/>
      <c r="G15" s="374" t="s">
        <v>168</v>
      </c>
      <c r="H15" s="377">
        <f t="shared" ref="H15:L15" si="1">NPV($B$9,H5:H12)+H4</f>
        <v>-814.20098403444354</v>
      </c>
      <c r="I15" s="375">
        <f t="shared" si="1"/>
        <v>11045.917638317333</v>
      </c>
      <c r="J15" s="375">
        <f t="shared" si="1"/>
        <v>26743.196063862226</v>
      </c>
      <c r="K15" s="375">
        <f t="shared" si="1"/>
        <v>11860.11862235178</v>
      </c>
      <c r="L15" s="376">
        <f t="shared" si="1"/>
        <v>15697.27842554489</v>
      </c>
      <c r="M15" s="345"/>
      <c r="N15" s="511"/>
      <c r="O15" s="466"/>
      <c r="P15" s="466"/>
      <c r="Q15" s="466"/>
      <c r="R15" s="466"/>
      <c r="S15" s="512"/>
      <c r="T15" s="345"/>
      <c r="U15" s="360">
        <v>11</v>
      </c>
      <c r="V15" s="363">
        <v>5000</v>
      </c>
      <c r="W15" s="363">
        <v>12000</v>
      </c>
      <c r="X15" s="363">
        <v>20000</v>
      </c>
      <c r="Y15" s="363">
        <v>7000</v>
      </c>
      <c r="Z15" s="364">
        <v>8000</v>
      </c>
    </row>
    <row r="16" spans="1:26" ht="15.75" customHeight="1" x14ac:dyDescent="0.3">
      <c r="A16" s="345"/>
      <c r="B16" s="345"/>
      <c r="C16" s="345"/>
      <c r="D16" s="345"/>
      <c r="E16" s="345"/>
      <c r="F16" s="345"/>
      <c r="G16" s="374" t="s">
        <v>96</v>
      </c>
      <c r="H16" s="378">
        <f t="shared" ref="H16:L16" si="2">IRR(H4:H12)</f>
        <v>0.18623711889130612</v>
      </c>
      <c r="I16" s="378">
        <f t="shared" si="2"/>
        <v>0.30111332007199731</v>
      </c>
      <c r="J16" s="378">
        <f t="shared" si="2"/>
        <v>0.36724391422214619</v>
      </c>
      <c r="K16" s="378">
        <f t="shared" si="2"/>
        <v>0.44165677818588178</v>
      </c>
      <c r="L16" s="379">
        <f t="shared" si="2"/>
        <v>0.51401561183818534</v>
      </c>
      <c r="M16" s="345"/>
      <c r="N16" s="374" t="s">
        <v>167</v>
      </c>
      <c r="O16" s="375">
        <f t="shared" ref="O16:S16" si="3">NPV($B$8,O5:O14)+O4</f>
        <v>5093.8431292711502</v>
      </c>
      <c r="P16" s="375">
        <f t="shared" si="3"/>
        <v>25225.223510250762</v>
      </c>
      <c r="Q16" s="375">
        <f t="shared" si="3"/>
        <v>50375.372517084601</v>
      </c>
      <c r="R16" s="375">
        <f t="shared" si="3"/>
        <v>20131.380380979623</v>
      </c>
      <c r="S16" s="376">
        <f t="shared" si="3"/>
        <v>25150.149006833846</v>
      </c>
      <c r="T16" s="345"/>
      <c r="U16" s="360">
        <v>12</v>
      </c>
      <c r="V16" s="363">
        <v>5000</v>
      </c>
      <c r="W16" s="363">
        <v>12000</v>
      </c>
      <c r="X16" s="363">
        <v>20000</v>
      </c>
      <c r="Y16" s="363">
        <v>7000</v>
      </c>
      <c r="Z16" s="364">
        <v>8000</v>
      </c>
    </row>
    <row r="17" spans="1:26" ht="15.75" customHeight="1" x14ac:dyDescent="0.3">
      <c r="A17" s="345"/>
      <c r="B17" s="345"/>
      <c r="C17" s="345"/>
      <c r="D17" s="345"/>
      <c r="E17" s="345"/>
      <c r="F17" s="345"/>
      <c r="G17" s="374" t="s">
        <v>169</v>
      </c>
      <c r="H17" s="378">
        <f t="shared" ref="H17:L17" si="4">MIRR(H4:H12,$B$8,$B$8)</f>
        <v>0.16664504223986976</v>
      </c>
      <c r="I17" s="378">
        <f t="shared" si="4"/>
        <v>0.21362744473066209</v>
      </c>
      <c r="J17" s="378">
        <f t="shared" si="4"/>
        <v>0.23723938844717796</v>
      </c>
      <c r="K17" s="378">
        <f t="shared" si="4"/>
        <v>0.26131071851697119</v>
      </c>
      <c r="L17" s="379">
        <f t="shared" si="4"/>
        <v>0.28254047516122838</v>
      </c>
      <c r="M17" s="345"/>
      <c r="N17" s="374" t="s">
        <v>168</v>
      </c>
      <c r="O17" s="375">
        <f t="shared" ref="O17:S17" si="5">NPV($B$9,O5:O14)+O4</f>
        <v>962.36042775386159</v>
      </c>
      <c r="P17" s="375">
        <f t="shared" si="5"/>
        <v>15309.665026609262</v>
      </c>
      <c r="Q17" s="375">
        <f t="shared" si="5"/>
        <v>33849.441711015446</v>
      </c>
      <c r="R17" s="375">
        <f t="shared" si="5"/>
        <v>14347.304598855404</v>
      </c>
      <c r="S17" s="376">
        <f t="shared" si="5"/>
        <v>18539.77668440617</v>
      </c>
      <c r="T17" s="345"/>
      <c r="U17" s="360">
        <v>13</v>
      </c>
      <c r="V17" s="363">
        <v>5000</v>
      </c>
      <c r="W17" s="363">
        <v>12000</v>
      </c>
      <c r="X17" s="363">
        <v>20000</v>
      </c>
      <c r="Y17" s="363">
        <v>7000</v>
      </c>
      <c r="Z17" s="364">
        <v>8000</v>
      </c>
    </row>
    <row r="18" spans="1:26" ht="15.75" customHeight="1" x14ac:dyDescent="0.3">
      <c r="A18" s="345"/>
      <c r="B18" s="345"/>
      <c r="C18" s="345"/>
      <c r="D18" s="345"/>
      <c r="E18" s="345"/>
      <c r="F18" s="345"/>
      <c r="G18" s="380" t="s">
        <v>170</v>
      </c>
      <c r="H18" s="381">
        <f t="shared" ref="H18:L18" si="6">MIRR(H4:H12,$B$9,$B$9)</f>
        <v>0.19378188087424575</v>
      </c>
      <c r="I18" s="381">
        <f t="shared" si="6"/>
        <v>0.24185712122821545</v>
      </c>
      <c r="J18" s="381">
        <f t="shared" si="6"/>
        <v>0.26601829241605279</v>
      </c>
      <c r="K18" s="381">
        <f t="shared" si="6"/>
        <v>0.29064953554951845</v>
      </c>
      <c r="L18" s="369">
        <f t="shared" si="6"/>
        <v>0.31237310861560363</v>
      </c>
      <c r="M18" s="345"/>
      <c r="N18" s="374" t="s">
        <v>96</v>
      </c>
      <c r="O18" s="378">
        <f t="shared" ref="O18:S18" si="7">IRR(O4:O14)</f>
        <v>0.21406465112703454</v>
      </c>
      <c r="P18" s="378">
        <f t="shared" si="7"/>
        <v>0.321796753664221</v>
      </c>
      <c r="Q18" s="378">
        <f t="shared" si="7"/>
        <v>0.38454819521071992</v>
      </c>
      <c r="R18" s="378">
        <f t="shared" si="7"/>
        <v>0.45574867533837149</v>
      </c>
      <c r="S18" s="379">
        <f t="shared" si="7"/>
        <v>0.52552031631987095</v>
      </c>
      <c r="T18" s="345"/>
      <c r="U18" s="360">
        <v>14</v>
      </c>
      <c r="V18" s="363">
        <v>5000</v>
      </c>
      <c r="W18" s="363">
        <v>12000</v>
      </c>
      <c r="X18" s="363">
        <v>20000</v>
      </c>
      <c r="Y18" s="363">
        <v>7000</v>
      </c>
      <c r="Z18" s="364">
        <v>8000</v>
      </c>
    </row>
    <row r="19" spans="1:26" ht="15.75" customHeight="1" x14ac:dyDescent="0.3">
      <c r="A19" s="345"/>
      <c r="B19" s="345"/>
      <c r="C19" s="345"/>
      <c r="D19" s="345"/>
      <c r="E19" s="345"/>
      <c r="F19" s="345"/>
      <c r="G19" s="345"/>
      <c r="H19" s="345"/>
      <c r="I19" s="345"/>
      <c r="J19" s="345"/>
      <c r="K19" s="345"/>
      <c r="L19" s="345"/>
      <c r="M19" s="345"/>
      <c r="N19" s="374" t="s">
        <v>169</v>
      </c>
      <c r="O19" s="378">
        <f t="shared" ref="O19:S19" si="8">MIRR(O4:O14,$B$8,$B$8)</f>
        <v>0.17639063537734656</v>
      </c>
      <c r="P19" s="378">
        <f t="shared" si="8"/>
        <v>0.21414030955790864</v>
      </c>
      <c r="Q19" s="378">
        <f t="shared" si="8"/>
        <v>0.23300136370061009</v>
      </c>
      <c r="R19" s="378">
        <f t="shared" si="8"/>
        <v>0.25215541475690828</v>
      </c>
      <c r="S19" s="379">
        <f t="shared" si="8"/>
        <v>0.26898775255513807</v>
      </c>
      <c r="T19" s="345"/>
      <c r="U19" s="360">
        <v>15</v>
      </c>
      <c r="V19" s="363">
        <v>5000</v>
      </c>
      <c r="W19" s="363">
        <v>12000</v>
      </c>
      <c r="X19" s="363">
        <v>20000</v>
      </c>
      <c r="Y19" s="363">
        <v>7000</v>
      </c>
      <c r="Z19" s="364">
        <v>8000</v>
      </c>
    </row>
    <row r="20" spans="1:26" ht="15.75" customHeight="1" x14ac:dyDescent="0.3">
      <c r="A20" s="345"/>
      <c r="B20" s="345"/>
      <c r="C20" s="345"/>
      <c r="D20" s="345"/>
      <c r="E20" s="345"/>
      <c r="F20" s="345"/>
      <c r="G20" s="345"/>
      <c r="H20" s="345"/>
      <c r="I20" s="345"/>
      <c r="J20" s="345"/>
      <c r="K20" s="345"/>
      <c r="L20" s="345"/>
      <c r="M20" s="345"/>
      <c r="N20" s="380" t="s">
        <v>170</v>
      </c>
      <c r="O20" s="381">
        <f t="shared" ref="O20:S20" si="9">MIRR(O4:O14,$B$9,$B$9)</f>
        <v>0.20565281608458963</v>
      </c>
      <c r="P20" s="381">
        <f t="shared" si="9"/>
        <v>0.24434149619931311</v>
      </c>
      <c r="Q20" s="381">
        <f t="shared" si="9"/>
        <v>0.26367171046455806</v>
      </c>
      <c r="R20" s="381">
        <f t="shared" si="9"/>
        <v>0.28330220980804066</v>
      </c>
      <c r="S20" s="369">
        <f t="shared" si="9"/>
        <v>0.30055324433469099</v>
      </c>
      <c r="T20" s="345"/>
      <c r="U20" s="511"/>
      <c r="V20" s="466"/>
      <c r="W20" s="466"/>
      <c r="X20" s="466"/>
      <c r="Y20" s="466"/>
      <c r="Z20" s="512"/>
    </row>
    <row r="21" spans="1:26" ht="15.75" customHeight="1" x14ac:dyDescent="0.3">
      <c r="A21" s="345"/>
      <c r="B21" s="345"/>
      <c r="C21" s="345"/>
      <c r="D21" s="345"/>
      <c r="E21" s="345"/>
      <c r="F21" s="345"/>
      <c r="G21" s="345"/>
      <c r="H21" s="345"/>
      <c r="I21" s="345"/>
      <c r="J21" s="345"/>
      <c r="K21" s="345"/>
      <c r="L21" s="345"/>
      <c r="M21" s="345"/>
      <c r="N21" s="345"/>
      <c r="O21" s="345"/>
      <c r="P21" s="345"/>
      <c r="Q21" s="345"/>
      <c r="R21" s="345"/>
      <c r="S21" s="345"/>
      <c r="T21" s="345"/>
      <c r="U21" s="374" t="s">
        <v>167</v>
      </c>
      <c r="V21" s="375">
        <f t="shared" ref="V21:Z21" si="10">NPV($B$8,V5:V19)+V4</f>
        <v>9236.8504931554635</v>
      </c>
      <c r="W21" s="375">
        <f t="shared" si="10"/>
        <v>35168.441183573115</v>
      </c>
      <c r="X21" s="375">
        <f t="shared" si="10"/>
        <v>66947.401972621854</v>
      </c>
      <c r="Y21" s="375">
        <f t="shared" si="10"/>
        <v>25931.590690417659</v>
      </c>
      <c r="Z21" s="376">
        <f t="shared" si="10"/>
        <v>31778.960789048746</v>
      </c>
    </row>
    <row r="22" spans="1:26" ht="15.75" customHeight="1" x14ac:dyDescent="0.3">
      <c r="A22" s="345"/>
      <c r="B22" s="345"/>
      <c r="C22" s="345"/>
      <c r="D22" s="345"/>
      <c r="E22" s="345"/>
      <c r="F22" s="345"/>
      <c r="G22" s="345"/>
      <c r="H22" s="345"/>
      <c r="I22" s="345"/>
      <c r="J22" s="345"/>
      <c r="K22" s="345"/>
      <c r="L22" s="345"/>
      <c r="M22" s="345"/>
      <c r="N22" s="345"/>
      <c r="O22" s="345"/>
      <c r="P22" s="345"/>
      <c r="Q22" s="345"/>
      <c r="R22" s="345"/>
      <c r="S22" s="345"/>
      <c r="T22" s="345"/>
      <c r="U22" s="374" t="s">
        <v>168</v>
      </c>
      <c r="V22" s="375">
        <f t="shared" ref="V22:Z22" si="11">NPV($B$9,V5:V19)+V4</f>
        <v>3377.3632120281472</v>
      </c>
      <c r="W22" s="375">
        <f t="shared" si="11"/>
        <v>21105.67170886755</v>
      </c>
      <c r="X22" s="375">
        <f t="shared" si="11"/>
        <v>43509.452848112589</v>
      </c>
      <c r="Y22" s="375">
        <f t="shared" si="11"/>
        <v>17728.308496839396</v>
      </c>
      <c r="Z22" s="376">
        <f t="shared" si="11"/>
        <v>22403.781139245031</v>
      </c>
    </row>
    <row r="23" spans="1:26" ht="15.75" customHeight="1" x14ac:dyDescent="0.3">
      <c r="A23" s="345"/>
      <c r="B23" s="345"/>
      <c r="C23" s="345"/>
      <c r="D23" s="345"/>
      <c r="E23" s="345"/>
      <c r="F23" s="345"/>
      <c r="G23" s="345"/>
      <c r="H23" s="345"/>
      <c r="I23" s="345"/>
      <c r="J23" s="345"/>
      <c r="K23" s="345"/>
      <c r="L23" s="345"/>
      <c r="M23" s="345"/>
      <c r="N23" s="345"/>
      <c r="O23" s="345"/>
      <c r="P23" s="345"/>
      <c r="Q23" s="345"/>
      <c r="R23" s="345"/>
      <c r="S23" s="345"/>
      <c r="T23" s="345"/>
      <c r="U23" s="374" t="s">
        <v>96</v>
      </c>
      <c r="V23" s="378">
        <f t="shared" ref="V23:Z23" si="12">IRR(V4:V19)</f>
        <v>0.24008822973726485</v>
      </c>
      <c r="W23" s="378">
        <f t="shared" si="12"/>
        <v>0.33853533350867515</v>
      </c>
      <c r="X23" s="378">
        <f t="shared" si="12"/>
        <v>0.39735479303617605</v>
      </c>
      <c r="Y23" s="378">
        <f t="shared" si="12"/>
        <v>0.4651504068321024</v>
      </c>
      <c r="Z23" s="379">
        <f t="shared" si="12"/>
        <v>0.5324498370673687</v>
      </c>
    </row>
    <row r="24" spans="1:26" ht="15.75" customHeight="1" x14ac:dyDescent="0.3">
      <c r="A24" s="345"/>
      <c r="B24" s="345"/>
      <c r="C24" s="345"/>
      <c r="D24" s="345"/>
      <c r="E24" s="345"/>
      <c r="F24" s="345"/>
      <c r="G24" s="345"/>
      <c r="H24" s="345"/>
      <c r="I24" s="345"/>
      <c r="J24" s="345"/>
      <c r="K24" s="345"/>
      <c r="L24" s="345"/>
      <c r="M24" s="345"/>
      <c r="N24" s="345"/>
      <c r="O24" s="345"/>
      <c r="P24" s="345"/>
      <c r="Q24" s="345"/>
      <c r="R24" s="345"/>
      <c r="S24" s="345"/>
      <c r="T24" s="345"/>
      <c r="U24" s="374" t="s">
        <v>169</v>
      </c>
      <c r="V24" s="378">
        <f t="shared" ref="V24:Z24" si="13">MIRR(V4:V19,$B$8,$B$8)</f>
        <v>0.17948171638960164</v>
      </c>
      <c r="W24" s="378">
        <f t="shared" si="13"/>
        <v>0.20458123279038021</v>
      </c>
      <c r="X24" s="378">
        <f t="shared" si="13"/>
        <v>0.21702419404195861</v>
      </c>
      <c r="Y24" s="378">
        <f t="shared" si="13"/>
        <v>0.22959568733479196</v>
      </c>
      <c r="Z24" s="379">
        <f t="shared" si="13"/>
        <v>0.24059052823922245</v>
      </c>
    </row>
    <row r="25" spans="1:26" ht="15.75" customHeight="1" x14ac:dyDescent="0.3">
      <c r="A25" s="345"/>
      <c r="B25" s="345"/>
      <c r="C25" s="345"/>
      <c r="D25" s="345"/>
      <c r="E25" s="345"/>
      <c r="F25" s="345"/>
      <c r="G25" s="345"/>
      <c r="H25" s="345"/>
      <c r="I25" s="345"/>
      <c r="J25" s="345"/>
      <c r="K25" s="345"/>
      <c r="L25" s="345"/>
      <c r="M25" s="345"/>
      <c r="N25" s="345"/>
      <c r="O25" s="345"/>
      <c r="P25" s="345"/>
      <c r="Q25" s="345"/>
      <c r="R25" s="345"/>
      <c r="S25" s="345"/>
      <c r="T25" s="345"/>
      <c r="U25" s="380" t="s">
        <v>170</v>
      </c>
      <c r="V25" s="381">
        <f t="shared" ref="V25:Z25" si="14">MIRR(V4:V19,$B$9,$B$9)</f>
        <v>0.21254802330336764</v>
      </c>
      <c r="W25" s="381">
        <f t="shared" si="14"/>
        <v>0.23835119479363387</v>
      </c>
      <c r="X25" s="381">
        <f t="shared" si="14"/>
        <v>0.25114298957941927</v>
      </c>
      <c r="Y25" s="381">
        <f t="shared" si="14"/>
        <v>0.26406691975178109</v>
      </c>
      <c r="Z25" s="369">
        <f t="shared" si="14"/>
        <v>0.27536999670494566</v>
      </c>
    </row>
    <row r="26" spans="1:26" ht="15.75" customHeight="1" x14ac:dyDescent="0.25">
      <c r="A26" s="345"/>
      <c r="B26" s="345"/>
      <c r="C26" s="345"/>
      <c r="D26" s="345"/>
      <c r="E26" s="345"/>
      <c r="F26" s="345"/>
      <c r="G26" s="345"/>
      <c r="H26" s="345"/>
      <c r="I26" s="345"/>
      <c r="J26" s="345"/>
      <c r="K26" s="345"/>
      <c r="L26" s="345"/>
      <c r="M26" s="345"/>
      <c r="N26" s="345"/>
      <c r="O26" s="345"/>
      <c r="P26" s="345"/>
      <c r="Q26" s="345"/>
      <c r="R26" s="345"/>
      <c r="S26" s="345"/>
      <c r="T26" s="345"/>
      <c r="U26" s="345"/>
      <c r="V26" s="345"/>
      <c r="W26" s="345"/>
      <c r="X26" s="345"/>
      <c r="Y26" s="345"/>
      <c r="Z26" s="345"/>
    </row>
    <row r="27" spans="1:26" ht="15.75" customHeight="1" x14ac:dyDescent="0.3">
      <c r="A27" s="345"/>
      <c r="B27" s="345"/>
      <c r="C27" s="345"/>
      <c r="D27" s="345"/>
      <c r="E27" s="345"/>
      <c r="F27" s="345"/>
      <c r="G27" s="508" t="s">
        <v>171</v>
      </c>
      <c r="H27" s="509"/>
      <c r="I27" s="509"/>
      <c r="J27" s="509"/>
      <c r="K27" s="509"/>
      <c r="L27" s="510"/>
      <c r="M27" s="345"/>
      <c r="N27" s="508" t="s">
        <v>172</v>
      </c>
      <c r="O27" s="509"/>
      <c r="P27" s="509"/>
      <c r="Q27" s="509"/>
      <c r="R27" s="509"/>
      <c r="S27" s="510"/>
      <c r="T27" s="345"/>
      <c r="U27" s="508" t="s">
        <v>156</v>
      </c>
      <c r="V27" s="509"/>
      <c r="W27" s="509"/>
      <c r="X27" s="509"/>
      <c r="Y27" s="509"/>
      <c r="Z27" s="510"/>
    </row>
    <row r="28" spans="1:26" ht="15.75" customHeight="1" x14ac:dyDescent="0.3">
      <c r="A28" s="345"/>
      <c r="B28" s="345"/>
      <c r="C28" s="345"/>
      <c r="D28" s="345"/>
      <c r="E28" s="345"/>
      <c r="F28" s="345"/>
      <c r="G28" s="353" t="s">
        <v>51</v>
      </c>
      <c r="H28" s="354" t="s">
        <v>19</v>
      </c>
      <c r="I28" s="354" t="s">
        <v>20</v>
      </c>
      <c r="J28" s="354" t="s">
        <v>21</v>
      </c>
      <c r="K28" s="354" t="s">
        <v>158</v>
      </c>
      <c r="L28" s="355" t="s">
        <v>159</v>
      </c>
      <c r="M28" s="345"/>
      <c r="N28" s="353" t="s">
        <v>51</v>
      </c>
      <c r="O28" s="354" t="s">
        <v>19</v>
      </c>
      <c r="P28" s="354" t="s">
        <v>20</v>
      </c>
      <c r="Q28" s="354" t="s">
        <v>21</v>
      </c>
      <c r="R28" s="354" t="s">
        <v>158</v>
      </c>
      <c r="S28" s="355" t="s">
        <v>159</v>
      </c>
      <c r="T28" s="345"/>
      <c r="U28" s="353" t="s">
        <v>51</v>
      </c>
      <c r="V28" s="354" t="s">
        <v>19</v>
      </c>
      <c r="W28" s="354" t="s">
        <v>20</v>
      </c>
      <c r="X28" s="354" t="s">
        <v>21</v>
      </c>
      <c r="Y28" s="354" t="s">
        <v>158</v>
      </c>
      <c r="Z28" s="355" t="s">
        <v>159</v>
      </c>
    </row>
    <row r="29" spans="1:26" ht="15.75" customHeight="1" x14ac:dyDescent="0.25">
      <c r="A29" s="345"/>
      <c r="B29" s="345"/>
      <c r="C29" s="345"/>
      <c r="D29" s="345"/>
      <c r="E29" s="345"/>
      <c r="F29" s="345"/>
      <c r="G29" s="360">
        <v>0</v>
      </c>
      <c r="H29" s="361">
        <v>-20000</v>
      </c>
      <c r="I29" s="361">
        <v>-35000</v>
      </c>
      <c r="J29" s="361">
        <v>-50000</v>
      </c>
      <c r="K29" s="361">
        <v>-15000</v>
      </c>
      <c r="L29" s="362">
        <v>-15000</v>
      </c>
      <c r="M29" s="345"/>
      <c r="N29" s="360">
        <v>0</v>
      </c>
      <c r="O29" s="361">
        <v>-20000</v>
      </c>
      <c r="P29" s="361">
        <v>-35000</v>
      </c>
      <c r="Q29" s="361">
        <v>-50000</v>
      </c>
      <c r="R29" s="361">
        <v>-15000</v>
      </c>
      <c r="S29" s="362">
        <v>-15000</v>
      </c>
      <c r="T29" s="345"/>
      <c r="U29" s="360">
        <v>0</v>
      </c>
      <c r="V29" s="361">
        <v>-20000</v>
      </c>
      <c r="W29" s="361">
        <v>-35000</v>
      </c>
      <c r="X29" s="361">
        <v>-50000</v>
      </c>
      <c r="Y29" s="361">
        <v>-15000</v>
      </c>
      <c r="Z29" s="362">
        <v>-15000</v>
      </c>
    </row>
    <row r="30" spans="1:26" ht="15.75" customHeight="1" x14ac:dyDescent="0.25">
      <c r="A30" s="345"/>
      <c r="B30" s="345"/>
      <c r="C30" s="345"/>
      <c r="D30" s="345"/>
      <c r="E30" s="345"/>
      <c r="F30" s="345"/>
      <c r="G30" s="360">
        <v>1</v>
      </c>
      <c r="H30" s="363">
        <v>4000</v>
      </c>
      <c r="I30" s="363">
        <v>9000</v>
      </c>
      <c r="J30" s="363">
        <v>15000</v>
      </c>
      <c r="K30" s="363">
        <v>5000</v>
      </c>
      <c r="L30" s="364">
        <v>6000</v>
      </c>
      <c r="M30" s="345"/>
      <c r="N30" s="360">
        <v>1</v>
      </c>
      <c r="O30" s="363">
        <v>4000</v>
      </c>
      <c r="P30" s="363">
        <v>9000</v>
      </c>
      <c r="Q30" s="363">
        <v>15000</v>
      </c>
      <c r="R30" s="363">
        <v>5000</v>
      </c>
      <c r="S30" s="364">
        <v>6000</v>
      </c>
      <c r="T30" s="345"/>
      <c r="U30" s="360">
        <v>1</v>
      </c>
      <c r="V30" s="363">
        <v>4000</v>
      </c>
      <c r="W30" s="363">
        <v>9000</v>
      </c>
      <c r="X30" s="363">
        <v>15000</v>
      </c>
      <c r="Y30" s="363">
        <v>5000</v>
      </c>
      <c r="Z30" s="364">
        <v>6000</v>
      </c>
    </row>
    <row r="31" spans="1:26" ht="15.75" customHeight="1" x14ac:dyDescent="0.25">
      <c r="A31" s="345"/>
      <c r="B31" s="345"/>
      <c r="C31" s="345"/>
      <c r="D31" s="345"/>
      <c r="E31" s="345"/>
      <c r="F31" s="345"/>
      <c r="G31" s="360">
        <v>2</v>
      </c>
      <c r="H31" s="363">
        <v>4000</v>
      </c>
      <c r="I31" s="363">
        <v>9000</v>
      </c>
      <c r="J31" s="363">
        <v>15000</v>
      </c>
      <c r="K31" s="363">
        <v>5000</v>
      </c>
      <c r="L31" s="364">
        <v>6000</v>
      </c>
      <c r="M31" s="345"/>
      <c r="N31" s="360">
        <v>2</v>
      </c>
      <c r="O31" s="363">
        <v>4000</v>
      </c>
      <c r="P31" s="363">
        <v>9000</v>
      </c>
      <c r="Q31" s="363">
        <v>15000</v>
      </c>
      <c r="R31" s="363">
        <v>5000</v>
      </c>
      <c r="S31" s="364">
        <v>6000</v>
      </c>
      <c r="T31" s="345"/>
      <c r="U31" s="360">
        <v>2</v>
      </c>
      <c r="V31" s="363">
        <v>4000</v>
      </c>
      <c r="W31" s="363">
        <v>9000</v>
      </c>
      <c r="X31" s="363">
        <v>15000</v>
      </c>
      <c r="Y31" s="363">
        <v>5000</v>
      </c>
      <c r="Z31" s="364">
        <v>6000</v>
      </c>
    </row>
    <row r="32" spans="1:26" ht="15.75" customHeight="1" x14ac:dyDescent="0.25">
      <c r="A32" s="345"/>
      <c r="B32" s="345"/>
      <c r="C32" s="345"/>
      <c r="D32" s="345"/>
      <c r="E32" s="345"/>
      <c r="F32" s="345"/>
      <c r="G32" s="360">
        <v>3</v>
      </c>
      <c r="H32" s="363">
        <v>4000</v>
      </c>
      <c r="I32" s="363">
        <v>9000</v>
      </c>
      <c r="J32" s="363">
        <v>15000</v>
      </c>
      <c r="K32" s="363">
        <v>5000</v>
      </c>
      <c r="L32" s="364">
        <v>6000</v>
      </c>
      <c r="M32" s="345"/>
      <c r="N32" s="360">
        <v>3</v>
      </c>
      <c r="O32" s="363">
        <v>4000</v>
      </c>
      <c r="P32" s="363">
        <v>9000</v>
      </c>
      <c r="Q32" s="363">
        <v>15000</v>
      </c>
      <c r="R32" s="363">
        <v>5000</v>
      </c>
      <c r="S32" s="364">
        <v>6000</v>
      </c>
      <c r="T32" s="345"/>
      <c r="U32" s="360">
        <v>3</v>
      </c>
      <c r="V32" s="363">
        <v>4000</v>
      </c>
      <c r="W32" s="363">
        <v>9000</v>
      </c>
      <c r="X32" s="363">
        <v>15000</v>
      </c>
      <c r="Y32" s="363">
        <v>5000</v>
      </c>
      <c r="Z32" s="364">
        <v>6000</v>
      </c>
    </row>
    <row r="33" spans="1:26" ht="15.75" customHeight="1" x14ac:dyDescent="0.25">
      <c r="A33" s="345"/>
      <c r="B33" s="345"/>
      <c r="C33" s="345"/>
      <c r="D33" s="345"/>
      <c r="E33" s="345"/>
      <c r="F33" s="345"/>
      <c r="G33" s="360">
        <v>4</v>
      </c>
      <c r="H33" s="363">
        <v>4000</v>
      </c>
      <c r="I33" s="363">
        <v>9000</v>
      </c>
      <c r="J33" s="363">
        <v>15000</v>
      </c>
      <c r="K33" s="363">
        <v>5000</v>
      </c>
      <c r="L33" s="364">
        <v>6000</v>
      </c>
      <c r="M33" s="345"/>
      <c r="N33" s="360">
        <v>4</v>
      </c>
      <c r="O33" s="363">
        <v>4000</v>
      </c>
      <c r="P33" s="363">
        <v>9000</v>
      </c>
      <c r="Q33" s="363">
        <v>15000</v>
      </c>
      <c r="R33" s="363">
        <v>5000</v>
      </c>
      <c r="S33" s="364">
        <v>6000</v>
      </c>
      <c r="T33" s="345"/>
      <c r="U33" s="360">
        <v>4</v>
      </c>
      <c r="V33" s="363">
        <v>4000</v>
      </c>
      <c r="W33" s="363">
        <v>9000</v>
      </c>
      <c r="X33" s="363">
        <v>15000</v>
      </c>
      <c r="Y33" s="363">
        <v>5000</v>
      </c>
      <c r="Z33" s="364">
        <v>6000</v>
      </c>
    </row>
    <row r="34" spans="1:26" ht="15.75" customHeight="1" x14ac:dyDescent="0.25">
      <c r="A34" s="345"/>
      <c r="B34" s="345"/>
      <c r="C34" s="345"/>
      <c r="D34" s="345"/>
      <c r="E34" s="345"/>
      <c r="F34" s="345"/>
      <c r="G34" s="360">
        <v>5</v>
      </c>
      <c r="H34" s="363">
        <v>4000</v>
      </c>
      <c r="I34" s="363">
        <v>9000</v>
      </c>
      <c r="J34" s="363">
        <v>15000</v>
      </c>
      <c r="K34" s="363">
        <v>5000</v>
      </c>
      <c r="L34" s="364">
        <v>6000</v>
      </c>
      <c r="M34" s="345"/>
      <c r="N34" s="360">
        <v>5</v>
      </c>
      <c r="O34" s="363">
        <v>4000</v>
      </c>
      <c r="P34" s="363">
        <v>9000</v>
      </c>
      <c r="Q34" s="363">
        <v>15000</v>
      </c>
      <c r="R34" s="363">
        <v>5000</v>
      </c>
      <c r="S34" s="364">
        <v>6000</v>
      </c>
      <c r="T34" s="345"/>
      <c r="U34" s="360">
        <v>5</v>
      </c>
      <c r="V34" s="363">
        <v>4000</v>
      </c>
      <c r="W34" s="363">
        <v>9000</v>
      </c>
      <c r="X34" s="363">
        <v>15000</v>
      </c>
      <c r="Y34" s="363">
        <v>5000</v>
      </c>
      <c r="Z34" s="364">
        <v>6000</v>
      </c>
    </row>
    <row r="35" spans="1:26" ht="15.75" customHeight="1" x14ac:dyDescent="0.25">
      <c r="A35" s="345"/>
      <c r="B35" s="345"/>
      <c r="C35" s="345"/>
      <c r="D35" s="345"/>
      <c r="E35" s="345"/>
      <c r="F35" s="345"/>
      <c r="G35" s="360">
        <v>6</v>
      </c>
      <c r="H35" s="363">
        <v>4000</v>
      </c>
      <c r="I35" s="363">
        <v>9000</v>
      </c>
      <c r="J35" s="363">
        <v>15000</v>
      </c>
      <c r="K35" s="363">
        <v>5000</v>
      </c>
      <c r="L35" s="364">
        <v>6000</v>
      </c>
      <c r="M35" s="345"/>
      <c r="N35" s="360">
        <v>6</v>
      </c>
      <c r="O35" s="363">
        <v>4000</v>
      </c>
      <c r="P35" s="363">
        <v>9000</v>
      </c>
      <c r="Q35" s="363">
        <v>15000</v>
      </c>
      <c r="R35" s="363">
        <v>5000</v>
      </c>
      <c r="S35" s="364">
        <v>6000</v>
      </c>
      <c r="T35" s="345"/>
      <c r="U35" s="360">
        <v>6</v>
      </c>
      <c r="V35" s="363">
        <v>4000</v>
      </c>
      <c r="W35" s="363">
        <v>9000</v>
      </c>
      <c r="X35" s="363">
        <v>15000</v>
      </c>
      <c r="Y35" s="363">
        <v>5000</v>
      </c>
      <c r="Z35" s="364">
        <v>6000</v>
      </c>
    </row>
    <row r="36" spans="1:26" ht="15.75" customHeight="1" x14ac:dyDescent="0.25">
      <c r="A36" s="345"/>
      <c r="B36" s="345"/>
      <c r="C36" s="345"/>
      <c r="D36" s="345"/>
      <c r="E36" s="345"/>
      <c r="F36" s="345"/>
      <c r="G36" s="360">
        <v>7</v>
      </c>
      <c r="H36" s="363">
        <v>4000</v>
      </c>
      <c r="I36" s="363">
        <v>9000</v>
      </c>
      <c r="J36" s="363">
        <v>15000</v>
      </c>
      <c r="K36" s="363">
        <v>5000</v>
      </c>
      <c r="L36" s="364">
        <v>6000</v>
      </c>
      <c r="M36" s="345"/>
      <c r="N36" s="360">
        <v>7</v>
      </c>
      <c r="O36" s="363">
        <v>4000</v>
      </c>
      <c r="P36" s="363">
        <v>9000</v>
      </c>
      <c r="Q36" s="363">
        <v>15000</v>
      </c>
      <c r="R36" s="363">
        <v>5000</v>
      </c>
      <c r="S36" s="364">
        <v>6000</v>
      </c>
      <c r="T36" s="345"/>
      <c r="U36" s="360">
        <v>7</v>
      </c>
      <c r="V36" s="363">
        <v>4000</v>
      </c>
      <c r="W36" s="363">
        <v>9000</v>
      </c>
      <c r="X36" s="363">
        <v>15000</v>
      </c>
      <c r="Y36" s="363">
        <v>5000</v>
      </c>
      <c r="Z36" s="364">
        <v>6000</v>
      </c>
    </row>
    <row r="37" spans="1:26" ht="15.75" customHeight="1" x14ac:dyDescent="0.25">
      <c r="A37" s="345"/>
      <c r="B37" s="345"/>
      <c r="C37" s="345"/>
      <c r="D37" s="345"/>
      <c r="E37" s="345"/>
      <c r="F37" s="345"/>
      <c r="G37" s="360">
        <v>8</v>
      </c>
      <c r="H37" s="363">
        <v>4000</v>
      </c>
      <c r="I37" s="363">
        <v>9000</v>
      </c>
      <c r="J37" s="363">
        <v>15000</v>
      </c>
      <c r="K37" s="363">
        <v>5000</v>
      </c>
      <c r="L37" s="364">
        <v>6000</v>
      </c>
      <c r="M37" s="345"/>
      <c r="N37" s="360">
        <v>8</v>
      </c>
      <c r="O37" s="363">
        <v>4000</v>
      </c>
      <c r="P37" s="363">
        <v>9000</v>
      </c>
      <c r="Q37" s="363">
        <v>15000</v>
      </c>
      <c r="R37" s="363">
        <v>5000</v>
      </c>
      <c r="S37" s="364">
        <v>6000</v>
      </c>
      <c r="T37" s="345"/>
      <c r="U37" s="360">
        <v>8</v>
      </c>
      <c r="V37" s="363">
        <v>4000</v>
      </c>
      <c r="W37" s="363">
        <v>9000</v>
      </c>
      <c r="X37" s="363">
        <v>15000</v>
      </c>
      <c r="Y37" s="363">
        <v>5000</v>
      </c>
      <c r="Z37" s="364">
        <v>6000</v>
      </c>
    </row>
    <row r="38" spans="1:26" ht="15.75" customHeight="1" x14ac:dyDescent="0.25">
      <c r="A38" s="345"/>
      <c r="B38" s="345"/>
      <c r="C38" s="345"/>
      <c r="D38" s="345"/>
      <c r="E38" s="345"/>
      <c r="F38" s="345"/>
      <c r="G38" s="511"/>
      <c r="H38" s="466"/>
      <c r="I38" s="466"/>
      <c r="J38" s="466"/>
      <c r="K38" s="466"/>
      <c r="L38" s="512"/>
      <c r="M38" s="345"/>
      <c r="N38" s="360">
        <v>9</v>
      </c>
      <c r="O38" s="363">
        <v>4000</v>
      </c>
      <c r="P38" s="363">
        <v>9000</v>
      </c>
      <c r="Q38" s="363">
        <v>15000</v>
      </c>
      <c r="R38" s="363">
        <v>5000</v>
      </c>
      <c r="S38" s="364">
        <v>6000</v>
      </c>
      <c r="T38" s="345"/>
      <c r="U38" s="360">
        <v>9</v>
      </c>
      <c r="V38" s="363">
        <v>4000</v>
      </c>
      <c r="W38" s="363">
        <v>9000</v>
      </c>
      <c r="X38" s="363">
        <v>15000</v>
      </c>
      <c r="Y38" s="363">
        <v>5000</v>
      </c>
      <c r="Z38" s="364">
        <v>6000</v>
      </c>
    </row>
    <row r="39" spans="1:26" ht="15.75" customHeight="1" x14ac:dyDescent="0.3">
      <c r="A39" s="345"/>
      <c r="B39" s="345"/>
      <c r="C39" s="345"/>
      <c r="D39" s="345"/>
      <c r="E39" s="345"/>
      <c r="F39" s="345"/>
      <c r="G39" s="374" t="s">
        <v>167</v>
      </c>
      <c r="H39" s="377">
        <f t="shared" ref="H39:L39" si="15">NPV($B$8,H30:H37)+H29</f>
        <v>-2050.7139692311248</v>
      </c>
      <c r="I39" s="375">
        <f t="shared" si="15"/>
        <v>5385.893569229971</v>
      </c>
      <c r="J39" s="375">
        <f t="shared" si="15"/>
        <v>17309.822615383295</v>
      </c>
      <c r="K39" s="375">
        <f t="shared" si="15"/>
        <v>7436.6075384610922</v>
      </c>
      <c r="L39" s="376">
        <f t="shared" si="15"/>
        <v>11923.929046153313</v>
      </c>
      <c r="M39" s="345"/>
      <c r="N39" s="360">
        <v>10</v>
      </c>
      <c r="O39" s="363">
        <v>4000</v>
      </c>
      <c r="P39" s="363">
        <v>9000</v>
      </c>
      <c r="Q39" s="363">
        <v>15000</v>
      </c>
      <c r="R39" s="363">
        <v>5000</v>
      </c>
      <c r="S39" s="364">
        <v>6000</v>
      </c>
      <c r="T39" s="345"/>
      <c r="U39" s="360">
        <v>10</v>
      </c>
      <c r="V39" s="363">
        <v>4000</v>
      </c>
      <c r="W39" s="363">
        <v>9000</v>
      </c>
      <c r="X39" s="363">
        <v>15000</v>
      </c>
      <c r="Y39" s="363">
        <v>5000</v>
      </c>
      <c r="Z39" s="364">
        <v>6000</v>
      </c>
    </row>
    <row r="40" spans="1:26" ht="15.75" customHeight="1" x14ac:dyDescent="0.3">
      <c r="A40" s="345"/>
      <c r="B40" s="345"/>
      <c r="C40" s="345"/>
      <c r="D40" s="345"/>
      <c r="E40" s="345"/>
      <c r="F40" s="345"/>
      <c r="G40" s="374" t="s">
        <v>168</v>
      </c>
      <c r="H40" s="377">
        <f t="shared" ref="H40:L40" si="16">NPV($B$9,H30:H37)+H29</f>
        <v>-4651.3607872275552</v>
      </c>
      <c r="I40" s="375">
        <f t="shared" si="16"/>
        <v>-465.56177126200782</v>
      </c>
      <c r="J40" s="375">
        <f t="shared" si="16"/>
        <v>7557.3970478966658</v>
      </c>
      <c r="K40" s="375">
        <f t="shared" si="16"/>
        <v>4185.7990159655565</v>
      </c>
      <c r="L40" s="376">
        <f t="shared" si="16"/>
        <v>8022.9588191586663</v>
      </c>
      <c r="M40" s="345"/>
      <c r="N40" s="511"/>
      <c r="O40" s="466"/>
      <c r="P40" s="466"/>
      <c r="Q40" s="466"/>
      <c r="R40" s="466"/>
      <c r="S40" s="512"/>
      <c r="T40" s="345"/>
      <c r="U40" s="360">
        <v>11</v>
      </c>
      <c r="V40" s="363">
        <v>4000</v>
      </c>
      <c r="W40" s="363">
        <v>9000</v>
      </c>
      <c r="X40" s="363">
        <v>15000</v>
      </c>
      <c r="Y40" s="363">
        <v>5000</v>
      </c>
      <c r="Z40" s="364">
        <v>6000</v>
      </c>
    </row>
    <row r="41" spans="1:26" ht="15.75" customHeight="1" x14ac:dyDescent="0.3">
      <c r="A41" s="345"/>
      <c r="B41" s="345"/>
      <c r="C41" s="345"/>
      <c r="D41" s="345"/>
      <c r="E41" s="345"/>
      <c r="F41" s="345"/>
      <c r="G41" s="374" t="s">
        <v>96</v>
      </c>
      <c r="H41" s="378">
        <f t="shared" ref="H41:L41" si="17">IRR(H29:H37)</f>
        <v>0.11814510280868684</v>
      </c>
      <c r="I41" s="378">
        <f t="shared" si="17"/>
        <v>0.1955253436946931</v>
      </c>
      <c r="J41" s="378">
        <f t="shared" si="17"/>
        <v>0.24951034453125165</v>
      </c>
      <c r="K41" s="378">
        <f t="shared" si="17"/>
        <v>0.28981676986681393</v>
      </c>
      <c r="L41" s="379">
        <f t="shared" si="17"/>
        <v>0.36724391422214619</v>
      </c>
      <c r="M41" s="345"/>
      <c r="N41" s="374" t="s">
        <v>167</v>
      </c>
      <c r="O41" s="375">
        <f t="shared" ref="O41:S41" si="18">NPV($B$8,O30:O39)+O29</f>
        <v>75.074503416923108</v>
      </c>
      <c r="P41" s="375">
        <f t="shared" si="18"/>
        <v>10168.917632688077</v>
      </c>
      <c r="Q41" s="375">
        <f t="shared" si="18"/>
        <v>25281.529387813469</v>
      </c>
      <c r="R41" s="375">
        <f t="shared" si="18"/>
        <v>10093.84312927115</v>
      </c>
      <c r="S41" s="376">
        <f t="shared" si="18"/>
        <v>15112.611755125381</v>
      </c>
      <c r="T41" s="345"/>
      <c r="U41" s="360">
        <v>12</v>
      </c>
      <c r="V41" s="363">
        <v>4000</v>
      </c>
      <c r="W41" s="363">
        <v>9000</v>
      </c>
      <c r="X41" s="363">
        <v>15000</v>
      </c>
      <c r="Y41" s="363">
        <v>5000</v>
      </c>
      <c r="Z41" s="364">
        <v>6000</v>
      </c>
    </row>
    <row r="42" spans="1:26" ht="15.75" customHeight="1" x14ac:dyDescent="0.3">
      <c r="A42" s="345"/>
      <c r="B42" s="345"/>
      <c r="C42" s="345"/>
      <c r="D42" s="345"/>
      <c r="E42" s="345"/>
      <c r="F42" s="345"/>
      <c r="G42" s="374" t="s">
        <v>169</v>
      </c>
      <c r="H42" s="378">
        <f t="shared" ref="H42:L42" si="19">MIRR(H29:H37,$B$8,$B$8)</f>
        <v>0.13455352161813705</v>
      </c>
      <c r="I42" s="378">
        <f t="shared" si="19"/>
        <v>0.17076046066500639</v>
      </c>
      <c r="J42" s="378">
        <f t="shared" si="19"/>
        <v>0.19353839818015484</v>
      </c>
      <c r="K42" s="378">
        <f t="shared" si="19"/>
        <v>0.20936134170181631</v>
      </c>
      <c r="L42" s="379">
        <f t="shared" si="19"/>
        <v>0.23723938844717796</v>
      </c>
      <c r="M42" s="345"/>
      <c r="N42" s="374" t="s">
        <v>168</v>
      </c>
      <c r="O42" s="377">
        <f t="shared" ref="O42:S42" si="20">NPV($B$9,O30:O39)+O29</f>
        <v>-3230.1116577969151</v>
      </c>
      <c r="P42" s="382">
        <f t="shared" si="20"/>
        <v>2732.2487699569392</v>
      </c>
      <c r="Q42" s="382">
        <f t="shared" si="20"/>
        <v>12887.081283261577</v>
      </c>
      <c r="R42" s="382">
        <f t="shared" si="20"/>
        <v>5962.3604277538616</v>
      </c>
      <c r="S42" s="383">
        <f t="shared" si="20"/>
        <v>10154.832513304631</v>
      </c>
      <c r="T42" s="345"/>
      <c r="U42" s="360">
        <v>13</v>
      </c>
      <c r="V42" s="363">
        <v>4000</v>
      </c>
      <c r="W42" s="363">
        <v>9000</v>
      </c>
      <c r="X42" s="363">
        <v>15000</v>
      </c>
      <c r="Y42" s="363">
        <v>5000</v>
      </c>
      <c r="Z42" s="364">
        <v>6000</v>
      </c>
    </row>
    <row r="43" spans="1:26" ht="15.75" customHeight="1" x14ac:dyDescent="0.3">
      <c r="A43" s="345"/>
      <c r="B43" s="345"/>
      <c r="C43" s="345"/>
      <c r="D43" s="345"/>
      <c r="E43" s="345"/>
      <c r="F43" s="345"/>
      <c r="G43" s="380" t="s">
        <v>170</v>
      </c>
      <c r="H43" s="381">
        <f t="shared" ref="H43:L43" si="21">MIRR(H29:H37,$B$9,$B$9)</f>
        <v>0.16094389291659428</v>
      </c>
      <c r="I43" s="381">
        <f t="shared" si="21"/>
        <v>0.19799302631288884</v>
      </c>
      <c r="J43" s="381">
        <f t="shared" si="21"/>
        <v>0.2213007918326082</v>
      </c>
      <c r="K43" s="381">
        <f t="shared" si="21"/>
        <v>0.2374917861748036</v>
      </c>
      <c r="L43" s="369">
        <f t="shared" si="21"/>
        <v>0.26601829241605279</v>
      </c>
      <c r="M43" s="345"/>
      <c r="N43" s="374" t="s">
        <v>96</v>
      </c>
      <c r="O43" s="378">
        <f t="shared" ref="O43:S43" si="22">IRR(O29:O39)</f>
        <v>0.15098414477083444</v>
      </c>
      <c r="P43" s="378">
        <f t="shared" si="22"/>
        <v>0.2227136678946231</v>
      </c>
      <c r="Q43" s="378">
        <f t="shared" si="22"/>
        <v>0.27319842410498674</v>
      </c>
      <c r="R43" s="378">
        <f t="shared" si="22"/>
        <v>0.31112981410738882</v>
      </c>
      <c r="S43" s="379">
        <f t="shared" si="22"/>
        <v>0.3845481952107197</v>
      </c>
      <c r="T43" s="345"/>
      <c r="U43" s="360">
        <v>14</v>
      </c>
      <c r="V43" s="363">
        <v>4000</v>
      </c>
      <c r="W43" s="363">
        <v>9000</v>
      </c>
      <c r="X43" s="363">
        <v>15000</v>
      </c>
      <c r="Y43" s="363">
        <v>5000</v>
      </c>
      <c r="Z43" s="364">
        <v>6000</v>
      </c>
    </row>
    <row r="44" spans="1:26" ht="15.75" customHeight="1" x14ac:dyDescent="0.3">
      <c r="A44" s="345"/>
      <c r="B44" s="345"/>
      <c r="C44" s="345"/>
      <c r="D44" s="345"/>
      <c r="E44" s="345"/>
      <c r="F44" s="345"/>
      <c r="G44" s="345"/>
      <c r="H44" s="345"/>
      <c r="I44" s="345"/>
      <c r="J44" s="345"/>
      <c r="K44" s="345"/>
      <c r="L44" s="345"/>
      <c r="M44" s="345"/>
      <c r="N44" s="374" t="s">
        <v>169</v>
      </c>
      <c r="O44" s="378">
        <f t="shared" ref="O44:S44" si="23">MIRR(O29:O39,$B$8,$B$8)</f>
        <v>0.15043095094254322</v>
      </c>
      <c r="P44" s="378">
        <f t="shared" si="23"/>
        <v>0.17970930325723167</v>
      </c>
      <c r="Q44" s="378">
        <f t="shared" si="23"/>
        <v>0.19803548917349123</v>
      </c>
      <c r="R44" s="378">
        <f t="shared" si="23"/>
        <v>0.21072478300753028</v>
      </c>
      <c r="S44" s="379">
        <f t="shared" si="23"/>
        <v>0.23300136370061009</v>
      </c>
      <c r="T44" s="345"/>
      <c r="U44" s="360">
        <v>15</v>
      </c>
      <c r="V44" s="363">
        <v>4000</v>
      </c>
      <c r="W44" s="363">
        <v>9000</v>
      </c>
      <c r="X44" s="363">
        <v>15000</v>
      </c>
      <c r="Y44" s="363">
        <v>5000</v>
      </c>
      <c r="Z44" s="364">
        <v>6000</v>
      </c>
    </row>
    <row r="45" spans="1:26" ht="15.75" customHeight="1" x14ac:dyDescent="0.3">
      <c r="A45" s="345"/>
      <c r="B45" s="345"/>
      <c r="C45" s="345"/>
      <c r="D45" s="345"/>
      <c r="E45" s="345"/>
      <c r="F45" s="345"/>
      <c r="G45" s="345"/>
      <c r="H45" s="345"/>
      <c r="I45" s="345"/>
      <c r="J45" s="345"/>
      <c r="K45" s="345"/>
      <c r="L45" s="345"/>
      <c r="M45" s="345"/>
      <c r="N45" s="380" t="s">
        <v>170</v>
      </c>
      <c r="O45" s="381">
        <f t="shared" ref="O45:S45" si="24">MIRR(O29:O39,$B$9,$B$9)</f>
        <v>0.17904739633518107</v>
      </c>
      <c r="P45" s="381">
        <f t="shared" si="24"/>
        <v>0.20905403431491787</v>
      </c>
      <c r="Q45" s="381">
        <f t="shared" si="24"/>
        <v>0.22783607575044895</v>
      </c>
      <c r="R45" s="381">
        <f t="shared" si="24"/>
        <v>0.24084100998322344</v>
      </c>
      <c r="S45" s="369">
        <f t="shared" si="24"/>
        <v>0.26367171046455806</v>
      </c>
      <c r="T45" s="345"/>
      <c r="U45" s="372"/>
      <c r="V45" s="384"/>
      <c r="W45" s="384"/>
      <c r="X45" s="384"/>
      <c r="Y45" s="384"/>
      <c r="Z45" s="385"/>
    </row>
    <row r="46" spans="1:26" ht="15.75" customHeight="1" x14ac:dyDescent="0.3">
      <c r="A46" s="345"/>
      <c r="B46" s="345"/>
      <c r="C46" s="345"/>
      <c r="D46" s="345"/>
      <c r="E46" s="345"/>
      <c r="F46" s="345"/>
      <c r="G46" s="345"/>
      <c r="H46" s="345"/>
      <c r="I46" s="345"/>
      <c r="J46" s="345"/>
      <c r="K46" s="345"/>
      <c r="L46" s="345"/>
      <c r="M46" s="345"/>
      <c r="N46" s="345"/>
      <c r="O46" s="345"/>
      <c r="P46" s="345"/>
      <c r="Q46" s="345"/>
      <c r="R46" s="345"/>
      <c r="S46" s="345"/>
      <c r="T46" s="345"/>
      <c r="U46" s="374" t="s">
        <v>167</v>
      </c>
      <c r="V46" s="375">
        <f t="shared" ref="V46:Z46" si="25">NPV($B$8,V30:V44)+V29</f>
        <v>3389.480394524373</v>
      </c>
      <c r="W46" s="375">
        <f t="shared" si="25"/>
        <v>17626.330887679847</v>
      </c>
      <c r="X46" s="375">
        <f t="shared" si="25"/>
        <v>37710.55147946642</v>
      </c>
      <c r="Y46" s="375">
        <f t="shared" si="25"/>
        <v>14236.850493155463</v>
      </c>
      <c r="Z46" s="376">
        <f t="shared" si="25"/>
        <v>20084.220591786558</v>
      </c>
    </row>
    <row r="47" spans="1:26" ht="15.75" customHeight="1" x14ac:dyDescent="0.3">
      <c r="A47" s="345"/>
      <c r="B47" s="345"/>
      <c r="C47" s="345"/>
      <c r="D47" s="345"/>
      <c r="E47" s="345"/>
      <c r="F47" s="345"/>
      <c r="G47" s="345"/>
      <c r="H47" s="345"/>
      <c r="I47" s="345"/>
      <c r="J47" s="345"/>
      <c r="K47" s="345"/>
      <c r="L47" s="345"/>
      <c r="M47" s="345"/>
      <c r="N47" s="345"/>
      <c r="O47" s="345"/>
      <c r="P47" s="345"/>
      <c r="Q47" s="345"/>
      <c r="R47" s="345"/>
      <c r="S47" s="345"/>
      <c r="T47" s="345"/>
      <c r="U47" s="374" t="s">
        <v>168</v>
      </c>
      <c r="V47" s="377">
        <f t="shared" ref="V47:Z47" si="26">NPV($B$9,V30:V44)+V29</f>
        <v>-1298.1094303774844</v>
      </c>
      <c r="W47" s="382">
        <f t="shared" si="26"/>
        <v>7079.2537816506519</v>
      </c>
      <c r="X47" s="382">
        <f t="shared" si="26"/>
        <v>20132.08963608442</v>
      </c>
      <c r="Y47" s="382">
        <f t="shared" si="26"/>
        <v>8377.3632120281472</v>
      </c>
      <c r="Z47" s="383">
        <f t="shared" si="26"/>
        <v>13052.835854433775</v>
      </c>
    </row>
    <row r="48" spans="1:26" ht="15.75" customHeight="1" x14ac:dyDescent="0.3">
      <c r="A48" s="345"/>
      <c r="B48" s="345"/>
      <c r="C48" s="345"/>
      <c r="D48" s="345"/>
      <c r="E48" s="345"/>
      <c r="F48" s="345"/>
      <c r="G48" s="345"/>
      <c r="H48" s="345"/>
      <c r="I48" s="345"/>
      <c r="J48" s="345"/>
      <c r="K48" s="345"/>
      <c r="L48" s="345"/>
      <c r="M48" s="345"/>
      <c r="N48" s="345"/>
      <c r="O48" s="345"/>
      <c r="P48" s="345"/>
      <c r="Q48" s="345"/>
      <c r="R48" s="345"/>
      <c r="S48" s="345"/>
      <c r="T48" s="345"/>
      <c r="U48" s="374" t="s">
        <v>96</v>
      </c>
      <c r="V48" s="378">
        <f t="shared" ref="V48:Z48" si="27">IRR(V29:V44)</f>
        <v>0.18415456837507271</v>
      </c>
      <c r="W48" s="378">
        <f t="shared" si="27"/>
        <v>0.24785988348336208</v>
      </c>
      <c r="X48" s="378">
        <f t="shared" si="27"/>
        <v>0.2936956629836136</v>
      </c>
      <c r="Y48" s="378">
        <f t="shared" si="27"/>
        <v>0.32863671802126482</v>
      </c>
      <c r="Z48" s="379">
        <f t="shared" si="27"/>
        <v>0.39735479303617582</v>
      </c>
    </row>
    <row r="49" spans="1:26" ht="15.75" customHeight="1" x14ac:dyDescent="0.3">
      <c r="A49" s="345"/>
      <c r="B49" s="345"/>
      <c r="C49" s="345"/>
      <c r="D49" s="345"/>
      <c r="E49" s="345"/>
      <c r="F49" s="345"/>
      <c r="G49" s="345"/>
      <c r="H49" s="345"/>
      <c r="I49" s="345"/>
      <c r="J49" s="345"/>
      <c r="K49" s="345"/>
      <c r="L49" s="345"/>
      <c r="M49" s="345"/>
      <c r="N49" s="345"/>
      <c r="O49" s="345"/>
      <c r="P49" s="345"/>
      <c r="Q49" s="345"/>
      <c r="R49" s="345"/>
      <c r="S49" s="345"/>
      <c r="T49" s="345"/>
      <c r="U49" s="374" t="s">
        <v>169</v>
      </c>
      <c r="V49" s="378">
        <f t="shared" ref="V49:Z49" si="28">MIRR(V29:V44,$B$8,$B$8)</f>
        <v>0.16206533343680563</v>
      </c>
      <c r="W49" s="378">
        <f t="shared" si="28"/>
        <v>0.18169893339060894</v>
      </c>
      <c r="X49" s="378">
        <f t="shared" si="28"/>
        <v>0.19390552738273814</v>
      </c>
      <c r="Y49" s="378">
        <f t="shared" si="28"/>
        <v>0.20232108182216901</v>
      </c>
      <c r="Z49" s="379">
        <f t="shared" si="28"/>
        <v>0.21702419404195838</v>
      </c>
    </row>
    <row r="50" spans="1:26" ht="15.75" customHeight="1" x14ac:dyDescent="0.3">
      <c r="A50" s="345"/>
      <c r="B50" s="345"/>
      <c r="C50" s="345"/>
      <c r="D50" s="345"/>
      <c r="E50" s="345"/>
      <c r="F50" s="345"/>
      <c r="G50" s="345"/>
      <c r="H50" s="345"/>
      <c r="I50" s="345"/>
      <c r="J50" s="345"/>
      <c r="K50" s="345"/>
      <c r="L50" s="345"/>
      <c r="M50" s="345"/>
      <c r="N50" s="345"/>
      <c r="O50" s="345"/>
      <c r="P50" s="345"/>
      <c r="Q50" s="345"/>
      <c r="R50" s="345"/>
      <c r="S50" s="345"/>
      <c r="T50" s="345"/>
      <c r="U50" s="380" t="s">
        <v>170</v>
      </c>
      <c r="V50" s="381">
        <f t="shared" ref="V50:Z50" si="29">MIRR(V29:V44,$B$9,$B$9)</f>
        <v>0.19464337889128625</v>
      </c>
      <c r="W50" s="381">
        <f t="shared" si="29"/>
        <v>0.21482739911263016</v>
      </c>
      <c r="X50" s="381">
        <f t="shared" si="29"/>
        <v>0.22737620017563365</v>
      </c>
      <c r="Y50" s="381">
        <f t="shared" si="29"/>
        <v>0.23602768138025043</v>
      </c>
      <c r="Z50" s="369">
        <f t="shared" si="29"/>
        <v>0.25114298957941927</v>
      </c>
    </row>
    <row r="51" spans="1:26" ht="15.75" customHeight="1" x14ac:dyDescent="0.3">
      <c r="A51" s="345"/>
      <c r="B51" s="345"/>
      <c r="C51" s="345"/>
      <c r="D51" s="345"/>
      <c r="E51" s="345"/>
      <c r="F51" s="345"/>
      <c r="G51" s="386"/>
      <c r="H51" s="386"/>
      <c r="I51" s="386"/>
      <c r="J51" s="386"/>
      <c r="K51" s="386"/>
      <c r="L51" s="386"/>
      <c r="M51" s="345"/>
      <c r="N51" s="345"/>
      <c r="O51" s="345"/>
      <c r="P51" s="345"/>
      <c r="Q51" s="345"/>
      <c r="R51" s="345"/>
      <c r="S51" s="345"/>
      <c r="T51" s="345"/>
      <c r="U51" s="345"/>
      <c r="V51" s="345"/>
      <c r="W51" s="345"/>
      <c r="X51" s="345"/>
      <c r="Y51" s="345"/>
      <c r="Z51" s="345"/>
    </row>
    <row r="52" spans="1:26" ht="15.75" customHeight="1" x14ac:dyDescent="0.3">
      <c r="A52" s="345"/>
      <c r="B52" s="345"/>
      <c r="C52" s="345"/>
      <c r="D52" s="345"/>
      <c r="E52" s="345"/>
      <c r="F52" s="345"/>
      <c r="G52" s="508" t="s">
        <v>173</v>
      </c>
      <c r="H52" s="509"/>
      <c r="I52" s="509"/>
      <c r="J52" s="509"/>
      <c r="K52" s="509"/>
      <c r="L52" s="510"/>
      <c r="M52" s="345"/>
      <c r="N52" s="508" t="s">
        <v>174</v>
      </c>
      <c r="O52" s="509"/>
      <c r="P52" s="509"/>
      <c r="Q52" s="509"/>
      <c r="R52" s="509"/>
      <c r="S52" s="510"/>
      <c r="T52" s="345"/>
      <c r="U52" s="508" t="s">
        <v>175</v>
      </c>
      <c r="V52" s="509"/>
      <c r="W52" s="509"/>
      <c r="X52" s="509"/>
      <c r="Y52" s="509"/>
      <c r="Z52" s="510"/>
    </row>
    <row r="53" spans="1:26" ht="13" x14ac:dyDescent="0.3">
      <c r="A53" s="345"/>
      <c r="B53" s="345"/>
      <c r="C53" s="345"/>
      <c r="D53" s="345"/>
      <c r="E53" s="345"/>
      <c r="F53" s="345"/>
      <c r="G53" s="353" t="s">
        <v>51</v>
      </c>
      <c r="H53" s="354" t="s">
        <v>19</v>
      </c>
      <c r="I53" s="354" t="s">
        <v>20</v>
      </c>
      <c r="J53" s="354" t="s">
        <v>21</v>
      </c>
      <c r="K53" s="354" t="s">
        <v>158</v>
      </c>
      <c r="L53" s="355" t="s">
        <v>159</v>
      </c>
      <c r="M53" s="345"/>
      <c r="N53" s="353" t="s">
        <v>51</v>
      </c>
      <c r="O53" s="354" t="s">
        <v>19</v>
      </c>
      <c r="P53" s="354" t="s">
        <v>20</v>
      </c>
      <c r="Q53" s="354" t="s">
        <v>21</v>
      </c>
      <c r="R53" s="354" t="s">
        <v>158</v>
      </c>
      <c r="S53" s="355" t="s">
        <v>159</v>
      </c>
      <c r="T53" s="345"/>
      <c r="U53" s="353" t="s">
        <v>51</v>
      </c>
      <c r="V53" s="354" t="s">
        <v>19</v>
      </c>
      <c r="W53" s="354" t="s">
        <v>20</v>
      </c>
      <c r="X53" s="354" t="s">
        <v>21</v>
      </c>
      <c r="Y53" s="354" t="s">
        <v>158</v>
      </c>
      <c r="Z53" s="355" t="s">
        <v>159</v>
      </c>
    </row>
    <row r="54" spans="1:26" ht="12.5" x14ac:dyDescent="0.25">
      <c r="A54" s="345"/>
      <c r="B54" s="345"/>
      <c r="C54" s="345"/>
      <c r="D54" s="345"/>
      <c r="E54" s="345"/>
      <c r="F54" s="345"/>
      <c r="G54" s="360">
        <v>0</v>
      </c>
      <c r="H54" s="361">
        <v>-20000</v>
      </c>
      <c r="I54" s="361">
        <v>-35000</v>
      </c>
      <c r="J54" s="361">
        <v>-50000</v>
      </c>
      <c r="K54" s="361">
        <v>-15000</v>
      </c>
      <c r="L54" s="362">
        <v>-15000</v>
      </c>
      <c r="M54" s="345"/>
      <c r="N54" s="360">
        <v>0</v>
      </c>
      <c r="O54" s="361">
        <v>-20000</v>
      </c>
      <c r="P54" s="361">
        <v>-35000</v>
      </c>
      <c r="Q54" s="361">
        <v>-50000</v>
      </c>
      <c r="R54" s="361">
        <v>-15000</v>
      </c>
      <c r="S54" s="362">
        <v>-15000</v>
      </c>
      <c r="T54" s="345"/>
      <c r="U54" s="360">
        <v>0</v>
      </c>
      <c r="V54" s="361">
        <v>-20000</v>
      </c>
      <c r="W54" s="361">
        <v>-35000</v>
      </c>
      <c r="X54" s="361">
        <v>-50000</v>
      </c>
      <c r="Y54" s="361">
        <v>-15000</v>
      </c>
      <c r="Z54" s="362">
        <v>-15000</v>
      </c>
    </row>
    <row r="55" spans="1:26" ht="12.5" x14ac:dyDescent="0.25">
      <c r="A55" s="345"/>
      <c r="B55" s="345"/>
      <c r="C55" s="345"/>
      <c r="D55" s="345"/>
      <c r="E55" s="345"/>
      <c r="F55" s="345"/>
      <c r="G55" s="360">
        <v>1</v>
      </c>
      <c r="H55" s="363">
        <v>6000</v>
      </c>
      <c r="I55" s="363">
        <v>18000</v>
      </c>
      <c r="J55" s="363">
        <v>30000</v>
      </c>
      <c r="K55" s="363">
        <v>12000</v>
      </c>
      <c r="L55" s="364">
        <v>12000</v>
      </c>
      <c r="M55" s="345"/>
      <c r="N55" s="360">
        <v>1</v>
      </c>
      <c r="O55" s="363">
        <v>6000</v>
      </c>
      <c r="P55" s="363">
        <v>18000</v>
      </c>
      <c r="Q55" s="363">
        <v>30000</v>
      </c>
      <c r="R55" s="363">
        <v>12000</v>
      </c>
      <c r="S55" s="364">
        <v>12000</v>
      </c>
      <c r="T55" s="345"/>
      <c r="U55" s="360">
        <v>1</v>
      </c>
      <c r="V55" s="363">
        <v>6000</v>
      </c>
      <c r="W55" s="363">
        <v>18000</v>
      </c>
      <c r="X55" s="363">
        <v>30000</v>
      </c>
      <c r="Y55" s="363">
        <v>12000</v>
      </c>
      <c r="Z55" s="364">
        <v>12000</v>
      </c>
    </row>
    <row r="56" spans="1:26" ht="12.5" x14ac:dyDescent="0.25">
      <c r="A56" s="345"/>
      <c r="B56" s="345"/>
      <c r="C56" s="345"/>
      <c r="D56" s="345"/>
      <c r="E56" s="345"/>
      <c r="F56" s="345"/>
      <c r="G56" s="360">
        <v>2</v>
      </c>
      <c r="H56" s="363">
        <v>6000</v>
      </c>
      <c r="I56" s="363">
        <v>18000</v>
      </c>
      <c r="J56" s="363">
        <v>30000</v>
      </c>
      <c r="K56" s="363">
        <v>12000</v>
      </c>
      <c r="L56" s="364">
        <v>12000</v>
      </c>
      <c r="M56" s="345"/>
      <c r="N56" s="360">
        <v>2</v>
      </c>
      <c r="O56" s="363">
        <v>6000</v>
      </c>
      <c r="P56" s="363">
        <v>18000</v>
      </c>
      <c r="Q56" s="363">
        <v>30000</v>
      </c>
      <c r="R56" s="363">
        <v>12000</v>
      </c>
      <c r="S56" s="364">
        <v>12000</v>
      </c>
      <c r="T56" s="345"/>
      <c r="U56" s="360">
        <v>2</v>
      </c>
      <c r="V56" s="363">
        <v>6000</v>
      </c>
      <c r="W56" s="363">
        <v>18000</v>
      </c>
      <c r="X56" s="363">
        <v>30000</v>
      </c>
      <c r="Y56" s="363">
        <v>12000</v>
      </c>
      <c r="Z56" s="364">
        <v>12000</v>
      </c>
    </row>
    <row r="57" spans="1:26" ht="12.5" x14ac:dyDescent="0.25">
      <c r="A57" s="345"/>
      <c r="B57" s="345"/>
      <c r="C57" s="345"/>
      <c r="D57" s="345"/>
      <c r="E57" s="345"/>
      <c r="F57" s="345"/>
      <c r="G57" s="360">
        <v>3</v>
      </c>
      <c r="H57" s="363">
        <v>6000</v>
      </c>
      <c r="I57" s="363">
        <v>18000</v>
      </c>
      <c r="J57" s="363">
        <v>30000</v>
      </c>
      <c r="K57" s="363">
        <v>12000</v>
      </c>
      <c r="L57" s="364">
        <v>12000</v>
      </c>
      <c r="M57" s="345"/>
      <c r="N57" s="360">
        <v>3</v>
      </c>
      <c r="O57" s="363">
        <v>6000</v>
      </c>
      <c r="P57" s="363">
        <v>18000</v>
      </c>
      <c r="Q57" s="363">
        <v>30000</v>
      </c>
      <c r="R57" s="363">
        <v>12000</v>
      </c>
      <c r="S57" s="364">
        <v>12000</v>
      </c>
      <c r="T57" s="345"/>
      <c r="U57" s="360">
        <v>3</v>
      </c>
      <c r="V57" s="363">
        <v>6000</v>
      </c>
      <c r="W57" s="363">
        <v>18000</v>
      </c>
      <c r="X57" s="363">
        <v>30000</v>
      </c>
      <c r="Y57" s="363">
        <v>12000</v>
      </c>
      <c r="Z57" s="364">
        <v>12000</v>
      </c>
    </row>
    <row r="58" spans="1:26" ht="12.5" x14ac:dyDescent="0.25">
      <c r="A58" s="345"/>
      <c r="B58" s="345"/>
      <c r="C58" s="345"/>
      <c r="D58" s="345"/>
      <c r="E58" s="345"/>
      <c r="F58" s="345"/>
      <c r="G58" s="360">
        <v>4</v>
      </c>
      <c r="H58" s="363">
        <v>6000</v>
      </c>
      <c r="I58" s="363">
        <v>18000</v>
      </c>
      <c r="J58" s="363">
        <v>30000</v>
      </c>
      <c r="K58" s="363">
        <v>12000</v>
      </c>
      <c r="L58" s="364">
        <v>12000</v>
      </c>
      <c r="M58" s="345"/>
      <c r="N58" s="360">
        <v>4</v>
      </c>
      <c r="O58" s="363">
        <v>6000</v>
      </c>
      <c r="P58" s="363">
        <v>18000</v>
      </c>
      <c r="Q58" s="363">
        <v>30000</v>
      </c>
      <c r="R58" s="363">
        <v>12000</v>
      </c>
      <c r="S58" s="364">
        <v>12000</v>
      </c>
      <c r="T58" s="345"/>
      <c r="U58" s="360">
        <v>4</v>
      </c>
      <c r="V58" s="363">
        <v>6000</v>
      </c>
      <c r="W58" s="363">
        <v>18000</v>
      </c>
      <c r="X58" s="363">
        <v>30000</v>
      </c>
      <c r="Y58" s="363">
        <v>12000</v>
      </c>
      <c r="Z58" s="364">
        <v>12000</v>
      </c>
    </row>
    <row r="59" spans="1:26" ht="12.5" x14ac:dyDescent="0.25">
      <c r="A59" s="345"/>
      <c r="B59" s="345"/>
      <c r="C59" s="345"/>
      <c r="D59" s="345"/>
      <c r="E59" s="345"/>
      <c r="F59" s="345"/>
      <c r="G59" s="360">
        <v>5</v>
      </c>
      <c r="H59" s="363">
        <v>6000</v>
      </c>
      <c r="I59" s="363">
        <v>18000</v>
      </c>
      <c r="J59" s="363">
        <v>30000</v>
      </c>
      <c r="K59" s="363">
        <v>12000</v>
      </c>
      <c r="L59" s="364">
        <v>12000</v>
      </c>
      <c r="M59" s="345"/>
      <c r="N59" s="360">
        <v>5</v>
      </c>
      <c r="O59" s="363">
        <v>6000</v>
      </c>
      <c r="P59" s="363">
        <v>18000</v>
      </c>
      <c r="Q59" s="363">
        <v>30000</v>
      </c>
      <c r="R59" s="363">
        <v>12000</v>
      </c>
      <c r="S59" s="364">
        <v>12000</v>
      </c>
      <c r="T59" s="345"/>
      <c r="U59" s="360">
        <v>5</v>
      </c>
      <c r="V59" s="363">
        <v>6000</v>
      </c>
      <c r="W59" s="363">
        <v>18000</v>
      </c>
      <c r="X59" s="363">
        <v>30000</v>
      </c>
      <c r="Y59" s="363">
        <v>12000</v>
      </c>
      <c r="Z59" s="364">
        <v>12000</v>
      </c>
    </row>
    <row r="60" spans="1:26" ht="12.5" x14ac:dyDescent="0.25">
      <c r="A60" s="345"/>
      <c r="B60" s="345"/>
      <c r="C60" s="345"/>
      <c r="D60" s="345"/>
      <c r="E60" s="345"/>
      <c r="F60" s="345"/>
      <c r="G60" s="360">
        <v>6</v>
      </c>
      <c r="H60" s="363">
        <v>6000</v>
      </c>
      <c r="I60" s="363">
        <v>18000</v>
      </c>
      <c r="J60" s="363">
        <v>30000</v>
      </c>
      <c r="K60" s="363">
        <v>12000</v>
      </c>
      <c r="L60" s="364">
        <v>12000</v>
      </c>
      <c r="M60" s="345"/>
      <c r="N60" s="360">
        <v>6</v>
      </c>
      <c r="O60" s="363">
        <v>6000</v>
      </c>
      <c r="P60" s="363">
        <v>18000</v>
      </c>
      <c r="Q60" s="363">
        <v>30000</v>
      </c>
      <c r="R60" s="363">
        <v>12000</v>
      </c>
      <c r="S60" s="364">
        <v>12000</v>
      </c>
      <c r="T60" s="345"/>
      <c r="U60" s="360">
        <v>6</v>
      </c>
      <c r="V60" s="363">
        <v>6000</v>
      </c>
      <c r="W60" s="363">
        <v>18000</v>
      </c>
      <c r="X60" s="363">
        <v>30000</v>
      </c>
      <c r="Y60" s="363">
        <v>12000</v>
      </c>
      <c r="Z60" s="364">
        <v>12000</v>
      </c>
    </row>
    <row r="61" spans="1:26" ht="12.5" x14ac:dyDescent="0.25">
      <c r="A61" s="345"/>
      <c r="B61" s="345"/>
      <c r="C61" s="345"/>
      <c r="D61" s="345"/>
      <c r="E61" s="345"/>
      <c r="F61" s="345"/>
      <c r="G61" s="360">
        <v>7</v>
      </c>
      <c r="H61" s="363">
        <v>6000</v>
      </c>
      <c r="I61" s="363">
        <v>18000</v>
      </c>
      <c r="J61" s="363">
        <v>30000</v>
      </c>
      <c r="K61" s="363">
        <v>12000</v>
      </c>
      <c r="L61" s="364">
        <v>12000</v>
      </c>
      <c r="M61" s="345"/>
      <c r="N61" s="360">
        <v>7</v>
      </c>
      <c r="O61" s="363">
        <v>6000</v>
      </c>
      <c r="P61" s="363">
        <v>18000</v>
      </c>
      <c r="Q61" s="363">
        <v>30000</v>
      </c>
      <c r="R61" s="363">
        <v>12000</v>
      </c>
      <c r="S61" s="364">
        <v>12000</v>
      </c>
      <c r="T61" s="345"/>
      <c r="U61" s="360">
        <v>7</v>
      </c>
      <c r="V61" s="363">
        <v>6000</v>
      </c>
      <c r="W61" s="363">
        <v>18000</v>
      </c>
      <c r="X61" s="363">
        <v>30000</v>
      </c>
      <c r="Y61" s="363">
        <v>12000</v>
      </c>
      <c r="Z61" s="364">
        <v>12000</v>
      </c>
    </row>
    <row r="62" spans="1:26" ht="12.5" x14ac:dyDescent="0.25">
      <c r="A62" s="345"/>
      <c r="B62" s="345"/>
      <c r="C62" s="345"/>
      <c r="D62" s="345"/>
      <c r="E62" s="345"/>
      <c r="F62" s="345"/>
      <c r="G62" s="360">
        <v>8</v>
      </c>
      <c r="H62" s="363">
        <v>6000</v>
      </c>
      <c r="I62" s="363">
        <v>18000</v>
      </c>
      <c r="J62" s="363">
        <v>30000</v>
      </c>
      <c r="K62" s="363">
        <v>12000</v>
      </c>
      <c r="L62" s="364">
        <v>12000</v>
      </c>
      <c r="M62" s="345"/>
      <c r="N62" s="360">
        <v>8</v>
      </c>
      <c r="O62" s="363">
        <v>6000</v>
      </c>
      <c r="P62" s="363">
        <v>18000</v>
      </c>
      <c r="Q62" s="363">
        <v>30000</v>
      </c>
      <c r="R62" s="363">
        <v>12000</v>
      </c>
      <c r="S62" s="364">
        <v>12000</v>
      </c>
      <c r="T62" s="345"/>
      <c r="U62" s="360">
        <v>8</v>
      </c>
      <c r="V62" s="363">
        <v>6000</v>
      </c>
      <c r="W62" s="363">
        <v>18000</v>
      </c>
      <c r="X62" s="363">
        <v>30000</v>
      </c>
      <c r="Y62" s="363">
        <v>12000</v>
      </c>
      <c r="Z62" s="364">
        <v>12000</v>
      </c>
    </row>
    <row r="63" spans="1:26" ht="12.5" x14ac:dyDescent="0.25">
      <c r="A63" s="345"/>
      <c r="B63" s="345"/>
      <c r="C63" s="345"/>
      <c r="D63" s="345"/>
      <c r="E63" s="345"/>
      <c r="F63" s="345"/>
      <c r="G63" s="511"/>
      <c r="H63" s="466"/>
      <c r="I63" s="466"/>
      <c r="J63" s="466"/>
      <c r="K63" s="466"/>
      <c r="L63" s="512"/>
      <c r="M63" s="345"/>
      <c r="N63" s="360">
        <v>9</v>
      </c>
      <c r="O63" s="363">
        <v>6000</v>
      </c>
      <c r="P63" s="363">
        <v>18000</v>
      </c>
      <c r="Q63" s="363">
        <v>30000</v>
      </c>
      <c r="R63" s="363">
        <v>12000</v>
      </c>
      <c r="S63" s="364">
        <v>12000</v>
      </c>
      <c r="T63" s="345"/>
      <c r="U63" s="360">
        <v>9</v>
      </c>
      <c r="V63" s="363">
        <v>6000</v>
      </c>
      <c r="W63" s="363">
        <v>18000</v>
      </c>
      <c r="X63" s="363">
        <v>30000</v>
      </c>
      <c r="Y63" s="363">
        <v>12000</v>
      </c>
      <c r="Z63" s="364">
        <v>12000</v>
      </c>
    </row>
    <row r="64" spans="1:26" ht="13" x14ac:dyDescent="0.3">
      <c r="A64" s="345"/>
      <c r="B64" s="345"/>
      <c r="C64" s="345"/>
      <c r="D64" s="345"/>
      <c r="E64" s="345"/>
      <c r="F64" s="345"/>
      <c r="G64" s="374" t="s">
        <v>167</v>
      </c>
      <c r="H64" s="375">
        <f t="shared" ref="H64:L64" si="30">NPV($B$8,H55:H62)+H54</f>
        <v>6923.9290461533128</v>
      </c>
      <c r="I64" s="375">
        <f t="shared" si="30"/>
        <v>45771.787138459942</v>
      </c>
      <c r="J64" s="375">
        <f t="shared" si="30"/>
        <v>84619.64523076659</v>
      </c>
      <c r="K64" s="375">
        <f t="shared" si="30"/>
        <v>38847.858092306626</v>
      </c>
      <c r="L64" s="376">
        <f t="shared" si="30"/>
        <v>38847.858092306626</v>
      </c>
      <c r="M64" s="345"/>
      <c r="N64" s="360">
        <v>10</v>
      </c>
      <c r="O64" s="363">
        <v>6000</v>
      </c>
      <c r="P64" s="363">
        <v>18000</v>
      </c>
      <c r="Q64" s="363">
        <v>30000</v>
      </c>
      <c r="R64" s="363">
        <v>12000</v>
      </c>
      <c r="S64" s="364">
        <v>12000</v>
      </c>
      <c r="T64" s="345"/>
      <c r="U64" s="360">
        <v>10</v>
      </c>
      <c r="V64" s="363">
        <v>6000</v>
      </c>
      <c r="W64" s="363">
        <v>18000</v>
      </c>
      <c r="X64" s="363">
        <v>30000</v>
      </c>
      <c r="Y64" s="363">
        <v>12000</v>
      </c>
      <c r="Z64" s="364">
        <v>12000</v>
      </c>
    </row>
    <row r="65" spans="1:26" ht="13" x14ac:dyDescent="0.3">
      <c r="A65" s="345"/>
      <c r="B65" s="345"/>
      <c r="C65" s="345"/>
      <c r="D65" s="345"/>
      <c r="E65" s="345"/>
      <c r="F65" s="345"/>
      <c r="G65" s="374" t="s">
        <v>168</v>
      </c>
      <c r="H65" s="375">
        <f t="shared" ref="H65:L65" si="31">NPV($B$9,H55:H62)+H54</f>
        <v>3022.9588191586663</v>
      </c>
      <c r="I65" s="375">
        <f t="shared" si="31"/>
        <v>34068.876457475984</v>
      </c>
      <c r="J65" s="375">
        <f t="shared" si="31"/>
        <v>65114.794095793332</v>
      </c>
      <c r="K65" s="375">
        <f t="shared" si="31"/>
        <v>31045.917638317333</v>
      </c>
      <c r="L65" s="376">
        <f t="shared" si="31"/>
        <v>31045.917638317333</v>
      </c>
      <c r="M65" s="345"/>
      <c r="N65" s="513"/>
      <c r="O65" s="466"/>
      <c r="P65" s="466"/>
      <c r="Q65" s="466"/>
      <c r="R65" s="466"/>
      <c r="S65" s="512"/>
      <c r="T65" s="345"/>
      <c r="U65" s="360">
        <v>11</v>
      </c>
      <c r="V65" s="363">
        <v>6000</v>
      </c>
      <c r="W65" s="363">
        <v>18000</v>
      </c>
      <c r="X65" s="363">
        <v>30000</v>
      </c>
      <c r="Y65" s="363">
        <v>12000</v>
      </c>
      <c r="Z65" s="364">
        <v>12000</v>
      </c>
    </row>
    <row r="66" spans="1:26" ht="13" x14ac:dyDescent="0.3">
      <c r="A66" s="345"/>
      <c r="B66" s="345"/>
      <c r="C66" s="345"/>
      <c r="D66" s="345"/>
      <c r="E66" s="345"/>
      <c r="F66" s="345"/>
      <c r="G66" s="374" t="s">
        <v>96</v>
      </c>
      <c r="H66" s="378">
        <f t="shared" ref="H66:L66" si="32">IRR(H54:H62)</f>
        <v>0.24951034453125165</v>
      </c>
      <c r="I66" s="378">
        <f t="shared" si="32"/>
        <v>0.49351089255397596</v>
      </c>
      <c r="J66" s="378">
        <f t="shared" si="32"/>
        <v>0.5849316031830909</v>
      </c>
      <c r="K66" s="378">
        <f t="shared" si="32"/>
        <v>0.79249364696241686</v>
      </c>
      <c r="L66" s="379">
        <f t="shared" si="32"/>
        <v>0.79249364696241686</v>
      </c>
      <c r="M66" s="345"/>
      <c r="N66" s="374" t="s">
        <v>167</v>
      </c>
      <c r="O66" s="375">
        <f t="shared" ref="O66:S66" si="33">NPV($B$8,O55:O64)+O54</f>
        <v>10112.611755125381</v>
      </c>
      <c r="P66" s="375">
        <f t="shared" si="33"/>
        <v>55337.835265376154</v>
      </c>
      <c r="Q66" s="375">
        <f t="shared" si="33"/>
        <v>100563.05877562694</v>
      </c>
      <c r="R66" s="375">
        <f t="shared" si="33"/>
        <v>45225.223510250762</v>
      </c>
      <c r="S66" s="376">
        <f t="shared" si="33"/>
        <v>45225.223510250762</v>
      </c>
      <c r="T66" s="345"/>
      <c r="U66" s="360">
        <v>12</v>
      </c>
      <c r="V66" s="363">
        <v>6000</v>
      </c>
      <c r="W66" s="363">
        <v>18000</v>
      </c>
      <c r="X66" s="363">
        <v>30000</v>
      </c>
      <c r="Y66" s="363">
        <v>12000</v>
      </c>
      <c r="Z66" s="364">
        <v>12000</v>
      </c>
    </row>
    <row r="67" spans="1:26" ht="13" x14ac:dyDescent="0.3">
      <c r="A67" s="345"/>
      <c r="B67" s="345"/>
      <c r="C67" s="345"/>
      <c r="D67" s="345"/>
      <c r="E67" s="345"/>
      <c r="F67" s="345"/>
      <c r="G67" s="374" t="s">
        <v>169</v>
      </c>
      <c r="H67" s="378">
        <f t="shared" ref="H67:L67" si="34">MIRR(H54:H62,$B$8,$B$8)</f>
        <v>0.19353839818015484</v>
      </c>
      <c r="I67" s="378">
        <f t="shared" si="34"/>
        <v>0.27672333545392869</v>
      </c>
      <c r="J67" s="378">
        <f t="shared" si="34"/>
        <v>0.30156285244836423</v>
      </c>
      <c r="K67" s="378">
        <f t="shared" si="34"/>
        <v>0.34921912025968216</v>
      </c>
      <c r="L67" s="379">
        <f t="shared" si="34"/>
        <v>0.34921912025968216</v>
      </c>
      <c r="M67" s="345"/>
      <c r="N67" s="374" t="s">
        <v>168</v>
      </c>
      <c r="O67" s="375">
        <f t="shared" ref="O67:S67" si="35">NPV($B$9,O55:O64)+O54</f>
        <v>5154.832513304631</v>
      </c>
      <c r="P67" s="375">
        <f t="shared" si="35"/>
        <v>40464.497539913878</v>
      </c>
      <c r="Q67" s="375">
        <f t="shared" si="35"/>
        <v>75774.162566523155</v>
      </c>
      <c r="R67" s="375">
        <f t="shared" si="35"/>
        <v>35309.665026609262</v>
      </c>
      <c r="S67" s="376">
        <f t="shared" si="35"/>
        <v>35309.665026609262</v>
      </c>
      <c r="T67" s="345"/>
      <c r="U67" s="360">
        <v>13</v>
      </c>
      <c r="V67" s="363">
        <v>6000</v>
      </c>
      <c r="W67" s="363">
        <v>18000</v>
      </c>
      <c r="X67" s="363">
        <v>30000</v>
      </c>
      <c r="Y67" s="363">
        <v>12000</v>
      </c>
      <c r="Z67" s="364">
        <v>12000</v>
      </c>
    </row>
    <row r="68" spans="1:26" ht="13" x14ac:dyDescent="0.3">
      <c r="A68" s="345"/>
      <c r="B68" s="345"/>
      <c r="C68" s="345"/>
      <c r="D68" s="345"/>
      <c r="E68" s="345"/>
      <c r="F68" s="345"/>
      <c r="G68" s="380" t="s">
        <v>170</v>
      </c>
      <c r="H68" s="381">
        <f t="shared" ref="H68:L68" si="36">MIRR(H54:H62,$B$9,$B$9)</f>
        <v>0.2213007918326082</v>
      </c>
      <c r="I68" s="381">
        <f t="shared" si="36"/>
        <v>0.30642065887325876</v>
      </c>
      <c r="J68" s="381">
        <f t="shared" si="36"/>
        <v>0.3318379574036614</v>
      </c>
      <c r="K68" s="381">
        <f t="shared" si="36"/>
        <v>0.38060273757537089</v>
      </c>
      <c r="L68" s="369">
        <f t="shared" si="36"/>
        <v>0.38060273757537089</v>
      </c>
      <c r="M68" s="345"/>
      <c r="N68" s="374" t="s">
        <v>96</v>
      </c>
      <c r="O68" s="378">
        <f t="shared" ref="O68:S68" si="37">IRR(O54:O64)</f>
        <v>0.27319842410498696</v>
      </c>
      <c r="P68" s="378">
        <f t="shared" si="37"/>
        <v>0.50569908746184677</v>
      </c>
      <c r="Q68" s="378">
        <f t="shared" si="37"/>
        <v>0.59434640921460646</v>
      </c>
      <c r="R68" s="378">
        <f t="shared" si="37"/>
        <v>0.7977309554640315</v>
      </c>
      <c r="S68" s="379">
        <f t="shared" si="37"/>
        <v>0.7977309554640315</v>
      </c>
      <c r="T68" s="345"/>
      <c r="U68" s="360">
        <v>14</v>
      </c>
      <c r="V68" s="363">
        <v>6000</v>
      </c>
      <c r="W68" s="363">
        <v>18000</v>
      </c>
      <c r="X68" s="363">
        <v>30000</v>
      </c>
      <c r="Y68" s="363">
        <v>12000</v>
      </c>
      <c r="Z68" s="364">
        <v>12000</v>
      </c>
    </row>
    <row r="69" spans="1:26" ht="13" x14ac:dyDescent="0.3">
      <c r="A69" s="345"/>
      <c r="B69" s="345"/>
      <c r="C69" s="345"/>
      <c r="D69" s="345"/>
      <c r="E69" s="345"/>
      <c r="F69" s="345"/>
      <c r="G69" s="345"/>
      <c r="H69" s="345"/>
      <c r="I69" s="345"/>
      <c r="J69" s="345"/>
      <c r="K69" s="345"/>
      <c r="L69" s="345"/>
      <c r="M69" s="345"/>
      <c r="N69" s="374" t="s">
        <v>169</v>
      </c>
      <c r="O69" s="378">
        <f t="shared" ref="O69:S69" si="38">MIRR(O54:O64,$B$8,$B$8)</f>
        <v>0.19803548917349123</v>
      </c>
      <c r="P69" s="378">
        <f t="shared" si="38"/>
        <v>0.26438112473828101</v>
      </c>
      <c r="Q69" s="378">
        <f t="shared" si="38"/>
        <v>0.28402264447283443</v>
      </c>
      <c r="R69" s="378">
        <f t="shared" si="38"/>
        <v>0.3214981408853741</v>
      </c>
      <c r="S69" s="379">
        <f t="shared" si="38"/>
        <v>0.3214981408853741</v>
      </c>
      <c r="T69" s="345"/>
      <c r="U69" s="360">
        <v>15</v>
      </c>
      <c r="V69" s="363">
        <v>6000</v>
      </c>
      <c r="W69" s="363">
        <v>18000</v>
      </c>
      <c r="X69" s="363">
        <v>30000</v>
      </c>
      <c r="Y69" s="363">
        <v>12000</v>
      </c>
      <c r="Z69" s="364">
        <v>12000</v>
      </c>
    </row>
    <row r="70" spans="1:26" ht="13" x14ac:dyDescent="0.3">
      <c r="A70" s="345"/>
      <c r="B70" s="345"/>
      <c r="C70" s="345"/>
      <c r="D70" s="345"/>
      <c r="E70" s="345"/>
      <c r="F70" s="345"/>
      <c r="G70" s="345"/>
      <c r="H70" s="345"/>
      <c r="I70" s="345"/>
      <c r="J70" s="345"/>
      <c r="K70" s="345"/>
      <c r="L70" s="345"/>
      <c r="M70" s="345"/>
      <c r="N70" s="380" t="s">
        <v>170</v>
      </c>
      <c r="O70" s="381">
        <f t="shared" ref="O70:S70" si="39">MIRR(O54:O64,$B$9,$B$9)</f>
        <v>0.22783607575044895</v>
      </c>
      <c r="P70" s="381">
        <f t="shared" si="39"/>
        <v>0.29583202875117376</v>
      </c>
      <c r="Q70" s="381">
        <f t="shared" si="39"/>
        <v>0.3159621223340332</v>
      </c>
      <c r="R70" s="381">
        <f t="shared" si="39"/>
        <v>0.35436980463375956</v>
      </c>
      <c r="S70" s="369">
        <f t="shared" si="39"/>
        <v>0.35436980463375956</v>
      </c>
      <c r="T70" s="345"/>
      <c r="U70" s="511"/>
      <c r="V70" s="466"/>
      <c r="W70" s="466"/>
      <c r="X70" s="466"/>
      <c r="Y70" s="466"/>
      <c r="Z70" s="512"/>
    </row>
    <row r="71" spans="1:26" ht="13" x14ac:dyDescent="0.3">
      <c r="A71" s="345"/>
      <c r="B71" s="345"/>
      <c r="C71" s="345"/>
      <c r="D71" s="345"/>
      <c r="E71" s="345"/>
      <c r="F71" s="345"/>
      <c r="G71" s="345"/>
      <c r="H71" s="345"/>
      <c r="I71" s="345"/>
      <c r="J71" s="345"/>
      <c r="K71" s="345"/>
      <c r="L71" s="345"/>
      <c r="M71" s="345"/>
      <c r="N71" s="345"/>
      <c r="O71" s="345"/>
      <c r="P71" s="345"/>
      <c r="Q71" s="345"/>
      <c r="R71" s="345"/>
      <c r="S71" s="345"/>
      <c r="T71" s="345"/>
      <c r="U71" s="374" t="s">
        <v>167</v>
      </c>
      <c r="V71" s="375">
        <f t="shared" ref="V71:Z71" si="40">NPV($B$8,V55:V69)+V54</f>
        <v>15084.220591786558</v>
      </c>
      <c r="W71" s="375">
        <f t="shared" si="40"/>
        <v>70252.661775359695</v>
      </c>
      <c r="X71" s="375">
        <f t="shared" si="40"/>
        <v>125421.10295893284</v>
      </c>
      <c r="Y71" s="375">
        <f t="shared" si="40"/>
        <v>55168.441183573115</v>
      </c>
      <c r="Z71" s="376">
        <f t="shared" si="40"/>
        <v>55168.441183573115</v>
      </c>
    </row>
    <row r="72" spans="1:26" ht="13" x14ac:dyDescent="0.3">
      <c r="A72" s="345"/>
      <c r="B72" s="345"/>
      <c r="C72" s="345"/>
      <c r="D72" s="345"/>
      <c r="E72" s="345"/>
      <c r="F72" s="345"/>
      <c r="G72" s="345"/>
      <c r="H72" s="345"/>
      <c r="I72" s="345"/>
      <c r="J72" s="345"/>
      <c r="K72" s="345"/>
      <c r="L72" s="345"/>
      <c r="M72" s="345"/>
      <c r="N72" s="345"/>
      <c r="O72" s="345"/>
      <c r="P72" s="345"/>
      <c r="Q72" s="345"/>
      <c r="R72" s="345"/>
      <c r="S72" s="345"/>
      <c r="T72" s="345"/>
      <c r="U72" s="374" t="s">
        <v>168</v>
      </c>
      <c r="V72" s="375">
        <f t="shared" ref="V72:Z72" si="41">NPV($B$9,V55:V69)+V54</f>
        <v>8052.8358544337752</v>
      </c>
      <c r="W72" s="375">
        <f t="shared" si="41"/>
        <v>49158.507563301304</v>
      </c>
      <c r="X72" s="375">
        <f t="shared" si="41"/>
        <v>90264.17927216884</v>
      </c>
      <c r="Y72" s="375">
        <f t="shared" si="41"/>
        <v>41105.67170886755</v>
      </c>
      <c r="Z72" s="376">
        <f t="shared" si="41"/>
        <v>41105.67170886755</v>
      </c>
    </row>
    <row r="73" spans="1:26" ht="13" x14ac:dyDescent="0.3">
      <c r="A73" s="345"/>
      <c r="B73" s="345"/>
      <c r="C73" s="345"/>
      <c r="D73" s="345"/>
      <c r="E73" s="345"/>
      <c r="F73" s="345"/>
      <c r="G73" s="345"/>
      <c r="H73" s="345"/>
      <c r="I73" s="345"/>
      <c r="J73" s="345"/>
      <c r="K73" s="345"/>
      <c r="L73" s="345"/>
      <c r="M73" s="345"/>
      <c r="N73" s="345"/>
      <c r="O73" s="345"/>
      <c r="P73" s="345"/>
      <c r="Q73" s="345"/>
      <c r="R73" s="345"/>
      <c r="S73" s="345"/>
      <c r="T73" s="345"/>
      <c r="U73" s="374" t="s">
        <v>96</v>
      </c>
      <c r="V73" s="378">
        <f t="shared" ref="V73:Z73" si="42">IRR(V54:V69)</f>
        <v>0.2936956629836136</v>
      </c>
      <c r="W73" s="378">
        <f t="shared" si="42"/>
        <v>0.51325647501682758</v>
      </c>
      <c r="X73" s="378">
        <f t="shared" si="42"/>
        <v>0.59947702472365649</v>
      </c>
      <c r="Y73" s="378">
        <f t="shared" si="42"/>
        <v>0.79988130511720645</v>
      </c>
      <c r="Z73" s="379">
        <f t="shared" si="42"/>
        <v>0.79988130511720645</v>
      </c>
    </row>
    <row r="74" spans="1:26" ht="13" x14ac:dyDescent="0.3">
      <c r="A74" s="345"/>
      <c r="B74" s="345"/>
      <c r="C74" s="345"/>
      <c r="D74" s="345"/>
      <c r="E74" s="345"/>
      <c r="F74" s="345"/>
      <c r="G74" s="345"/>
      <c r="H74" s="345"/>
      <c r="I74" s="345"/>
      <c r="J74" s="345"/>
      <c r="K74" s="345"/>
      <c r="L74" s="345"/>
      <c r="M74" s="345"/>
      <c r="N74" s="345"/>
      <c r="O74" s="345"/>
      <c r="P74" s="345"/>
      <c r="Q74" s="345"/>
      <c r="R74" s="345"/>
      <c r="S74" s="345"/>
      <c r="T74" s="345"/>
      <c r="U74" s="374" t="s">
        <v>169</v>
      </c>
      <c r="V74" s="378">
        <f t="shared" ref="V74:Z74" si="43">MIRR(V54:V69,$B$8,$B$8)</f>
        <v>0.19390552738273814</v>
      </c>
      <c r="W74" s="378">
        <f t="shared" si="43"/>
        <v>0.23758634788338795</v>
      </c>
      <c r="X74" s="378">
        <f t="shared" si="43"/>
        <v>0.25037024203100233</v>
      </c>
      <c r="Y74" s="378">
        <f t="shared" si="43"/>
        <v>0.27458228575065302</v>
      </c>
      <c r="Z74" s="379">
        <f t="shared" si="43"/>
        <v>0.27458228575065302</v>
      </c>
    </row>
    <row r="75" spans="1:26" ht="13" x14ac:dyDescent="0.3">
      <c r="A75" s="345"/>
      <c r="B75" s="345"/>
      <c r="C75" s="345"/>
      <c r="D75" s="345"/>
      <c r="E75" s="345"/>
      <c r="F75" s="345"/>
      <c r="G75" s="345"/>
      <c r="H75" s="345"/>
      <c r="I75" s="345"/>
      <c r="J75" s="345"/>
      <c r="K75" s="345"/>
      <c r="L75" s="345"/>
      <c r="M75" s="345"/>
      <c r="N75" s="345"/>
      <c r="O75" s="345"/>
      <c r="P75" s="345"/>
      <c r="Q75" s="345"/>
      <c r="R75" s="345"/>
      <c r="S75" s="345"/>
      <c r="T75" s="345"/>
      <c r="U75" s="380" t="s">
        <v>170</v>
      </c>
      <c r="V75" s="381">
        <f t="shared" ref="V75:Z75" si="44">MIRR(V54:V69,$B$9,$B$9)</f>
        <v>0.22737620017563365</v>
      </c>
      <c r="W75" s="381">
        <f t="shared" si="44"/>
        <v>0.27228159533212537</v>
      </c>
      <c r="X75" s="381">
        <f t="shared" si="44"/>
        <v>0.28542388093385407</v>
      </c>
      <c r="Y75" s="381">
        <f t="shared" si="44"/>
        <v>0.31031469979475435</v>
      </c>
      <c r="Z75" s="369">
        <f t="shared" si="44"/>
        <v>0.31031469979475435</v>
      </c>
    </row>
    <row r="76" spans="1:26" ht="12.5" x14ac:dyDescent="0.25">
      <c r="A76" s="345"/>
      <c r="B76" s="345"/>
      <c r="C76" s="345"/>
      <c r="D76" s="345"/>
      <c r="E76" s="345"/>
      <c r="F76" s="345"/>
      <c r="G76" s="345"/>
      <c r="H76" s="345"/>
      <c r="I76" s="345"/>
      <c r="J76" s="345"/>
      <c r="K76" s="345"/>
      <c r="L76" s="345"/>
      <c r="M76" s="345"/>
      <c r="N76" s="345"/>
      <c r="O76" s="345"/>
      <c r="P76" s="345"/>
      <c r="Q76" s="345"/>
      <c r="R76" s="345"/>
      <c r="S76" s="345"/>
      <c r="T76" s="345"/>
      <c r="U76" s="345"/>
      <c r="V76" s="345"/>
      <c r="W76" s="345"/>
      <c r="X76" s="345"/>
      <c r="Y76" s="345"/>
      <c r="Z76" s="345"/>
    </row>
    <row r="77" spans="1:26" ht="13" x14ac:dyDescent="0.3">
      <c r="A77" s="345"/>
      <c r="B77" s="345"/>
      <c r="C77" s="345"/>
      <c r="D77" s="345"/>
      <c r="E77" s="345"/>
      <c r="F77" s="345"/>
      <c r="G77" s="508" t="s">
        <v>176</v>
      </c>
      <c r="H77" s="509"/>
      <c r="I77" s="509"/>
      <c r="J77" s="509"/>
      <c r="K77" s="509"/>
      <c r="L77" s="510"/>
      <c r="M77" s="345"/>
      <c r="N77" s="508" t="s">
        <v>177</v>
      </c>
      <c r="O77" s="509"/>
      <c r="P77" s="509"/>
      <c r="Q77" s="509"/>
      <c r="R77" s="509"/>
      <c r="S77" s="510"/>
      <c r="T77" s="345"/>
      <c r="U77" s="508" t="s">
        <v>178</v>
      </c>
      <c r="V77" s="509"/>
      <c r="W77" s="509"/>
      <c r="X77" s="509"/>
      <c r="Y77" s="509"/>
      <c r="Z77" s="510"/>
    </row>
    <row r="78" spans="1:26" ht="13" x14ac:dyDescent="0.3">
      <c r="A78" s="345"/>
      <c r="B78" s="345"/>
      <c r="C78" s="345"/>
      <c r="D78" s="345"/>
      <c r="E78" s="345"/>
      <c r="F78" s="345"/>
      <c r="G78" s="353" t="s">
        <v>51</v>
      </c>
      <c r="H78" s="354" t="s">
        <v>19</v>
      </c>
      <c r="I78" s="354" t="s">
        <v>20</v>
      </c>
      <c r="J78" s="354" t="s">
        <v>21</v>
      </c>
      <c r="K78" s="354" t="s">
        <v>158</v>
      </c>
      <c r="L78" s="355" t="s">
        <v>159</v>
      </c>
      <c r="M78" s="345"/>
      <c r="N78" s="353" t="s">
        <v>51</v>
      </c>
      <c r="O78" s="354" t="s">
        <v>19</v>
      </c>
      <c r="P78" s="354" t="s">
        <v>20</v>
      </c>
      <c r="Q78" s="354" t="s">
        <v>21</v>
      </c>
      <c r="R78" s="354" t="s">
        <v>158</v>
      </c>
      <c r="S78" s="355" t="s">
        <v>159</v>
      </c>
      <c r="T78" s="345"/>
      <c r="U78" s="353" t="s">
        <v>51</v>
      </c>
      <c r="V78" s="354" t="s">
        <v>19</v>
      </c>
      <c r="W78" s="354" t="s">
        <v>20</v>
      </c>
      <c r="X78" s="354" t="s">
        <v>21</v>
      </c>
      <c r="Y78" s="354" t="s">
        <v>158</v>
      </c>
      <c r="Z78" s="355" t="s">
        <v>159</v>
      </c>
    </row>
    <row r="79" spans="1:26" ht="12.5" x14ac:dyDescent="0.25">
      <c r="A79" s="345"/>
      <c r="B79" s="345"/>
      <c r="C79" s="345"/>
      <c r="D79" s="345"/>
      <c r="E79" s="345"/>
      <c r="F79" s="345"/>
      <c r="G79" s="360">
        <v>0</v>
      </c>
      <c r="H79" s="361">
        <v>-20000</v>
      </c>
      <c r="I79" s="361">
        <v>-35000</v>
      </c>
      <c r="J79" s="361">
        <v>-40000</v>
      </c>
      <c r="K79" s="361">
        <v>-15000</v>
      </c>
      <c r="L79" s="362">
        <v>-5000</v>
      </c>
      <c r="M79" s="345"/>
      <c r="N79" s="360">
        <v>0</v>
      </c>
      <c r="O79" s="361">
        <v>-20000</v>
      </c>
      <c r="P79" s="361">
        <v>-35000</v>
      </c>
      <c r="Q79" s="361">
        <v>-40000</v>
      </c>
      <c r="R79" s="361">
        <v>-15000</v>
      </c>
      <c r="S79" s="362">
        <v>-5000</v>
      </c>
      <c r="T79" s="345"/>
      <c r="U79" s="360">
        <v>0</v>
      </c>
      <c r="V79" s="361">
        <v>-20000</v>
      </c>
      <c r="W79" s="361">
        <v>-35000</v>
      </c>
      <c r="X79" s="361">
        <v>-40000</v>
      </c>
      <c r="Y79" s="361">
        <v>-15000</v>
      </c>
      <c r="Z79" s="362">
        <v>-5000</v>
      </c>
    </row>
    <row r="80" spans="1:26" ht="12.5" x14ac:dyDescent="0.25">
      <c r="A80" s="345"/>
      <c r="B80" s="345"/>
      <c r="C80" s="345"/>
      <c r="D80" s="345"/>
      <c r="E80" s="345"/>
      <c r="F80" s="345"/>
      <c r="G80" s="360">
        <v>1</v>
      </c>
      <c r="H80" s="363">
        <v>5000</v>
      </c>
      <c r="I80" s="363">
        <v>12000</v>
      </c>
      <c r="J80" s="363">
        <v>20000</v>
      </c>
      <c r="K80" s="363">
        <v>7000</v>
      </c>
      <c r="L80" s="364">
        <v>8000</v>
      </c>
      <c r="M80" s="345"/>
      <c r="N80" s="360">
        <v>1</v>
      </c>
      <c r="O80" s="363">
        <v>5000</v>
      </c>
      <c r="P80" s="363">
        <v>12000</v>
      </c>
      <c r="Q80" s="363">
        <v>20000</v>
      </c>
      <c r="R80" s="363">
        <v>7000</v>
      </c>
      <c r="S80" s="364">
        <v>8000</v>
      </c>
      <c r="T80" s="345"/>
      <c r="U80" s="360">
        <v>1</v>
      </c>
      <c r="V80" s="363">
        <v>5000</v>
      </c>
      <c r="W80" s="363">
        <v>12000</v>
      </c>
      <c r="X80" s="363">
        <v>20000</v>
      </c>
      <c r="Y80" s="363">
        <v>7000</v>
      </c>
      <c r="Z80" s="364">
        <v>8000</v>
      </c>
    </row>
    <row r="81" spans="1:26" ht="12.5" x14ac:dyDescent="0.25">
      <c r="A81" s="345"/>
      <c r="B81" s="345"/>
      <c r="C81" s="345"/>
      <c r="D81" s="345"/>
      <c r="E81" s="345"/>
      <c r="F81" s="345"/>
      <c r="G81" s="360">
        <v>2</v>
      </c>
      <c r="H81" s="363">
        <v>5000</v>
      </c>
      <c r="I81" s="363">
        <v>12000</v>
      </c>
      <c r="J81" s="363">
        <v>20000</v>
      </c>
      <c r="K81" s="363">
        <v>7000</v>
      </c>
      <c r="L81" s="364">
        <v>8000</v>
      </c>
      <c r="M81" s="345"/>
      <c r="N81" s="360">
        <v>2</v>
      </c>
      <c r="O81" s="363">
        <v>5000</v>
      </c>
      <c r="P81" s="363">
        <v>12000</v>
      </c>
      <c r="Q81" s="363">
        <v>20000</v>
      </c>
      <c r="R81" s="363">
        <v>7000</v>
      </c>
      <c r="S81" s="364">
        <v>8000</v>
      </c>
      <c r="T81" s="345"/>
      <c r="U81" s="360">
        <v>2</v>
      </c>
      <c r="V81" s="363">
        <v>5000</v>
      </c>
      <c r="W81" s="363">
        <v>12000</v>
      </c>
      <c r="X81" s="363">
        <v>20000</v>
      </c>
      <c r="Y81" s="363">
        <v>7000</v>
      </c>
      <c r="Z81" s="364">
        <v>8000</v>
      </c>
    </row>
    <row r="82" spans="1:26" ht="12.5" x14ac:dyDescent="0.25">
      <c r="A82" s="345"/>
      <c r="B82" s="345"/>
      <c r="C82" s="345"/>
      <c r="D82" s="345"/>
      <c r="E82" s="345"/>
      <c r="F82" s="345"/>
      <c r="G82" s="360">
        <v>3</v>
      </c>
      <c r="H82" s="363">
        <v>5000</v>
      </c>
      <c r="I82" s="363">
        <v>12000</v>
      </c>
      <c r="J82" s="363">
        <v>20000</v>
      </c>
      <c r="K82" s="363">
        <v>7000</v>
      </c>
      <c r="L82" s="364">
        <v>8000</v>
      </c>
      <c r="M82" s="345"/>
      <c r="N82" s="360">
        <v>3</v>
      </c>
      <c r="O82" s="363">
        <v>5000</v>
      </c>
      <c r="P82" s="363">
        <v>12000</v>
      </c>
      <c r="Q82" s="363">
        <v>20000</v>
      </c>
      <c r="R82" s="363">
        <v>7000</v>
      </c>
      <c r="S82" s="364">
        <v>8000</v>
      </c>
      <c r="T82" s="345"/>
      <c r="U82" s="360">
        <v>3</v>
      </c>
      <c r="V82" s="363">
        <v>5000</v>
      </c>
      <c r="W82" s="363">
        <v>12000</v>
      </c>
      <c r="X82" s="363">
        <v>20000</v>
      </c>
      <c r="Y82" s="363">
        <v>7000</v>
      </c>
      <c r="Z82" s="364">
        <v>8000</v>
      </c>
    </row>
    <row r="83" spans="1:26" ht="12.5" x14ac:dyDescent="0.25">
      <c r="A83" s="345"/>
      <c r="B83" s="345"/>
      <c r="C83" s="345"/>
      <c r="D83" s="345"/>
      <c r="E83" s="345"/>
      <c r="F83" s="345"/>
      <c r="G83" s="360">
        <v>4</v>
      </c>
      <c r="H83" s="363">
        <v>5000</v>
      </c>
      <c r="I83" s="363">
        <v>12000</v>
      </c>
      <c r="J83" s="363">
        <v>20000</v>
      </c>
      <c r="K83" s="363">
        <v>7000</v>
      </c>
      <c r="L83" s="364">
        <v>8000</v>
      </c>
      <c r="M83" s="345"/>
      <c r="N83" s="360">
        <v>4</v>
      </c>
      <c r="O83" s="363">
        <v>5000</v>
      </c>
      <c r="P83" s="363">
        <v>12000</v>
      </c>
      <c r="Q83" s="363">
        <v>20000</v>
      </c>
      <c r="R83" s="363">
        <v>7000</v>
      </c>
      <c r="S83" s="364">
        <v>8000</v>
      </c>
      <c r="T83" s="345"/>
      <c r="U83" s="360">
        <v>4</v>
      </c>
      <c r="V83" s="363">
        <v>5000</v>
      </c>
      <c r="W83" s="363">
        <v>12000</v>
      </c>
      <c r="X83" s="363">
        <v>20000</v>
      </c>
      <c r="Y83" s="363">
        <v>7000</v>
      </c>
      <c r="Z83" s="364">
        <v>8000</v>
      </c>
    </row>
    <row r="84" spans="1:26" ht="12.5" x14ac:dyDescent="0.25">
      <c r="A84" s="345"/>
      <c r="B84" s="345"/>
      <c r="C84" s="345"/>
      <c r="D84" s="345"/>
      <c r="E84" s="345"/>
      <c r="F84" s="345"/>
      <c r="G84" s="360">
        <v>5</v>
      </c>
      <c r="H84" s="363">
        <v>5000</v>
      </c>
      <c r="I84" s="363">
        <v>12000</v>
      </c>
      <c r="J84" s="363">
        <v>20000</v>
      </c>
      <c r="K84" s="363">
        <v>7000</v>
      </c>
      <c r="L84" s="364">
        <v>8000</v>
      </c>
      <c r="M84" s="345"/>
      <c r="N84" s="360">
        <v>5</v>
      </c>
      <c r="O84" s="363">
        <v>5000</v>
      </c>
      <c r="P84" s="363">
        <v>12000</v>
      </c>
      <c r="Q84" s="363">
        <v>20000</v>
      </c>
      <c r="R84" s="363">
        <v>7000</v>
      </c>
      <c r="S84" s="364">
        <v>8000</v>
      </c>
      <c r="T84" s="345"/>
      <c r="U84" s="360">
        <v>5</v>
      </c>
      <c r="V84" s="363">
        <v>5000</v>
      </c>
      <c r="W84" s="363">
        <v>12000</v>
      </c>
      <c r="X84" s="363">
        <v>20000</v>
      </c>
      <c r="Y84" s="363">
        <v>7000</v>
      </c>
      <c r="Z84" s="364">
        <v>8000</v>
      </c>
    </row>
    <row r="85" spans="1:26" ht="12.5" x14ac:dyDescent="0.25">
      <c r="A85" s="345"/>
      <c r="B85" s="345"/>
      <c r="C85" s="345"/>
      <c r="D85" s="345"/>
      <c r="E85" s="345"/>
      <c r="F85" s="345"/>
      <c r="G85" s="360">
        <v>6</v>
      </c>
      <c r="H85" s="363">
        <v>5000</v>
      </c>
      <c r="I85" s="363">
        <v>12000</v>
      </c>
      <c r="J85" s="363">
        <v>20000</v>
      </c>
      <c r="K85" s="363">
        <v>7000</v>
      </c>
      <c r="L85" s="364">
        <v>8000</v>
      </c>
      <c r="M85" s="345"/>
      <c r="N85" s="360">
        <v>6</v>
      </c>
      <c r="O85" s="363">
        <v>5000</v>
      </c>
      <c r="P85" s="363">
        <v>12000</v>
      </c>
      <c r="Q85" s="363">
        <v>20000</v>
      </c>
      <c r="R85" s="363">
        <v>7000</v>
      </c>
      <c r="S85" s="364">
        <v>8000</v>
      </c>
      <c r="T85" s="345"/>
      <c r="U85" s="360">
        <v>6</v>
      </c>
      <c r="V85" s="363">
        <v>5000</v>
      </c>
      <c r="W85" s="363">
        <v>12000</v>
      </c>
      <c r="X85" s="363">
        <v>20000</v>
      </c>
      <c r="Y85" s="363">
        <v>7000</v>
      </c>
      <c r="Z85" s="364">
        <v>8000</v>
      </c>
    </row>
    <row r="86" spans="1:26" ht="12.5" x14ac:dyDescent="0.25">
      <c r="A86" s="345"/>
      <c r="B86" s="345"/>
      <c r="C86" s="345"/>
      <c r="D86" s="345"/>
      <c r="E86" s="345"/>
      <c r="F86" s="345"/>
      <c r="G86" s="360">
        <v>7</v>
      </c>
      <c r="H86" s="363">
        <v>5000</v>
      </c>
      <c r="I86" s="363">
        <v>12000</v>
      </c>
      <c r="J86" s="363">
        <v>20000</v>
      </c>
      <c r="K86" s="363">
        <v>7000</v>
      </c>
      <c r="L86" s="364">
        <v>8000</v>
      </c>
      <c r="M86" s="345"/>
      <c r="N86" s="360">
        <v>7</v>
      </c>
      <c r="O86" s="363">
        <v>5000</v>
      </c>
      <c r="P86" s="363">
        <v>12000</v>
      </c>
      <c r="Q86" s="363">
        <v>20000</v>
      </c>
      <c r="R86" s="363">
        <v>7000</v>
      </c>
      <c r="S86" s="364">
        <v>8000</v>
      </c>
      <c r="T86" s="345"/>
      <c r="U86" s="360">
        <v>7</v>
      </c>
      <c r="V86" s="363">
        <v>5000</v>
      </c>
      <c r="W86" s="363">
        <v>12000</v>
      </c>
      <c r="X86" s="363">
        <v>20000</v>
      </c>
      <c r="Y86" s="363">
        <v>7000</v>
      </c>
      <c r="Z86" s="364">
        <v>8000</v>
      </c>
    </row>
    <row r="87" spans="1:26" ht="12.5" x14ac:dyDescent="0.25">
      <c r="A87" s="345"/>
      <c r="B87" s="345"/>
      <c r="C87" s="345"/>
      <c r="D87" s="345"/>
      <c r="E87" s="345"/>
      <c r="F87" s="345"/>
      <c r="G87" s="360">
        <v>8</v>
      </c>
      <c r="H87" s="363">
        <v>5000</v>
      </c>
      <c r="I87" s="363">
        <v>12000</v>
      </c>
      <c r="J87" s="363">
        <v>20000</v>
      </c>
      <c r="K87" s="363">
        <v>7000</v>
      </c>
      <c r="L87" s="364">
        <v>8000</v>
      </c>
      <c r="M87" s="345"/>
      <c r="N87" s="360">
        <v>8</v>
      </c>
      <c r="O87" s="363">
        <v>5000</v>
      </c>
      <c r="P87" s="363">
        <v>12000</v>
      </c>
      <c r="Q87" s="363">
        <v>20000</v>
      </c>
      <c r="R87" s="363">
        <v>7000</v>
      </c>
      <c r="S87" s="364">
        <v>8000</v>
      </c>
      <c r="T87" s="345"/>
      <c r="U87" s="360">
        <v>8</v>
      </c>
      <c r="V87" s="363">
        <v>5000</v>
      </c>
      <c r="W87" s="363">
        <v>12000</v>
      </c>
      <c r="X87" s="363">
        <v>20000</v>
      </c>
      <c r="Y87" s="363">
        <v>7000</v>
      </c>
      <c r="Z87" s="364">
        <v>8000</v>
      </c>
    </row>
    <row r="88" spans="1:26" ht="12.5" x14ac:dyDescent="0.25">
      <c r="A88" s="345"/>
      <c r="B88" s="345"/>
      <c r="C88" s="345"/>
      <c r="D88" s="345"/>
      <c r="E88" s="345"/>
      <c r="F88" s="345"/>
      <c r="G88" s="372"/>
      <c r="H88" s="384"/>
      <c r="I88" s="384"/>
      <c r="J88" s="384"/>
      <c r="K88" s="384"/>
      <c r="L88" s="385"/>
      <c r="M88" s="345"/>
      <c r="N88" s="360">
        <v>9</v>
      </c>
      <c r="O88" s="363">
        <v>5000</v>
      </c>
      <c r="P88" s="363">
        <v>12000</v>
      </c>
      <c r="Q88" s="363">
        <v>20000</v>
      </c>
      <c r="R88" s="363">
        <v>7000</v>
      </c>
      <c r="S88" s="364">
        <v>8000</v>
      </c>
      <c r="T88" s="345"/>
      <c r="U88" s="360">
        <v>9</v>
      </c>
      <c r="V88" s="363">
        <v>5000</v>
      </c>
      <c r="W88" s="363">
        <v>12000</v>
      </c>
      <c r="X88" s="363">
        <v>20000</v>
      </c>
      <c r="Y88" s="363">
        <v>7000</v>
      </c>
      <c r="Z88" s="364">
        <v>8000</v>
      </c>
    </row>
    <row r="89" spans="1:26" ht="13" x14ac:dyDescent="0.3">
      <c r="A89" s="345"/>
      <c r="B89" s="345"/>
      <c r="C89" s="345"/>
      <c r="D89" s="345"/>
      <c r="E89" s="345"/>
      <c r="F89" s="345"/>
      <c r="G89" s="374" t="s">
        <v>167</v>
      </c>
      <c r="H89" s="375">
        <f t="shared" ref="H89:L89" si="45">NPV($B$8,H80:H87)+H79</f>
        <v>2436.6075384610922</v>
      </c>
      <c r="I89" s="375">
        <f t="shared" si="45"/>
        <v>18847.858092306626</v>
      </c>
      <c r="J89" s="375">
        <f t="shared" si="45"/>
        <v>49746.430153844369</v>
      </c>
      <c r="K89" s="375">
        <f t="shared" si="45"/>
        <v>16411.250553845537</v>
      </c>
      <c r="L89" s="376">
        <f t="shared" si="45"/>
        <v>30898.57206153775</v>
      </c>
      <c r="M89" s="345"/>
      <c r="N89" s="360">
        <v>10</v>
      </c>
      <c r="O89" s="363">
        <v>5000</v>
      </c>
      <c r="P89" s="363">
        <v>12000</v>
      </c>
      <c r="Q89" s="363">
        <v>20000</v>
      </c>
      <c r="R89" s="363">
        <v>7000</v>
      </c>
      <c r="S89" s="364">
        <v>8000</v>
      </c>
      <c r="T89" s="345"/>
      <c r="U89" s="360">
        <v>10</v>
      </c>
      <c r="V89" s="363">
        <v>5000</v>
      </c>
      <c r="W89" s="363">
        <v>12000</v>
      </c>
      <c r="X89" s="363">
        <v>20000</v>
      </c>
      <c r="Y89" s="363">
        <v>7000</v>
      </c>
      <c r="Z89" s="364">
        <v>8000</v>
      </c>
    </row>
    <row r="90" spans="1:26" ht="13" x14ac:dyDescent="0.3">
      <c r="A90" s="345"/>
      <c r="B90" s="345"/>
      <c r="C90" s="345"/>
      <c r="D90" s="345"/>
      <c r="E90" s="345"/>
      <c r="F90" s="345"/>
      <c r="G90" s="374" t="s">
        <v>168</v>
      </c>
      <c r="H90" s="377">
        <f t="shared" ref="H90:L90" si="46">NPV($B$9,H80:H87)+H79</f>
        <v>-814.20098403444354</v>
      </c>
      <c r="I90" s="375">
        <f t="shared" si="46"/>
        <v>11045.917638317333</v>
      </c>
      <c r="J90" s="375">
        <f t="shared" si="46"/>
        <v>36743.196063862226</v>
      </c>
      <c r="K90" s="375">
        <f t="shared" si="46"/>
        <v>11860.11862235178</v>
      </c>
      <c r="L90" s="376">
        <f t="shared" si="46"/>
        <v>25697.27842554489</v>
      </c>
      <c r="M90" s="345"/>
      <c r="N90" s="372"/>
      <c r="O90" s="384"/>
      <c r="P90" s="384"/>
      <c r="Q90" s="384"/>
      <c r="R90" s="384"/>
      <c r="S90" s="385"/>
      <c r="T90" s="345"/>
      <c r="U90" s="360">
        <v>11</v>
      </c>
      <c r="V90" s="363">
        <v>5000</v>
      </c>
      <c r="W90" s="363">
        <v>12000</v>
      </c>
      <c r="X90" s="363">
        <v>20000</v>
      </c>
      <c r="Y90" s="363">
        <v>7000</v>
      </c>
      <c r="Z90" s="364">
        <v>8000</v>
      </c>
    </row>
    <row r="91" spans="1:26" ht="13" x14ac:dyDescent="0.3">
      <c r="A91" s="345"/>
      <c r="B91" s="345"/>
      <c r="C91" s="345"/>
      <c r="D91" s="345"/>
      <c r="E91" s="345"/>
      <c r="F91" s="345"/>
      <c r="G91" s="374" t="s">
        <v>96</v>
      </c>
      <c r="H91" s="378">
        <f t="shared" ref="H91:L91" si="47">IRR(H79:H87)</f>
        <v>0.18623711889130612</v>
      </c>
      <c r="I91" s="378">
        <f t="shared" si="47"/>
        <v>0.30111332007199731</v>
      </c>
      <c r="J91" s="378">
        <f t="shared" si="47"/>
        <v>0.47804871096485835</v>
      </c>
      <c r="K91" s="378">
        <f t="shared" si="47"/>
        <v>0.44165677818588178</v>
      </c>
      <c r="L91" s="379">
        <f t="shared" si="47"/>
        <v>1.5992320028330256</v>
      </c>
      <c r="M91" s="345"/>
      <c r="N91" s="374" t="s">
        <v>167</v>
      </c>
      <c r="O91" s="375">
        <f t="shared" ref="O91:S91" si="48">NPV($B$8,O80:O89)+O79</f>
        <v>5093.8431292711502</v>
      </c>
      <c r="P91" s="375">
        <f t="shared" si="48"/>
        <v>25225.223510250762</v>
      </c>
      <c r="Q91" s="375">
        <f t="shared" si="48"/>
        <v>60375.372517084601</v>
      </c>
      <c r="R91" s="375">
        <f t="shared" si="48"/>
        <v>20131.380380979623</v>
      </c>
      <c r="S91" s="376">
        <f t="shared" si="48"/>
        <v>35150.149006833846</v>
      </c>
      <c r="T91" s="345"/>
      <c r="U91" s="360">
        <v>12</v>
      </c>
      <c r="V91" s="363">
        <v>5000</v>
      </c>
      <c r="W91" s="363">
        <v>12000</v>
      </c>
      <c r="X91" s="363">
        <v>20000</v>
      </c>
      <c r="Y91" s="363">
        <v>7000</v>
      </c>
      <c r="Z91" s="364">
        <v>8000</v>
      </c>
    </row>
    <row r="92" spans="1:26" ht="13" x14ac:dyDescent="0.3">
      <c r="A92" s="345"/>
      <c r="B92" s="345"/>
      <c r="C92" s="345"/>
      <c r="D92" s="345"/>
      <c r="E92" s="345"/>
      <c r="F92" s="345"/>
      <c r="G92" s="374" t="s">
        <v>169</v>
      </c>
      <c r="H92" s="378">
        <f t="shared" ref="H92:L92" si="49">MIRR(H79:H87,$B$8,$B$8)</f>
        <v>0.16664504223986976</v>
      </c>
      <c r="I92" s="378">
        <f t="shared" si="49"/>
        <v>0.21362744473066209</v>
      </c>
      <c r="J92" s="378">
        <f t="shared" si="49"/>
        <v>0.27223543983816412</v>
      </c>
      <c r="K92" s="378">
        <f t="shared" si="49"/>
        <v>0.26131071851697119</v>
      </c>
      <c r="L92" s="379">
        <f t="shared" si="49"/>
        <v>0.47133388370299945</v>
      </c>
      <c r="M92" s="345"/>
      <c r="N92" s="374" t="s">
        <v>168</v>
      </c>
      <c r="O92" s="375">
        <f t="shared" ref="O92:S92" si="50">NPV($B$9,O80:O89)+O79</f>
        <v>962.36042775386159</v>
      </c>
      <c r="P92" s="375">
        <f t="shared" si="50"/>
        <v>15309.665026609262</v>
      </c>
      <c r="Q92" s="375">
        <f t="shared" si="50"/>
        <v>43849.441711015446</v>
      </c>
      <c r="R92" s="375">
        <f t="shared" si="50"/>
        <v>14347.304598855404</v>
      </c>
      <c r="S92" s="376">
        <f t="shared" si="50"/>
        <v>28539.77668440617</v>
      </c>
      <c r="T92" s="345"/>
      <c r="U92" s="360">
        <v>13</v>
      </c>
      <c r="V92" s="363">
        <v>5000</v>
      </c>
      <c r="W92" s="363">
        <v>12000</v>
      </c>
      <c r="X92" s="363">
        <v>20000</v>
      </c>
      <c r="Y92" s="363">
        <v>7000</v>
      </c>
      <c r="Z92" s="364">
        <v>8000</v>
      </c>
    </row>
    <row r="93" spans="1:26" ht="13" x14ac:dyDescent="0.3">
      <c r="A93" s="345"/>
      <c r="B93" s="345"/>
      <c r="C93" s="345"/>
      <c r="D93" s="345"/>
      <c r="E93" s="345"/>
      <c r="F93" s="345"/>
      <c r="G93" s="380" t="s">
        <v>170</v>
      </c>
      <c r="H93" s="381">
        <f t="shared" ref="H93:L93" si="51">MIRR(H79:H87,$B$9,$B$9)</f>
        <v>0.19378188087424575</v>
      </c>
      <c r="I93" s="381">
        <f t="shared" si="51"/>
        <v>0.24185712122821545</v>
      </c>
      <c r="J93" s="381">
        <f t="shared" si="51"/>
        <v>0.30182837220904046</v>
      </c>
      <c r="K93" s="381">
        <f t="shared" si="51"/>
        <v>0.29064953554951845</v>
      </c>
      <c r="L93" s="369">
        <f t="shared" si="51"/>
        <v>0.50555796106476558</v>
      </c>
      <c r="M93" s="345"/>
      <c r="N93" s="374" t="s">
        <v>96</v>
      </c>
      <c r="O93" s="378">
        <f t="shared" ref="O93:S93" si="52">IRR(O79:O89)</f>
        <v>0.21406465112703454</v>
      </c>
      <c r="P93" s="378">
        <f t="shared" si="52"/>
        <v>0.321796753664221</v>
      </c>
      <c r="Q93" s="378">
        <f t="shared" si="52"/>
        <v>0.49077765740199686</v>
      </c>
      <c r="R93" s="378">
        <f t="shared" si="52"/>
        <v>0.45574867533837149</v>
      </c>
      <c r="S93" s="379">
        <f t="shared" si="52"/>
        <v>1.5998866096935425</v>
      </c>
      <c r="T93" s="345"/>
      <c r="U93" s="360">
        <v>14</v>
      </c>
      <c r="V93" s="363">
        <v>5000</v>
      </c>
      <c r="W93" s="363">
        <v>12000</v>
      </c>
      <c r="X93" s="363">
        <v>20000</v>
      </c>
      <c r="Y93" s="363">
        <v>7000</v>
      </c>
      <c r="Z93" s="364">
        <v>8000</v>
      </c>
    </row>
    <row r="94" spans="1:26" ht="13" x14ac:dyDescent="0.3">
      <c r="A94" s="345"/>
      <c r="B94" s="345"/>
      <c r="C94" s="345"/>
      <c r="D94" s="345"/>
      <c r="E94" s="345"/>
      <c r="F94" s="345"/>
      <c r="G94" s="345"/>
      <c r="H94" s="345"/>
      <c r="I94" s="345"/>
      <c r="J94" s="345"/>
      <c r="K94" s="345"/>
      <c r="L94" s="345"/>
      <c r="M94" s="345"/>
      <c r="N94" s="374" t="s">
        <v>169</v>
      </c>
      <c r="O94" s="378">
        <f t="shared" ref="O94:S94" si="53">MIRR(O79:O89,$B$8,$B$8)</f>
        <v>0.17639063537734656</v>
      </c>
      <c r="P94" s="378">
        <f t="shared" si="53"/>
        <v>0.21414030955790864</v>
      </c>
      <c r="Q94" s="378">
        <f t="shared" si="53"/>
        <v>0.26082426457364871</v>
      </c>
      <c r="R94" s="378">
        <f t="shared" si="53"/>
        <v>0.25215541475690828</v>
      </c>
      <c r="S94" s="379">
        <f t="shared" si="53"/>
        <v>0.41634663819199158</v>
      </c>
      <c r="T94" s="345"/>
      <c r="U94" s="360">
        <v>15</v>
      </c>
      <c r="V94" s="363">
        <v>5000</v>
      </c>
      <c r="W94" s="363">
        <v>12000</v>
      </c>
      <c r="X94" s="363">
        <v>20000</v>
      </c>
      <c r="Y94" s="363">
        <v>7000</v>
      </c>
      <c r="Z94" s="364">
        <v>8000</v>
      </c>
    </row>
    <row r="95" spans="1:26" ht="13" x14ac:dyDescent="0.3">
      <c r="A95" s="345"/>
      <c r="B95" s="345"/>
      <c r="C95" s="345"/>
      <c r="D95" s="345"/>
      <c r="E95" s="345"/>
      <c r="F95" s="345"/>
      <c r="G95" s="345"/>
      <c r="H95" s="345"/>
      <c r="I95" s="345"/>
      <c r="J95" s="345"/>
      <c r="K95" s="345"/>
      <c r="L95" s="345"/>
      <c r="M95" s="345"/>
      <c r="N95" s="380" t="s">
        <v>170</v>
      </c>
      <c r="O95" s="381">
        <f t="shared" ref="O95:S95" si="54">MIRR(O79:O89,$B$9,$B$9)</f>
        <v>0.20565281608458963</v>
      </c>
      <c r="P95" s="381">
        <f t="shared" si="54"/>
        <v>0.24434149619931311</v>
      </c>
      <c r="Q95" s="381">
        <f t="shared" si="54"/>
        <v>0.29218669331161329</v>
      </c>
      <c r="R95" s="381">
        <f t="shared" si="54"/>
        <v>0.28330220980804066</v>
      </c>
      <c r="S95" s="369">
        <f t="shared" si="54"/>
        <v>0.45157761506692751</v>
      </c>
      <c r="T95" s="345"/>
      <c r="U95" s="372"/>
      <c r="V95" s="384"/>
      <c r="W95" s="384"/>
      <c r="X95" s="384"/>
      <c r="Y95" s="384"/>
      <c r="Z95" s="385"/>
    </row>
    <row r="96" spans="1:26" ht="13" x14ac:dyDescent="0.3">
      <c r="A96" s="345"/>
      <c r="B96" s="345"/>
      <c r="C96" s="345"/>
      <c r="D96" s="345"/>
      <c r="E96" s="345"/>
      <c r="F96" s="345"/>
      <c r="G96" s="345"/>
      <c r="H96" s="345"/>
      <c r="I96" s="345"/>
      <c r="J96" s="345"/>
      <c r="K96" s="345"/>
      <c r="L96" s="345"/>
      <c r="M96" s="345"/>
      <c r="N96" s="345"/>
      <c r="O96" s="345"/>
      <c r="P96" s="345"/>
      <c r="Q96" s="345"/>
      <c r="R96" s="345"/>
      <c r="S96" s="345"/>
      <c r="T96" s="345"/>
      <c r="U96" s="374" t="s">
        <v>167</v>
      </c>
      <c r="V96" s="382">
        <f t="shared" ref="V96:Z96" si="55">NPV($B$8,V80:V94)+V79</f>
        <v>9236.8504931554635</v>
      </c>
      <c r="W96" s="382">
        <f t="shared" si="55"/>
        <v>35168.441183573115</v>
      </c>
      <c r="X96" s="382">
        <f t="shared" si="55"/>
        <v>76947.401972621854</v>
      </c>
      <c r="Y96" s="382">
        <f t="shared" si="55"/>
        <v>25931.590690417659</v>
      </c>
      <c r="Z96" s="383">
        <f t="shared" si="55"/>
        <v>41778.960789048746</v>
      </c>
    </row>
    <row r="97" spans="1:26" ht="13" x14ac:dyDescent="0.3">
      <c r="A97" s="345"/>
      <c r="B97" s="345"/>
      <c r="C97" s="345"/>
      <c r="D97" s="345"/>
      <c r="E97" s="345"/>
      <c r="F97" s="345"/>
      <c r="G97" s="345"/>
      <c r="H97" s="345"/>
      <c r="I97" s="345"/>
      <c r="J97" s="345"/>
      <c r="K97" s="345"/>
      <c r="L97" s="345"/>
      <c r="M97" s="345"/>
      <c r="N97" s="345"/>
      <c r="O97" s="345"/>
      <c r="P97" s="345"/>
      <c r="Q97" s="345"/>
      <c r="R97" s="345"/>
      <c r="S97" s="345"/>
      <c r="T97" s="345"/>
      <c r="U97" s="374" t="s">
        <v>168</v>
      </c>
      <c r="V97" s="375">
        <f t="shared" ref="V97:Z97" si="56">NPV($B$9,V80:V94)+V79</f>
        <v>3377.3632120281472</v>
      </c>
      <c r="W97" s="375">
        <f t="shared" si="56"/>
        <v>21105.67170886755</v>
      </c>
      <c r="X97" s="375">
        <f t="shared" si="56"/>
        <v>53509.452848112589</v>
      </c>
      <c r="Y97" s="375">
        <f t="shared" si="56"/>
        <v>17728.308496839396</v>
      </c>
      <c r="Z97" s="376">
        <f t="shared" si="56"/>
        <v>32403.781139245031</v>
      </c>
    </row>
    <row r="98" spans="1:26" ht="13" x14ac:dyDescent="0.3">
      <c r="A98" s="345"/>
      <c r="B98" s="345"/>
      <c r="C98" s="345"/>
      <c r="D98" s="345"/>
      <c r="E98" s="345"/>
      <c r="F98" s="345"/>
      <c r="G98" s="345"/>
      <c r="H98" s="345"/>
      <c r="I98" s="345"/>
      <c r="J98" s="345"/>
      <c r="K98" s="345"/>
      <c r="L98" s="345"/>
      <c r="M98" s="345"/>
      <c r="N98" s="345"/>
      <c r="O98" s="345"/>
      <c r="P98" s="345"/>
      <c r="Q98" s="345"/>
      <c r="R98" s="345"/>
      <c r="S98" s="345"/>
      <c r="T98" s="345"/>
      <c r="U98" s="374" t="s">
        <v>96</v>
      </c>
      <c r="V98" s="378">
        <f t="shared" ref="V98:Z98" si="57">IRR(V79:V94)</f>
        <v>0.24008822973726485</v>
      </c>
      <c r="W98" s="378">
        <f t="shared" si="57"/>
        <v>0.33853533350867515</v>
      </c>
      <c r="X98" s="378">
        <f t="shared" si="57"/>
        <v>0.49884489999160153</v>
      </c>
      <c r="Y98" s="378">
        <f t="shared" si="57"/>
        <v>0.4651504068321024</v>
      </c>
      <c r="Z98" s="379">
        <f t="shared" si="57"/>
        <v>1.5999990460575915</v>
      </c>
    </row>
    <row r="99" spans="1:26" ht="13" x14ac:dyDescent="0.3">
      <c r="A99" s="345"/>
      <c r="B99" s="345"/>
      <c r="C99" s="345"/>
      <c r="D99" s="345"/>
      <c r="E99" s="345"/>
      <c r="F99" s="345"/>
      <c r="G99" s="345"/>
      <c r="H99" s="345"/>
      <c r="I99" s="345"/>
      <c r="J99" s="345"/>
      <c r="K99" s="345"/>
      <c r="L99" s="345"/>
      <c r="M99" s="345"/>
      <c r="N99" s="345"/>
      <c r="O99" s="345"/>
      <c r="P99" s="345"/>
      <c r="Q99" s="345"/>
      <c r="R99" s="345"/>
      <c r="S99" s="345"/>
      <c r="T99" s="345"/>
      <c r="U99" s="374" t="s">
        <v>169</v>
      </c>
      <c r="V99" s="378">
        <f t="shared" ref="V99:Z99" si="58">MIRR(V79:V94,$B$8,$B$8)</f>
        <v>0.17948171638960164</v>
      </c>
      <c r="W99" s="378">
        <f t="shared" si="58"/>
        <v>0.20458123279038021</v>
      </c>
      <c r="X99" s="378">
        <f t="shared" si="58"/>
        <v>0.23526426954921509</v>
      </c>
      <c r="Y99" s="378">
        <f t="shared" si="58"/>
        <v>0.22959568733479196</v>
      </c>
      <c r="Z99" s="379">
        <f t="shared" si="58"/>
        <v>0.33486253691793966</v>
      </c>
    </row>
    <row r="100" spans="1:26" ht="13" x14ac:dyDescent="0.3">
      <c r="A100" s="345"/>
      <c r="B100" s="345"/>
      <c r="C100" s="345"/>
      <c r="D100" s="345"/>
      <c r="E100" s="345"/>
      <c r="F100" s="345"/>
      <c r="G100" s="345"/>
      <c r="H100" s="345"/>
      <c r="I100" s="345"/>
      <c r="J100" s="345"/>
      <c r="K100" s="345"/>
      <c r="L100" s="345"/>
      <c r="M100" s="345"/>
      <c r="N100" s="345"/>
      <c r="O100" s="345"/>
      <c r="P100" s="345"/>
      <c r="Q100" s="345"/>
      <c r="R100" s="345"/>
      <c r="S100" s="345"/>
      <c r="T100" s="345"/>
      <c r="U100" s="380" t="s">
        <v>170</v>
      </c>
      <c r="V100" s="381">
        <f t="shared" ref="V100:Z100" si="59">MIRR(V79:V94,$B$9,$B$9)</f>
        <v>0.21254802330336764</v>
      </c>
      <c r="W100" s="381">
        <f t="shared" si="59"/>
        <v>0.23835119479363387</v>
      </c>
      <c r="X100" s="381">
        <f t="shared" si="59"/>
        <v>0.26989441844338513</v>
      </c>
      <c r="Y100" s="381">
        <f t="shared" si="59"/>
        <v>0.26406691975178109</v>
      </c>
      <c r="Z100" s="369">
        <f t="shared" si="59"/>
        <v>0.37228488414052019</v>
      </c>
    </row>
    <row r="101" spans="1:26" ht="12.5" x14ac:dyDescent="0.25">
      <c r="A101" s="345"/>
      <c r="B101" s="345"/>
      <c r="C101" s="345"/>
      <c r="D101" s="345"/>
      <c r="E101" s="345"/>
      <c r="F101" s="345"/>
      <c r="G101" s="345"/>
      <c r="H101" s="345"/>
      <c r="I101" s="345"/>
      <c r="J101" s="345"/>
      <c r="K101" s="345"/>
      <c r="L101" s="345"/>
      <c r="M101" s="345"/>
      <c r="N101" s="345"/>
      <c r="O101" s="345"/>
      <c r="P101" s="345"/>
      <c r="Q101" s="345"/>
      <c r="R101" s="345"/>
      <c r="S101" s="345"/>
      <c r="T101" s="345"/>
      <c r="U101" s="345"/>
      <c r="V101" s="345"/>
      <c r="W101" s="345"/>
      <c r="X101" s="345"/>
      <c r="Y101" s="345"/>
      <c r="Z101" s="345"/>
    </row>
    <row r="102" spans="1:26" ht="13" x14ac:dyDescent="0.3">
      <c r="A102" s="345"/>
      <c r="B102" s="345"/>
      <c r="C102" s="345"/>
      <c r="D102" s="345"/>
      <c r="E102" s="345"/>
      <c r="F102" s="345"/>
      <c r="G102" s="508" t="s">
        <v>179</v>
      </c>
      <c r="H102" s="509"/>
      <c r="I102" s="509"/>
      <c r="J102" s="509"/>
      <c r="K102" s="509"/>
      <c r="L102" s="510"/>
      <c r="M102" s="345"/>
      <c r="N102" s="508" t="s">
        <v>180</v>
      </c>
      <c r="O102" s="509"/>
      <c r="P102" s="509"/>
      <c r="Q102" s="509"/>
      <c r="R102" s="509"/>
      <c r="S102" s="510"/>
      <c r="T102" s="345"/>
      <c r="U102" s="508" t="s">
        <v>178</v>
      </c>
      <c r="V102" s="509"/>
      <c r="W102" s="509"/>
      <c r="X102" s="509"/>
      <c r="Y102" s="509"/>
      <c r="Z102" s="510"/>
    </row>
    <row r="103" spans="1:26" ht="13" x14ac:dyDescent="0.3">
      <c r="A103" s="345"/>
      <c r="B103" s="345"/>
      <c r="C103" s="345"/>
      <c r="D103" s="345"/>
      <c r="E103" s="345"/>
      <c r="F103" s="345"/>
      <c r="G103" s="353" t="s">
        <v>51</v>
      </c>
      <c r="H103" s="354" t="s">
        <v>19</v>
      </c>
      <c r="I103" s="354" t="s">
        <v>20</v>
      </c>
      <c r="J103" s="354" t="s">
        <v>21</v>
      </c>
      <c r="K103" s="354" t="s">
        <v>158</v>
      </c>
      <c r="L103" s="355" t="s">
        <v>159</v>
      </c>
      <c r="M103" s="345"/>
      <c r="N103" s="353" t="s">
        <v>51</v>
      </c>
      <c r="O103" s="354" t="s">
        <v>19</v>
      </c>
      <c r="P103" s="354" t="s">
        <v>20</v>
      </c>
      <c r="Q103" s="354" t="s">
        <v>21</v>
      </c>
      <c r="R103" s="354" t="s">
        <v>158</v>
      </c>
      <c r="S103" s="355" t="s">
        <v>159</v>
      </c>
      <c r="T103" s="345"/>
      <c r="U103" s="353" t="s">
        <v>51</v>
      </c>
      <c r="V103" s="354" t="s">
        <v>19</v>
      </c>
      <c r="W103" s="354" t="s">
        <v>20</v>
      </c>
      <c r="X103" s="354" t="s">
        <v>21</v>
      </c>
      <c r="Y103" s="354" t="s">
        <v>158</v>
      </c>
      <c r="Z103" s="355" t="s">
        <v>159</v>
      </c>
    </row>
    <row r="104" spans="1:26" ht="12.5" x14ac:dyDescent="0.25">
      <c r="A104" s="345"/>
      <c r="B104" s="345"/>
      <c r="C104" s="345"/>
      <c r="D104" s="345"/>
      <c r="E104" s="345"/>
      <c r="F104" s="345"/>
      <c r="G104" s="360">
        <v>0</v>
      </c>
      <c r="H104" s="361">
        <v>-20000</v>
      </c>
      <c r="I104" s="361">
        <v>-35000</v>
      </c>
      <c r="J104" s="361">
        <v>-60000</v>
      </c>
      <c r="K104" s="361">
        <v>-15000</v>
      </c>
      <c r="L104" s="362">
        <v>-25000</v>
      </c>
      <c r="M104" s="345"/>
      <c r="N104" s="360">
        <v>0</v>
      </c>
      <c r="O104" s="361">
        <v>-20000</v>
      </c>
      <c r="P104" s="361">
        <v>-35000</v>
      </c>
      <c r="Q104" s="361">
        <v>-60000</v>
      </c>
      <c r="R104" s="361">
        <v>-15000</v>
      </c>
      <c r="S104" s="362">
        <v>-25000</v>
      </c>
      <c r="T104" s="345"/>
      <c r="U104" s="360">
        <v>0</v>
      </c>
      <c r="V104" s="361">
        <v>-20000</v>
      </c>
      <c r="W104" s="361">
        <v>-35000</v>
      </c>
      <c r="X104" s="361">
        <v>-60000</v>
      </c>
      <c r="Y104" s="361">
        <v>-15000</v>
      </c>
      <c r="Z104" s="362">
        <v>-25000</v>
      </c>
    </row>
    <row r="105" spans="1:26" ht="12.5" x14ac:dyDescent="0.25">
      <c r="A105" s="345"/>
      <c r="B105" s="345"/>
      <c r="C105" s="345"/>
      <c r="D105" s="345"/>
      <c r="E105" s="345"/>
      <c r="F105" s="345"/>
      <c r="G105" s="360">
        <v>1</v>
      </c>
      <c r="H105" s="363">
        <v>5000</v>
      </c>
      <c r="I105" s="363">
        <v>12000</v>
      </c>
      <c r="J105" s="363">
        <v>20000</v>
      </c>
      <c r="K105" s="363">
        <v>7000</v>
      </c>
      <c r="L105" s="364">
        <v>8000</v>
      </c>
      <c r="M105" s="345"/>
      <c r="N105" s="360">
        <v>1</v>
      </c>
      <c r="O105" s="363">
        <v>5000</v>
      </c>
      <c r="P105" s="363">
        <v>12000</v>
      </c>
      <c r="Q105" s="363">
        <v>20000</v>
      </c>
      <c r="R105" s="363">
        <v>7000</v>
      </c>
      <c r="S105" s="364">
        <v>8000</v>
      </c>
      <c r="T105" s="345"/>
      <c r="U105" s="360">
        <v>1</v>
      </c>
      <c r="V105" s="363">
        <v>5000</v>
      </c>
      <c r="W105" s="363">
        <v>12000</v>
      </c>
      <c r="X105" s="363">
        <v>20000</v>
      </c>
      <c r="Y105" s="363">
        <v>7000</v>
      </c>
      <c r="Z105" s="364">
        <v>8000</v>
      </c>
    </row>
    <row r="106" spans="1:26" ht="12.5" x14ac:dyDescent="0.25">
      <c r="A106" s="345"/>
      <c r="B106" s="345"/>
      <c r="C106" s="345"/>
      <c r="D106" s="345"/>
      <c r="E106" s="345"/>
      <c r="F106" s="345"/>
      <c r="G106" s="360">
        <v>2</v>
      </c>
      <c r="H106" s="363">
        <v>5000</v>
      </c>
      <c r="I106" s="363">
        <v>12000</v>
      </c>
      <c r="J106" s="363">
        <v>20000</v>
      </c>
      <c r="K106" s="363">
        <v>7000</v>
      </c>
      <c r="L106" s="364">
        <v>8000</v>
      </c>
      <c r="M106" s="345"/>
      <c r="N106" s="360">
        <v>2</v>
      </c>
      <c r="O106" s="363">
        <v>5000</v>
      </c>
      <c r="P106" s="363">
        <v>12000</v>
      </c>
      <c r="Q106" s="363">
        <v>20000</v>
      </c>
      <c r="R106" s="363">
        <v>7000</v>
      </c>
      <c r="S106" s="364">
        <v>8000</v>
      </c>
      <c r="T106" s="345"/>
      <c r="U106" s="360">
        <v>2</v>
      </c>
      <c r="V106" s="363">
        <v>5000</v>
      </c>
      <c r="W106" s="363">
        <v>12000</v>
      </c>
      <c r="X106" s="363">
        <v>20000</v>
      </c>
      <c r="Y106" s="363">
        <v>7000</v>
      </c>
      <c r="Z106" s="364">
        <v>8000</v>
      </c>
    </row>
    <row r="107" spans="1:26" ht="12.5" x14ac:dyDescent="0.25">
      <c r="A107" s="345"/>
      <c r="B107" s="345"/>
      <c r="C107" s="345"/>
      <c r="D107" s="345"/>
      <c r="E107" s="345"/>
      <c r="F107" s="345"/>
      <c r="G107" s="360">
        <v>3</v>
      </c>
      <c r="H107" s="363">
        <v>5000</v>
      </c>
      <c r="I107" s="363">
        <v>12000</v>
      </c>
      <c r="J107" s="363">
        <v>20000</v>
      </c>
      <c r="K107" s="363">
        <v>7000</v>
      </c>
      <c r="L107" s="364">
        <v>8000</v>
      </c>
      <c r="M107" s="345"/>
      <c r="N107" s="360">
        <v>3</v>
      </c>
      <c r="O107" s="363">
        <v>5000</v>
      </c>
      <c r="P107" s="363">
        <v>12000</v>
      </c>
      <c r="Q107" s="363">
        <v>20000</v>
      </c>
      <c r="R107" s="363">
        <v>7000</v>
      </c>
      <c r="S107" s="364">
        <v>8000</v>
      </c>
      <c r="T107" s="345"/>
      <c r="U107" s="360">
        <v>3</v>
      </c>
      <c r="V107" s="363">
        <v>5000</v>
      </c>
      <c r="W107" s="363">
        <v>12000</v>
      </c>
      <c r="X107" s="363">
        <v>20000</v>
      </c>
      <c r="Y107" s="363">
        <v>7000</v>
      </c>
      <c r="Z107" s="364">
        <v>8000</v>
      </c>
    </row>
    <row r="108" spans="1:26" ht="12.5" x14ac:dyDescent="0.25">
      <c r="A108" s="345"/>
      <c r="B108" s="345"/>
      <c r="C108" s="345"/>
      <c r="D108" s="345"/>
      <c r="E108" s="345"/>
      <c r="F108" s="345"/>
      <c r="G108" s="360">
        <v>4</v>
      </c>
      <c r="H108" s="363">
        <v>5000</v>
      </c>
      <c r="I108" s="363">
        <v>12000</v>
      </c>
      <c r="J108" s="363">
        <v>20000</v>
      </c>
      <c r="K108" s="363">
        <v>7000</v>
      </c>
      <c r="L108" s="364">
        <v>8000</v>
      </c>
      <c r="M108" s="345"/>
      <c r="N108" s="360">
        <v>4</v>
      </c>
      <c r="O108" s="363">
        <v>5000</v>
      </c>
      <c r="P108" s="363">
        <v>12000</v>
      </c>
      <c r="Q108" s="363">
        <v>20000</v>
      </c>
      <c r="R108" s="363">
        <v>7000</v>
      </c>
      <c r="S108" s="364">
        <v>8000</v>
      </c>
      <c r="T108" s="345"/>
      <c r="U108" s="360">
        <v>4</v>
      </c>
      <c r="V108" s="363">
        <v>5000</v>
      </c>
      <c r="W108" s="363">
        <v>12000</v>
      </c>
      <c r="X108" s="363">
        <v>20000</v>
      </c>
      <c r="Y108" s="363">
        <v>7000</v>
      </c>
      <c r="Z108" s="364">
        <v>8000</v>
      </c>
    </row>
    <row r="109" spans="1:26" ht="12.5" x14ac:dyDescent="0.25">
      <c r="A109" s="345"/>
      <c r="B109" s="345"/>
      <c r="C109" s="345"/>
      <c r="D109" s="345"/>
      <c r="E109" s="345"/>
      <c r="F109" s="345"/>
      <c r="G109" s="360">
        <v>5</v>
      </c>
      <c r="H109" s="363">
        <v>5000</v>
      </c>
      <c r="I109" s="363">
        <v>12000</v>
      </c>
      <c r="J109" s="363">
        <v>20000</v>
      </c>
      <c r="K109" s="363">
        <v>7000</v>
      </c>
      <c r="L109" s="364">
        <v>8000</v>
      </c>
      <c r="M109" s="345"/>
      <c r="N109" s="360">
        <v>5</v>
      </c>
      <c r="O109" s="363">
        <v>5000</v>
      </c>
      <c r="P109" s="363">
        <v>12000</v>
      </c>
      <c r="Q109" s="363">
        <v>20000</v>
      </c>
      <c r="R109" s="363">
        <v>7000</v>
      </c>
      <c r="S109" s="364">
        <v>8000</v>
      </c>
      <c r="T109" s="345"/>
      <c r="U109" s="360">
        <v>5</v>
      </c>
      <c r="V109" s="363">
        <v>5000</v>
      </c>
      <c r="W109" s="363">
        <v>12000</v>
      </c>
      <c r="X109" s="363">
        <v>20000</v>
      </c>
      <c r="Y109" s="363">
        <v>7000</v>
      </c>
      <c r="Z109" s="364">
        <v>8000</v>
      </c>
    </row>
    <row r="110" spans="1:26" ht="12.5" x14ac:dyDescent="0.25">
      <c r="A110" s="345"/>
      <c r="B110" s="345"/>
      <c r="C110" s="345"/>
      <c r="D110" s="345"/>
      <c r="E110" s="345"/>
      <c r="F110" s="345"/>
      <c r="G110" s="360">
        <v>6</v>
      </c>
      <c r="H110" s="363">
        <v>5000</v>
      </c>
      <c r="I110" s="363">
        <v>12000</v>
      </c>
      <c r="J110" s="363">
        <v>20000</v>
      </c>
      <c r="K110" s="363">
        <v>7000</v>
      </c>
      <c r="L110" s="364">
        <v>8000</v>
      </c>
      <c r="M110" s="345"/>
      <c r="N110" s="360">
        <v>6</v>
      </c>
      <c r="O110" s="363">
        <v>5000</v>
      </c>
      <c r="P110" s="363">
        <v>12000</v>
      </c>
      <c r="Q110" s="363">
        <v>20000</v>
      </c>
      <c r="R110" s="363">
        <v>7000</v>
      </c>
      <c r="S110" s="364">
        <v>8000</v>
      </c>
      <c r="T110" s="345"/>
      <c r="U110" s="360">
        <v>6</v>
      </c>
      <c r="V110" s="363">
        <v>5000</v>
      </c>
      <c r="W110" s="363">
        <v>12000</v>
      </c>
      <c r="X110" s="363">
        <v>20000</v>
      </c>
      <c r="Y110" s="363">
        <v>7000</v>
      </c>
      <c r="Z110" s="364">
        <v>8000</v>
      </c>
    </row>
    <row r="111" spans="1:26" ht="12.5" x14ac:dyDescent="0.25">
      <c r="A111" s="345"/>
      <c r="B111" s="345"/>
      <c r="C111" s="345"/>
      <c r="D111" s="345"/>
      <c r="E111" s="345"/>
      <c r="F111" s="345"/>
      <c r="G111" s="360">
        <v>7</v>
      </c>
      <c r="H111" s="363">
        <v>5000</v>
      </c>
      <c r="I111" s="363">
        <v>12000</v>
      </c>
      <c r="J111" s="363">
        <v>20000</v>
      </c>
      <c r="K111" s="363">
        <v>7000</v>
      </c>
      <c r="L111" s="364">
        <v>8000</v>
      </c>
      <c r="M111" s="345"/>
      <c r="N111" s="360">
        <v>7</v>
      </c>
      <c r="O111" s="363">
        <v>5000</v>
      </c>
      <c r="P111" s="363">
        <v>12000</v>
      </c>
      <c r="Q111" s="363">
        <v>20000</v>
      </c>
      <c r="R111" s="363">
        <v>7000</v>
      </c>
      <c r="S111" s="364">
        <v>8000</v>
      </c>
      <c r="T111" s="345"/>
      <c r="U111" s="360">
        <v>7</v>
      </c>
      <c r="V111" s="363">
        <v>5000</v>
      </c>
      <c r="W111" s="363">
        <v>12000</v>
      </c>
      <c r="X111" s="363">
        <v>20000</v>
      </c>
      <c r="Y111" s="363">
        <v>7000</v>
      </c>
      <c r="Z111" s="364">
        <v>8000</v>
      </c>
    </row>
    <row r="112" spans="1:26" ht="12.5" x14ac:dyDescent="0.25">
      <c r="A112" s="345"/>
      <c r="B112" s="345"/>
      <c r="C112" s="345"/>
      <c r="D112" s="345"/>
      <c r="E112" s="345"/>
      <c r="F112" s="345"/>
      <c r="G112" s="360">
        <v>8</v>
      </c>
      <c r="H112" s="363">
        <v>5000</v>
      </c>
      <c r="I112" s="363">
        <v>12000</v>
      </c>
      <c r="J112" s="363">
        <v>20000</v>
      </c>
      <c r="K112" s="363">
        <v>7000</v>
      </c>
      <c r="L112" s="364">
        <v>8000</v>
      </c>
      <c r="M112" s="345"/>
      <c r="N112" s="360">
        <v>8</v>
      </c>
      <c r="O112" s="363">
        <v>5000</v>
      </c>
      <c r="P112" s="363">
        <v>12000</v>
      </c>
      <c r="Q112" s="363">
        <v>20000</v>
      </c>
      <c r="R112" s="363">
        <v>7000</v>
      </c>
      <c r="S112" s="364">
        <v>8000</v>
      </c>
      <c r="T112" s="345"/>
      <c r="U112" s="360">
        <v>8</v>
      </c>
      <c r="V112" s="363">
        <v>5000</v>
      </c>
      <c r="W112" s="363">
        <v>12000</v>
      </c>
      <c r="X112" s="363">
        <v>20000</v>
      </c>
      <c r="Y112" s="363">
        <v>7000</v>
      </c>
      <c r="Z112" s="364">
        <v>8000</v>
      </c>
    </row>
    <row r="113" spans="1:26" ht="12.5" x14ac:dyDescent="0.25">
      <c r="A113" s="345"/>
      <c r="B113" s="345"/>
      <c r="C113" s="345"/>
      <c r="D113" s="345"/>
      <c r="E113" s="345"/>
      <c r="F113" s="345"/>
      <c r="G113" s="372"/>
      <c r="H113" s="384"/>
      <c r="I113" s="384"/>
      <c r="J113" s="384"/>
      <c r="K113" s="384"/>
      <c r="L113" s="385"/>
      <c r="M113" s="345"/>
      <c r="N113" s="360">
        <v>9</v>
      </c>
      <c r="O113" s="363">
        <v>5000</v>
      </c>
      <c r="P113" s="363">
        <v>12000</v>
      </c>
      <c r="Q113" s="363">
        <v>20000</v>
      </c>
      <c r="R113" s="363">
        <v>7000</v>
      </c>
      <c r="S113" s="364">
        <v>8000</v>
      </c>
      <c r="T113" s="345"/>
      <c r="U113" s="360">
        <v>9</v>
      </c>
      <c r="V113" s="363">
        <v>5000</v>
      </c>
      <c r="W113" s="363">
        <v>12000</v>
      </c>
      <c r="X113" s="363">
        <v>20000</v>
      </c>
      <c r="Y113" s="363">
        <v>7000</v>
      </c>
      <c r="Z113" s="364">
        <v>8000</v>
      </c>
    </row>
    <row r="114" spans="1:26" ht="13" x14ac:dyDescent="0.3">
      <c r="A114" s="345"/>
      <c r="B114" s="345"/>
      <c r="C114" s="345"/>
      <c r="D114" s="345"/>
      <c r="E114" s="345"/>
      <c r="F114" s="345"/>
      <c r="G114" s="374" t="s">
        <v>167</v>
      </c>
      <c r="H114" s="375">
        <f t="shared" ref="H114:L114" si="60">NPV($B$8,H105:H112)+H104</f>
        <v>2436.6075384610922</v>
      </c>
      <c r="I114" s="375">
        <f t="shared" si="60"/>
        <v>18847.858092306626</v>
      </c>
      <c r="J114" s="375">
        <f t="shared" si="60"/>
        <v>29746.430153844369</v>
      </c>
      <c r="K114" s="375">
        <f t="shared" si="60"/>
        <v>16411.250553845537</v>
      </c>
      <c r="L114" s="376">
        <f t="shared" si="60"/>
        <v>10898.57206153775</v>
      </c>
      <c r="M114" s="345"/>
      <c r="N114" s="360">
        <v>10</v>
      </c>
      <c r="O114" s="363">
        <v>5000</v>
      </c>
      <c r="P114" s="363">
        <v>12000</v>
      </c>
      <c r="Q114" s="363">
        <v>20000</v>
      </c>
      <c r="R114" s="363">
        <v>7000</v>
      </c>
      <c r="S114" s="364">
        <v>8000</v>
      </c>
      <c r="T114" s="345"/>
      <c r="U114" s="360">
        <v>10</v>
      </c>
      <c r="V114" s="363">
        <v>5000</v>
      </c>
      <c r="W114" s="363">
        <v>12000</v>
      </c>
      <c r="X114" s="363">
        <v>20000</v>
      </c>
      <c r="Y114" s="363">
        <v>7000</v>
      </c>
      <c r="Z114" s="364">
        <v>8000</v>
      </c>
    </row>
    <row r="115" spans="1:26" ht="13" x14ac:dyDescent="0.3">
      <c r="A115" s="345"/>
      <c r="B115" s="345"/>
      <c r="C115" s="345"/>
      <c r="D115" s="345"/>
      <c r="E115" s="345"/>
      <c r="F115" s="345"/>
      <c r="G115" s="374" t="s">
        <v>168</v>
      </c>
      <c r="H115" s="377">
        <f t="shared" ref="H115:L115" si="61">NPV($B$9,H105:H112)+H104</f>
        <v>-814.20098403444354</v>
      </c>
      <c r="I115" s="375">
        <f t="shared" si="61"/>
        <v>11045.917638317333</v>
      </c>
      <c r="J115" s="375">
        <f t="shared" si="61"/>
        <v>16743.196063862226</v>
      </c>
      <c r="K115" s="375">
        <f t="shared" si="61"/>
        <v>11860.11862235178</v>
      </c>
      <c r="L115" s="376">
        <f t="shared" si="61"/>
        <v>5697.2784255448896</v>
      </c>
      <c r="M115" s="345"/>
      <c r="N115" s="372"/>
      <c r="O115" s="384"/>
      <c r="P115" s="384"/>
      <c r="Q115" s="384"/>
      <c r="R115" s="384"/>
      <c r="S115" s="385"/>
      <c r="T115" s="345"/>
      <c r="U115" s="360">
        <v>11</v>
      </c>
      <c r="V115" s="363">
        <v>5000</v>
      </c>
      <c r="W115" s="363">
        <v>12000</v>
      </c>
      <c r="X115" s="363">
        <v>20000</v>
      </c>
      <c r="Y115" s="363">
        <v>7000</v>
      </c>
      <c r="Z115" s="364">
        <v>8000</v>
      </c>
    </row>
    <row r="116" spans="1:26" ht="13" x14ac:dyDescent="0.3">
      <c r="A116" s="345"/>
      <c r="B116" s="345"/>
      <c r="C116" s="345"/>
      <c r="D116" s="345"/>
      <c r="E116" s="345"/>
      <c r="F116" s="345"/>
      <c r="G116" s="374" t="s">
        <v>96</v>
      </c>
      <c r="H116" s="378">
        <f t="shared" ref="H116:L116" si="62">IRR(H104:H112)</f>
        <v>0.18623711889130612</v>
      </c>
      <c r="I116" s="378">
        <f t="shared" si="62"/>
        <v>0.30111332007199731</v>
      </c>
      <c r="J116" s="378">
        <f t="shared" si="62"/>
        <v>0.28981676986854277</v>
      </c>
      <c r="K116" s="378">
        <f t="shared" si="62"/>
        <v>0.44165677818588178</v>
      </c>
      <c r="L116" s="379">
        <f t="shared" si="62"/>
        <v>0.27384522015020485</v>
      </c>
      <c r="M116" s="345"/>
      <c r="N116" s="374" t="s">
        <v>167</v>
      </c>
      <c r="O116" s="375">
        <f t="shared" ref="O116:S116" si="63">NPV($B$8,O105:O114)+O104</f>
        <v>5093.8431292711502</v>
      </c>
      <c r="P116" s="375">
        <f t="shared" si="63"/>
        <v>25225.223510250762</v>
      </c>
      <c r="Q116" s="375">
        <f t="shared" si="63"/>
        <v>40375.372517084601</v>
      </c>
      <c r="R116" s="375">
        <f t="shared" si="63"/>
        <v>20131.380380979623</v>
      </c>
      <c r="S116" s="376">
        <f t="shared" si="63"/>
        <v>15150.149006833846</v>
      </c>
      <c r="T116" s="345"/>
      <c r="U116" s="360">
        <v>12</v>
      </c>
      <c r="V116" s="363">
        <v>5000</v>
      </c>
      <c r="W116" s="363">
        <v>12000</v>
      </c>
      <c r="X116" s="363">
        <v>20000</v>
      </c>
      <c r="Y116" s="363">
        <v>7000</v>
      </c>
      <c r="Z116" s="364">
        <v>8000</v>
      </c>
    </row>
    <row r="117" spans="1:26" ht="13" x14ac:dyDescent="0.3">
      <c r="A117" s="345"/>
      <c r="B117" s="345"/>
      <c r="C117" s="345"/>
      <c r="D117" s="345"/>
      <c r="E117" s="345"/>
      <c r="F117" s="345"/>
      <c r="G117" s="374" t="s">
        <v>169</v>
      </c>
      <c r="H117" s="378">
        <f t="shared" ref="H117:L117" si="64">MIRR(H104:H112,$B$8,$B$8)</f>
        <v>0.16664504223986976</v>
      </c>
      <c r="I117" s="378">
        <f t="shared" si="64"/>
        <v>0.21362744473066209</v>
      </c>
      <c r="J117" s="378">
        <f t="shared" si="64"/>
        <v>0.20936134170181631</v>
      </c>
      <c r="K117" s="378">
        <f t="shared" si="64"/>
        <v>0.26131071851697119</v>
      </c>
      <c r="L117" s="379">
        <f t="shared" si="64"/>
        <v>0.20320599190340838</v>
      </c>
      <c r="M117" s="345"/>
      <c r="N117" s="374" t="s">
        <v>168</v>
      </c>
      <c r="O117" s="375">
        <f t="shared" ref="O117:S117" si="65">NPV($B$9,O105:O114)+O104</f>
        <v>962.36042775386159</v>
      </c>
      <c r="P117" s="375">
        <f t="shared" si="65"/>
        <v>15309.665026609262</v>
      </c>
      <c r="Q117" s="375">
        <f t="shared" si="65"/>
        <v>23849.441711015446</v>
      </c>
      <c r="R117" s="375">
        <f t="shared" si="65"/>
        <v>14347.304598855404</v>
      </c>
      <c r="S117" s="376">
        <f t="shared" si="65"/>
        <v>8539.7766844061698</v>
      </c>
      <c r="T117" s="345"/>
      <c r="U117" s="360">
        <v>13</v>
      </c>
      <c r="V117" s="363">
        <v>5000</v>
      </c>
      <c r="W117" s="363">
        <v>12000</v>
      </c>
      <c r="X117" s="363">
        <v>20000</v>
      </c>
      <c r="Y117" s="363">
        <v>7000</v>
      </c>
      <c r="Z117" s="364">
        <v>8000</v>
      </c>
    </row>
    <row r="118" spans="1:26" ht="13" x14ac:dyDescent="0.3">
      <c r="A118" s="345"/>
      <c r="B118" s="345"/>
      <c r="C118" s="345"/>
      <c r="D118" s="345"/>
      <c r="E118" s="345"/>
      <c r="F118" s="345"/>
      <c r="G118" s="380" t="s">
        <v>170</v>
      </c>
      <c r="H118" s="381">
        <f t="shared" ref="H118:L118" si="66">MIRR(H104:H112,$B$9,$B$9)</f>
        <v>0.19378188087424575</v>
      </c>
      <c r="I118" s="381">
        <f t="shared" si="66"/>
        <v>0.24185712122821545</v>
      </c>
      <c r="J118" s="381">
        <f t="shared" si="66"/>
        <v>0.2374917861748036</v>
      </c>
      <c r="K118" s="381">
        <f t="shared" si="66"/>
        <v>0.29064953554951845</v>
      </c>
      <c r="L118" s="369">
        <f t="shared" si="66"/>
        <v>0.23119325937896296</v>
      </c>
      <c r="M118" s="345"/>
      <c r="N118" s="374" t="s">
        <v>96</v>
      </c>
      <c r="O118" s="378">
        <f t="shared" ref="O118:S118" si="67">IRR(O104:O114)</f>
        <v>0.21406465112703454</v>
      </c>
      <c r="P118" s="378">
        <f t="shared" si="67"/>
        <v>0.321796753664221</v>
      </c>
      <c r="Q118" s="378">
        <f t="shared" si="67"/>
        <v>0.31112981410738882</v>
      </c>
      <c r="R118" s="378">
        <f t="shared" si="67"/>
        <v>0.45574867533837149</v>
      </c>
      <c r="S118" s="379">
        <f t="shared" si="67"/>
        <v>0.29607522322144297</v>
      </c>
      <c r="T118" s="345"/>
      <c r="U118" s="360">
        <v>14</v>
      </c>
      <c r="V118" s="363">
        <v>5000</v>
      </c>
      <c r="W118" s="363">
        <v>12000</v>
      </c>
      <c r="X118" s="363">
        <v>20000</v>
      </c>
      <c r="Y118" s="363">
        <v>7000</v>
      </c>
      <c r="Z118" s="364">
        <v>8000</v>
      </c>
    </row>
    <row r="119" spans="1:26" ht="13" x14ac:dyDescent="0.3">
      <c r="A119" s="345"/>
      <c r="B119" s="345"/>
      <c r="C119" s="345"/>
      <c r="D119" s="345"/>
      <c r="E119" s="345"/>
      <c r="F119" s="345"/>
      <c r="G119" s="345"/>
      <c r="H119" s="345"/>
      <c r="I119" s="345"/>
      <c r="J119" s="345"/>
      <c r="K119" s="345"/>
      <c r="L119" s="345"/>
      <c r="M119" s="345"/>
      <c r="N119" s="374" t="s">
        <v>169</v>
      </c>
      <c r="O119" s="378">
        <f t="shared" ref="O119:S119" si="68">MIRR(O104:O114,$B$8,$B$8)</f>
        <v>0.17639063537734656</v>
      </c>
      <c r="P119" s="378">
        <f t="shared" si="68"/>
        <v>0.21414030955790864</v>
      </c>
      <c r="Q119" s="378">
        <f t="shared" si="68"/>
        <v>0.21072478300753028</v>
      </c>
      <c r="R119" s="378">
        <f t="shared" si="68"/>
        <v>0.25215541475690828</v>
      </c>
      <c r="S119" s="379">
        <f t="shared" si="68"/>
        <v>0.20579243722094387</v>
      </c>
      <c r="T119" s="345"/>
      <c r="U119" s="360">
        <v>15</v>
      </c>
      <c r="V119" s="363">
        <v>5000</v>
      </c>
      <c r="W119" s="363">
        <v>12000</v>
      </c>
      <c r="X119" s="363">
        <v>20000</v>
      </c>
      <c r="Y119" s="363">
        <v>7000</v>
      </c>
      <c r="Z119" s="364">
        <v>8000</v>
      </c>
    </row>
    <row r="120" spans="1:26" ht="13" x14ac:dyDescent="0.3">
      <c r="A120" s="345"/>
      <c r="B120" s="345"/>
      <c r="C120" s="345"/>
      <c r="D120" s="345"/>
      <c r="E120" s="345"/>
      <c r="F120" s="345"/>
      <c r="G120" s="345"/>
      <c r="H120" s="345"/>
      <c r="I120" s="345"/>
      <c r="J120" s="345"/>
      <c r="K120" s="345"/>
      <c r="L120" s="345"/>
      <c r="M120" s="345"/>
      <c r="N120" s="380" t="s">
        <v>170</v>
      </c>
      <c r="O120" s="381">
        <f t="shared" ref="O120:S120" si="69">MIRR(O104:O114,$B$9,$B$9)</f>
        <v>0.20565281608458963</v>
      </c>
      <c r="P120" s="381">
        <f t="shared" si="69"/>
        <v>0.24434149619931311</v>
      </c>
      <c r="Q120" s="381">
        <f t="shared" si="69"/>
        <v>0.24084100998322344</v>
      </c>
      <c r="R120" s="381">
        <f t="shared" si="69"/>
        <v>0.28330220980804066</v>
      </c>
      <c r="S120" s="369">
        <f t="shared" si="69"/>
        <v>0.23578597434398318</v>
      </c>
      <c r="T120" s="345"/>
      <c r="U120" s="372"/>
      <c r="V120" s="384"/>
      <c r="W120" s="384"/>
      <c r="X120" s="384"/>
      <c r="Y120" s="384"/>
      <c r="Z120" s="385"/>
    </row>
    <row r="121" spans="1:26" ht="13" x14ac:dyDescent="0.3">
      <c r="A121" s="345"/>
      <c r="B121" s="345"/>
      <c r="C121" s="345"/>
      <c r="D121" s="345"/>
      <c r="E121" s="345"/>
      <c r="F121" s="345"/>
      <c r="G121" s="345"/>
      <c r="H121" s="345"/>
      <c r="I121" s="345"/>
      <c r="J121" s="345"/>
      <c r="K121" s="345"/>
      <c r="L121" s="345"/>
      <c r="M121" s="345"/>
      <c r="N121" s="345"/>
      <c r="O121" s="345"/>
      <c r="P121" s="345"/>
      <c r="Q121" s="345"/>
      <c r="R121" s="345"/>
      <c r="S121" s="345"/>
      <c r="T121" s="345"/>
      <c r="U121" s="374" t="s">
        <v>167</v>
      </c>
      <c r="V121" s="375">
        <f t="shared" ref="V121:Z121" si="70">NPV($B$8,V105:V119)+V104</f>
        <v>9236.8504931554635</v>
      </c>
      <c r="W121" s="375">
        <f t="shared" si="70"/>
        <v>35168.441183573115</v>
      </c>
      <c r="X121" s="375">
        <f t="shared" si="70"/>
        <v>56947.401972621854</v>
      </c>
      <c r="Y121" s="375">
        <f t="shared" si="70"/>
        <v>25931.590690417659</v>
      </c>
      <c r="Z121" s="376">
        <f t="shared" si="70"/>
        <v>21778.960789048746</v>
      </c>
    </row>
    <row r="122" spans="1:26" ht="13" x14ac:dyDescent="0.3">
      <c r="A122" s="345"/>
      <c r="B122" s="345"/>
      <c r="C122" s="345"/>
      <c r="D122" s="345"/>
      <c r="E122" s="345"/>
      <c r="F122" s="345"/>
      <c r="G122" s="345"/>
      <c r="H122" s="345"/>
      <c r="I122" s="345"/>
      <c r="J122" s="345"/>
      <c r="K122" s="345"/>
      <c r="L122" s="345"/>
      <c r="M122" s="345"/>
      <c r="N122" s="345"/>
      <c r="O122" s="345"/>
      <c r="P122" s="345"/>
      <c r="Q122" s="345"/>
      <c r="R122" s="345"/>
      <c r="S122" s="345"/>
      <c r="T122" s="345"/>
      <c r="U122" s="374" t="s">
        <v>168</v>
      </c>
      <c r="V122" s="375">
        <f t="shared" ref="V122:Z122" si="71">NPV($B$9,V105:V119)+V104</f>
        <v>3377.3632120281472</v>
      </c>
      <c r="W122" s="375">
        <f t="shared" si="71"/>
        <v>21105.67170886755</v>
      </c>
      <c r="X122" s="375">
        <f t="shared" si="71"/>
        <v>33509.452848112589</v>
      </c>
      <c r="Y122" s="375">
        <f t="shared" si="71"/>
        <v>17728.308496839396</v>
      </c>
      <c r="Z122" s="376">
        <f t="shared" si="71"/>
        <v>12403.781139245031</v>
      </c>
    </row>
    <row r="123" spans="1:26" ht="13" x14ac:dyDescent="0.3">
      <c r="A123" s="345"/>
      <c r="B123" s="345"/>
      <c r="C123" s="345"/>
      <c r="D123" s="345"/>
      <c r="E123" s="345"/>
      <c r="F123" s="345"/>
      <c r="G123" s="345"/>
      <c r="H123" s="345"/>
      <c r="I123" s="345"/>
      <c r="J123" s="345"/>
      <c r="K123" s="345"/>
      <c r="L123" s="345"/>
      <c r="M123" s="345"/>
      <c r="N123" s="345"/>
      <c r="O123" s="345"/>
      <c r="P123" s="345"/>
      <c r="Q123" s="345"/>
      <c r="R123" s="345"/>
      <c r="S123" s="345"/>
      <c r="T123" s="345"/>
      <c r="U123" s="374" t="s">
        <v>96</v>
      </c>
      <c r="V123" s="378">
        <f t="shared" ref="V123:Z123" si="72">IRR(V104:V119)</f>
        <v>0.24008822973726485</v>
      </c>
      <c r="W123" s="378">
        <f t="shared" si="72"/>
        <v>0.33853533350867515</v>
      </c>
      <c r="X123" s="378">
        <f t="shared" si="72"/>
        <v>0.32863671802126482</v>
      </c>
      <c r="Y123" s="378">
        <f t="shared" si="72"/>
        <v>0.4651504068321024</v>
      </c>
      <c r="Z123" s="379">
        <f t="shared" si="72"/>
        <v>0.31471977991961753</v>
      </c>
    </row>
    <row r="124" spans="1:26" ht="13" x14ac:dyDescent="0.3">
      <c r="A124" s="345"/>
      <c r="B124" s="345"/>
      <c r="C124" s="345"/>
      <c r="D124" s="345"/>
      <c r="E124" s="345"/>
      <c r="F124" s="345"/>
      <c r="G124" s="345"/>
      <c r="H124" s="345"/>
      <c r="I124" s="345"/>
      <c r="J124" s="345"/>
      <c r="K124" s="345"/>
      <c r="L124" s="345"/>
      <c r="M124" s="345"/>
      <c r="N124" s="345"/>
      <c r="O124" s="345"/>
      <c r="P124" s="345"/>
      <c r="Q124" s="345"/>
      <c r="R124" s="345"/>
      <c r="S124" s="345"/>
      <c r="T124" s="345"/>
      <c r="U124" s="374" t="s">
        <v>169</v>
      </c>
      <c r="V124" s="378">
        <f t="shared" ref="V124:Z124" si="73">MIRR(V104:V119,$B$8,$B$8)</f>
        <v>0.17948171638960164</v>
      </c>
      <c r="W124" s="378">
        <f t="shared" si="73"/>
        <v>0.20458123279038021</v>
      </c>
      <c r="X124" s="378">
        <f t="shared" si="73"/>
        <v>0.20232108182216901</v>
      </c>
      <c r="Y124" s="378">
        <f t="shared" si="73"/>
        <v>0.22959568733479196</v>
      </c>
      <c r="Z124" s="379">
        <f t="shared" si="73"/>
        <v>0.19905345390099716</v>
      </c>
    </row>
    <row r="125" spans="1:26" ht="13" x14ac:dyDescent="0.3">
      <c r="A125" s="345"/>
      <c r="B125" s="345"/>
      <c r="C125" s="345"/>
      <c r="D125" s="345"/>
      <c r="E125" s="345"/>
      <c r="F125" s="345"/>
      <c r="G125" s="345"/>
      <c r="H125" s="345"/>
      <c r="I125" s="345"/>
      <c r="J125" s="345"/>
      <c r="K125" s="345"/>
      <c r="L125" s="345"/>
      <c r="M125" s="345"/>
      <c r="N125" s="345"/>
      <c r="O125" s="345"/>
      <c r="P125" s="345"/>
      <c r="Q125" s="345"/>
      <c r="R125" s="345"/>
      <c r="S125" s="345"/>
      <c r="T125" s="345"/>
      <c r="U125" s="380" t="s">
        <v>170</v>
      </c>
      <c r="V125" s="381">
        <f t="shared" ref="V125:Z125" si="74">MIRR(V104:V119,$B$9,$B$9)</f>
        <v>0.21254802330336764</v>
      </c>
      <c r="W125" s="381">
        <f t="shared" si="74"/>
        <v>0.23835119479363387</v>
      </c>
      <c r="X125" s="381">
        <f t="shared" si="74"/>
        <v>0.23602768138025043</v>
      </c>
      <c r="Y125" s="381">
        <f t="shared" si="74"/>
        <v>0.26406691975178109</v>
      </c>
      <c r="Z125" s="369">
        <f t="shared" si="74"/>
        <v>0.2326684467930149</v>
      </c>
    </row>
    <row r="127" spans="1:26" ht="12.5" x14ac:dyDescent="0.25">
      <c r="A127" s="387"/>
      <c r="B127" s="387"/>
      <c r="C127" s="387"/>
      <c r="D127" s="387"/>
      <c r="E127" s="387"/>
      <c r="F127" s="387"/>
      <c r="G127" s="387"/>
      <c r="H127" s="387"/>
      <c r="I127" s="387"/>
      <c r="J127" s="387"/>
      <c r="K127" s="387"/>
      <c r="L127" s="387"/>
      <c r="M127" s="387"/>
      <c r="N127" s="387"/>
      <c r="O127" s="387"/>
      <c r="P127" s="387"/>
      <c r="Q127" s="387"/>
      <c r="R127" s="387"/>
      <c r="S127" s="387"/>
      <c r="T127" s="387"/>
      <c r="U127" s="387"/>
      <c r="V127" s="387"/>
      <c r="W127" s="387"/>
      <c r="X127" s="387"/>
      <c r="Y127" s="387"/>
      <c r="Z127" s="387"/>
    </row>
    <row r="129" spans="1:13" ht="23" x14ac:dyDescent="0.5">
      <c r="A129" s="388"/>
      <c r="G129" s="507" t="s">
        <v>181</v>
      </c>
      <c r="H129" s="466"/>
      <c r="I129" s="466"/>
      <c r="J129" s="466"/>
      <c r="K129" s="466"/>
      <c r="L129" s="466"/>
      <c r="M129" s="466"/>
    </row>
    <row r="131" spans="1:13" ht="14" x14ac:dyDescent="0.3">
      <c r="A131" s="389"/>
    </row>
    <row r="169" spans="1:13" ht="13" x14ac:dyDescent="0.3">
      <c r="B169" s="66"/>
    </row>
    <row r="174" spans="1:13" ht="23" x14ac:dyDescent="0.5">
      <c r="A174" s="388"/>
      <c r="G174" s="507" t="s">
        <v>182</v>
      </c>
      <c r="H174" s="466"/>
      <c r="I174" s="466"/>
      <c r="J174" s="466"/>
      <c r="K174" s="466"/>
      <c r="L174" s="466"/>
      <c r="M174" s="466"/>
    </row>
    <row r="198" spans="3:3" ht="13" x14ac:dyDescent="0.3">
      <c r="C198" s="66"/>
    </row>
    <row r="221" spans="7:13" ht="23" x14ac:dyDescent="0.5">
      <c r="G221" s="507" t="s">
        <v>183</v>
      </c>
      <c r="H221" s="466"/>
      <c r="I221" s="466"/>
      <c r="J221" s="466"/>
      <c r="K221" s="466"/>
      <c r="L221" s="466"/>
      <c r="M221" s="466"/>
    </row>
  </sheetData>
  <mergeCells count="27">
    <mergeCell ref="G2:L2"/>
    <mergeCell ref="N2:S2"/>
    <mergeCell ref="U2:Z2"/>
    <mergeCell ref="A11:A14"/>
    <mergeCell ref="G13:L13"/>
    <mergeCell ref="N15:S15"/>
    <mergeCell ref="U20:Z20"/>
    <mergeCell ref="G27:L27"/>
    <mergeCell ref="N27:S27"/>
    <mergeCell ref="U27:Z27"/>
    <mergeCell ref="G38:L38"/>
    <mergeCell ref="N40:S40"/>
    <mergeCell ref="N52:S52"/>
    <mergeCell ref="U52:Z52"/>
    <mergeCell ref="G102:L102"/>
    <mergeCell ref="N102:S102"/>
    <mergeCell ref="U102:Z102"/>
    <mergeCell ref="N65:S65"/>
    <mergeCell ref="U70:Z70"/>
    <mergeCell ref="N77:S77"/>
    <mergeCell ref="U77:Z77"/>
    <mergeCell ref="G129:M129"/>
    <mergeCell ref="G174:M174"/>
    <mergeCell ref="G221:M221"/>
    <mergeCell ref="G52:L52"/>
    <mergeCell ref="G63:L63"/>
    <mergeCell ref="G77:L7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V220"/>
  <sheetViews>
    <sheetView workbookViewId="0"/>
  </sheetViews>
  <sheetFormatPr defaultColWidth="12.6328125" defaultRowHeight="15.75" customHeight="1" x14ac:dyDescent="0.25"/>
  <cols>
    <col min="1" max="1" width="19.81640625" customWidth="1"/>
    <col min="2" max="2" width="16.1796875" customWidth="1"/>
    <col min="3" max="3" width="15" customWidth="1"/>
    <col min="4" max="4" width="21.1796875" customWidth="1"/>
    <col min="10" max="10" width="19.36328125" customWidth="1"/>
    <col min="16" max="16" width="19.6328125" customWidth="1"/>
  </cols>
  <sheetData>
    <row r="1" spans="1:5" ht="15.75" customHeight="1" x14ac:dyDescent="0.25">
      <c r="A1" s="390"/>
      <c r="B1" s="390" t="s">
        <v>22</v>
      </c>
      <c r="C1" s="390" t="s">
        <v>23</v>
      </c>
      <c r="E1" s="78" t="s">
        <v>184</v>
      </c>
    </row>
    <row r="2" spans="1:5" ht="15.75" customHeight="1" x14ac:dyDescent="0.25">
      <c r="A2" s="391" t="s">
        <v>5</v>
      </c>
      <c r="B2" s="151">
        <v>15000</v>
      </c>
      <c r="C2" s="392">
        <v>25000</v>
      </c>
    </row>
    <row r="3" spans="1:5" ht="15.75" customHeight="1" x14ac:dyDescent="0.25">
      <c r="A3" s="391" t="s">
        <v>77</v>
      </c>
      <c r="B3" s="151">
        <v>4000</v>
      </c>
      <c r="C3" s="392">
        <v>7000</v>
      </c>
      <c r="E3" s="78" t="s">
        <v>185</v>
      </c>
    </row>
    <row r="4" spans="1:5" ht="15.75" customHeight="1" x14ac:dyDescent="0.25">
      <c r="A4" s="391" t="s">
        <v>78</v>
      </c>
      <c r="B4" s="393">
        <v>1</v>
      </c>
      <c r="C4" s="394">
        <v>1</v>
      </c>
    </row>
    <row r="5" spans="1:5" ht="15.75" customHeight="1" x14ac:dyDescent="0.25">
      <c r="A5" s="391" t="s">
        <v>79</v>
      </c>
      <c r="B5" s="151">
        <v>4000</v>
      </c>
      <c r="C5" s="392">
        <v>7000</v>
      </c>
      <c r="E5" s="78" t="s">
        <v>186</v>
      </c>
    </row>
    <row r="6" spans="1:5" ht="15.75" customHeight="1" x14ac:dyDescent="0.25">
      <c r="A6" s="391" t="s">
        <v>7</v>
      </c>
      <c r="B6" s="78">
        <v>9</v>
      </c>
      <c r="C6" s="260">
        <v>10</v>
      </c>
    </row>
    <row r="7" spans="1:5" ht="15.75" customHeight="1" x14ac:dyDescent="0.25">
      <c r="A7" s="391" t="s">
        <v>187</v>
      </c>
      <c r="B7" s="78">
        <v>0</v>
      </c>
      <c r="C7" s="260">
        <v>0</v>
      </c>
      <c r="E7" s="78" t="s">
        <v>188</v>
      </c>
    </row>
    <row r="8" spans="1:5" ht="15.75" customHeight="1" x14ac:dyDescent="0.25">
      <c r="A8" s="391" t="s">
        <v>189</v>
      </c>
      <c r="B8" s="393">
        <v>1</v>
      </c>
      <c r="C8" s="394">
        <v>1</v>
      </c>
    </row>
    <row r="9" spans="1:5" ht="15.75" customHeight="1" x14ac:dyDescent="0.25">
      <c r="A9" s="395" t="s">
        <v>82</v>
      </c>
      <c r="B9" s="396">
        <v>0</v>
      </c>
      <c r="C9" s="397">
        <v>0</v>
      </c>
      <c r="E9" s="78" t="s">
        <v>190</v>
      </c>
    </row>
    <row r="10" spans="1:5" ht="15.75" customHeight="1" x14ac:dyDescent="0.25">
      <c r="E10" s="78" t="s">
        <v>191</v>
      </c>
    </row>
    <row r="11" spans="1:5" ht="15.75" customHeight="1" x14ac:dyDescent="0.25">
      <c r="A11" s="398" t="s">
        <v>24</v>
      </c>
      <c r="B11" s="399">
        <v>0.15</v>
      </c>
    </row>
    <row r="12" spans="1:5" ht="15.75" customHeight="1" x14ac:dyDescent="0.25">
      <c r="A12" s="400" t="s">
        <v>192</v>
      </c>
      <c r="B12" s="401">
        <v>0.2</v>
      </c>
    </row>
    <row r="17" spans="4:19" ht="15.75" customHeight="1" x14ac:dyDescent="0.25">
      <c r="D17" s="402" t="s">
        <v>193</v>
      </c>
      <c r="J17" s="402" t="s">
        <v>194</v>
      </c>
      <c r="P17" s="402" t="s">
        <v>147</v>
      </c>
    </row>
    <row r="18" spans="4:19" ht="15.75" customHeight="1" x14ac:dyDescent="0.25">
      <c r="D18" s="403" t="s">
        <v>51</v>
      </c>
      <c r="E18" s="404" t="s">
        <v>22</v>
      </c>
      <c r="F18" s="404" t="s">
        <v>22</v>
      </c>
      <c r="G18" s="405" t="s">
        <v>22</v>
      </c>
      <c r="J18" s="403" t="s">
        <v>51</v>
      </c>
      <c r="K18" s="404" t="s">
        <v>22</v>
      </c>
      <c r="L18" s="404" t="s">
        <v>22</v>
      </c>
      <c r="M18" s="405" t="s">
        <v>22</v>
      </c>
      <c r="P18" s="403" t="s">
        <v>51</v>
      </c>
      <c r="Q18" s="404" t="s">
        <v>22</v>
      </c>
      <c r="R18" s="404" t="s">
        <v>22</v>
      </c>
      <c r="S18" s="405" t="s">
        <v>22</v>
      </c>
    </row>
    <row r="19" spans="4:19" ht="15.75" customHeight="1" x14ac:dyDescent="0.25">
      <c r="D19" s="406">
        <v>0</v>
      </c>
      <c r="E19" s="407">
        <v>-15000</v>
      </c>
      <c r="F19" s="407">
        <v>-15000</v>
      </c>
      <c r="G19" s="408">
        <v>-15000</v>
      </c>
      <c r="J19" s="406">
        <v>0</v>
      </c>
      <c r="K19" s="407">
        <v>-15000</v>
      </c>
      <c r="L19" s="407">
        <v>-15000</v>
      </c>
      <c r="M19" s="408">
        <v>-15000</v>
      </c>
      <c r="P19" s="406">
        <v>0</v>
      </c>
      <c r="Q19" s="407">
        <v>-15000</v>
      </c>
      <c r="R19" s="407">
        <v>-15000</v>
      </c>
      <c r="S19" s="408">
        <v>-15000</v>
      </c>
    </row>
    <row r="20" spans="4:19" ht="15.75" customHeight="1" x14ac:dyDescent="0.25">
      <c r="D20" s="406">
        <v>1</v>
      </c>
      <c r="E20" s="409">
        <v>3500</v>
      </c>
      <c r="F20" s="409">
        <v>4000</v>
      </c>
      <c r="G20" s="410">
        <v>4500</v>
      </c>
      <c r="J20" s="406">
        <v>1</v>
      </c>
      <c r="K20" s="409">
        <v>3500</v>
      </c>
      <c r="L20" s="409">
        <v>4000</v>
      </c>
      <c r="M20" s="410">
        <v>4500</v>
      </c>
      <c r="P20" s="406">
        <v>1</v>
      </c>
      <c r="Q20" s="409">
        <v>3500</v>
      </c>
      <c r="R20" s="409">
        <v>4000</v>
      </c>
      <c r="S20" s="410">
        <v>4500</v>
      </c>
    </row>
    <row r="21" spans="4:19" ht="15.75" customHeight="1" x14ac:dyDescent="0.25">
      <c r="D21" s="406">
        <v>2</v>
      </c>
      <c r="E21" s="409">
        <v>3500</v>
      </c>
      <c r="F21" s="409">
        <v>4000</v>
      </c>
      <c r="G21" s="410">
        <v>4500</v>
      </c>
      <c r="J21" s="406">
        <v>2</v>
      </c>
      <c r="K21" s="409">
        <v>3500</v>
      </c>
      <c r="L21" s="409">
        <v>4000</v>
      </c>
      <c r="M21" s="410">
        <v>4500</v>
      </c>
      <c r="P21" s="406">
        <v>2</v>
      </c>
      <c r="Q21" s="409">
        <v>3500</v>
      </c>
      <c r="R21" s="409">
        <v>4000</v>
      </c>
      <c r="S21" s="410">
        <v>4500</v>
      </c>
    </row>
    <row r="22" spans="4:19" ht="15.75" customHeight="1" x14ac:dyDescent="0.25">
      <c r="D22" s="406">
        <v>3</v>
      </c>
      <c r="E22" s="409">
        <v>3500</v>
      </c>
      <c r="F22" s="409">
        <v>4000</v>
      </c>
      <c r="G22" s="410">
        <v>4500</v>
      </c>
      <c r="J22" s="406">
        <v>3</v>
      </c>
      <c r="K22" s="409">
        <v>3500</v>
      </c>
      <c r="L22" s="409">
        <v>4000</v>
      </c>
      <c r="M22" s="410">
        <v>4500</v>
      </c>
      <c r="P22" s="406">
        <v>3</v>
      </c>
      <c r="Q22" s="409">
        <v>3500</v>
      </c>
      <c r="R22" s="409">
        <v>4000</v>
      </c>
      <c r="S22" s="410">
        <v>4500</v>
      </c>
    </row>
    <row r="23" spans="4:19" ht="15.75" customHeight="1" x14ac:dyDescent="0.25">
      <c r="D23" s="406">
        <v>4</v>
      </c>
      <c r="E23" s="409">
        <v>3500</v>
      </c>
      <c r="F23" s="409">
        <v>4000</v>
      </c>
      <c r="G23" s="410">
        <v>4500</v>
      </c>
      <c r="J23" s="406">
        <v>4</v>
      </c>
      <c r="K23" s="409">
        <v>3500</v>
      </c>
      <c r="L23" s="409">
        <v>4000</v>
      </c>
      <c r="M23" s="410">
        <v>4500</v>
      </c>
      <c r="P23" s="406">
        <v>4</v>
      </c>
      <c r="Q23" s="409">
        <v>3500</v>
      </c>
      <c r="R23" s="409">
        <v>4000</v>
      </c>
      <c r="S23" s="410">
        <v>4500</v>
      </c>
    </row>
    <row r="24" spans="4:19" ht="15.75" customHeight="1" x14ac:dyDescent="0.25">
      <c r="D24" s="406">
        <v>5</v>
      </c>
      <c r="E24" s="409">
        <v>3500</v>
      </c>
      <c r="F24" s="409">
        <v>4000</v>
      </c>
      <c r="G24" s="410">
        <v>4500</v>
      </c>
      <c r="J24" s="406">
        <v>5</v>
      </c>
      <c r="K24" s="409">
        <v>3500</v>
      </c>
      <c r="L24" s="409">
        <v>4000</v>
      </c>
      <c r="M24" s="410">
        <v>4500</v>
      </c>
      <c r="P24" s="406">
        <v>5</v>
      </c>
      <c r="Q24" s="409">
        <v>3500</v>
      </c>
      <c r="R24" s="409">
        <v>4000</v>
      </c>
      <c r="S24" s="410">
        <v>4500</v>
      </c>
    </row>
    <row r="25" spans="4:19" ht="15.75" customHeight="1" x14ac:dyDescent="0.25">
      <c r="D25" s="406">
        <v>6</v>
      </c>
      <c r="E25" s="409">
        <v>3500</v>
      </c>
      <c r="F25" s="409">
        <v>4000</v>
      </c>
      <c r="G25" s="410">
        <v>4500</v>
      </c>
      <c r="J25" s="406">
        <v>6</v>
      </c>
      <c r="K25" s="409">
        <v>3500</v>
      </c>
      <c r="L25" s="409">
        <v>4000</v>
      </c>
      <c r="M25" s="410">
        <v>4500</v>
      </c>
      <c r="P25" s="406">
        <v>6</v>
      </c>
      <c r="Q25" s="409">
        <v>3500</v>
      </c>
      <c r="R25" s="409">
        <v>4000</v>
      </c>
      <c r="S25" s="410">
        <v>4500</v>
      </c>
    </row>
    <row r="26" spans="4:19" ht="15.75" customHeight="1" x14ac:dyDescent="0.25">
      <c r="D26" s="406">
        <v>7</v>
      </c>
      <c r="E26" s="409">
        <v>3500</v>
      </c>
      <c r="F26" s="409">
        <v>4000</v>
      </c>
      <c r="G26" s="410">
        <v>4500</v>
      </c>
      <c r="J26" s="406">
        <v>7</v>
      </c>
      <c r="K26" s="409">
        <v>3500</v>
      </c>
      <c r="L26" s="409">
        <v>4000</v>
      </c>
      <c r="M26" s="410">
        <v>4500</v>
      </c>
      <c r="P26" s="406">
        <v>7</v>
      </c>
      <c r="Q26" s="409">
        <v>3500</v>
      </c>
      <c r="R26" s="409">
        <v>4000</v>
      </c>
      <c r="S26" s="410">
        <v>4500</v>
      </c>
    </row>
    <row r="27" spans="4:19" ht="15.75" customHeight="1" x14ac:dyDescent="0.25">
      <c r="D27" s="411">
        <v>8</v>
      </c>
      <c r="E27" s="412">
        <v>3500</v>
      </c>
      <c r="F27" s="412">
        <v>4000</v>
      </c>
      <c r="G27" s="413">
        <v>4500</v>
      </c>
      <c r="J27" s="406">
        <v>8</v>
      </c>
      <c r="K27" s="409">
        <v>3500</v>
      </c>
      <c r="L27" s="409">
        <v>4000</v>
      </c>
      <c r="M27" s="410">
        <v>4500</v>
      </c>
      <c r="P27" s="406">
        <v>8</v>
      </c>
      <c r="Q27" s="409">
        <v>3500</v>
      </c>
      <c r="R27" s="409">
        <v>4000</v>
      </c>
      <c r="S27" s="410">
        <v>4500</v>
      </c>
    </row>
    <row r="28" spans="4:19" ht="15.75" customHeight="1" x14ac:dyDescent="0.25">
      <c r="D28" s="414"/>
      <c r="E28" s="415"/>
      <c r="F28" s="415"/>
      <c r="G28" s="416"/>
      <c r="J28" s="411">
        <v>9</v>
      </c>
      <c r="K28" s="412">
        <v>3500</v>
      </c>
      <c r="L28" s="412">
        <v>4000</v>
      </c>
      <c r="M28" s="413">
        <v>4500</v>
      </c>
      <c r="P28" s="406">
        <v>9</v>
      </c>
      <c r="Q28" s="409">
        <v>3500</v>
      </c>
      <c r="R28" s="409">
        <v>4000</v>
      </c>
      <c r="S28" s="410">
        <v>4500</v>
      </c>
    </row>
    <row r="29" spans="4:19" ht="15.75" customHeight="1" x14ac:dyDescent="0.25">
      <c r="D29" s="417" t="s">
        <v>195</v>
      </c>
      <c r="E29" s="418">
        <f>PMT($B$11,D27,-E19)+E27</f>
        <v>157.24865617789419</v>
      </c>
      <c r="F29" s="418">
        <f t="shared" ref="F29:G29" si="0">PMT($B$11,$D$27,-F19)+F27</f>
        <v>657.24865617789419</v>
      </c>
      <c r="G29" s="419">
        <f t="shared" si="0"/>
        <v>1157.2486561778942</v>
      </c>
      <c r="J29" s="240"/>
      <c r="M29" s="260"/>
      <c r="P29" s="406">
        <v>10</v>
      </c>
      <c r="Q29" s="409">
        <v>3500</v>
      </c>
      <c r="R29" s="409">
        <v>4000</v>
      </c>
      <c r="S29" s="410">
        <v>4500</v>
      </c>
    </row>
    <row r="30" spans="4:19" ht="15.75" customHeight="1" x14ac:dyDescent="0.25">
      <c r="D30" s="406" t="s">
        <v>196</v>
      </c>
      <c r="E30" s="407">
        <f t="shared" ref="E30:G30" si="1">PMT($B$12,$D$27,-E19)+E27</f>
        <v>-409.14133613035301</v>
      </c>
      <c r="F30" s="409">
        <f t="shared" si="1"/>
        <v>90.858663869646989</v>
      </c>
      <c r="G30" s="410">
        <f t="shared" si="1"/>
        <v>590.85866386964699</v>
      </c>
      <c r="J30" s="417" t="s">
        <v>195</v>
      </c>
      <c r="K30" s="420">
        <f t="shared" ref="K30:M30" si="2">PMT($B$11,$J$28,-K19)+K28</f>
        <v>356.38977489861554</v>
      </c>
      <c r="L30" s="420">
        <f t="shared" si="2"/>
        <v>856.38977489861554</v>
      </c>
      <c r="M30" s="421">
        <f t="shared" si="2"/>
        <v>1356.3897748986155</v>
      </c>
      <c r="P30" s="406">
        <v>11</v>
      </c>
      <c r="Q30" s="409">
        <v>3500</v>
      </c>
      <c r="R30" s="409">
        <v>4000</v>
      </c>
      <c r="S30" s="410">
        <v>4500</v>
      </c>
    </row>
    <row r="31" spans="4:19" ht="15.75" customHeight="1" x14ac:dyDescent="0.25">
      <c r="D31" s="406"/>
      <c r="E31" s="422"/>
      <c r="F31" s="423"/>
      <c r="G31" s="424"/>
      <c r="J31" s="406" t="s">
        <v>196</v>
      </c>
      <c r="K31" s="425">
        <f t="shared" ref="K31:M31" si="3">PMT($B$12,$J$28,-K19)+K28</f>
        <v>-221.1919250874912</v>
      </c>
      <c r="L31" s="426">
        <f t="shared" si="3"/>
        <v>278.8080749125088</v>
      </c>
      <c r="M31" s="427">
        <f t="shared" si="3"/>
        <v>778.8080749125088</v>
      </c>
      <c r="P31" s="411">
        <v>12</v>
      </c>
      <c r="Q31" s="412">
        <v>3500</v>
      </c>
      <c r="R31" s="412">
        <v>4000</v>
      </c>
      <c r="S31" s="413">
        <v>4500</v>
      </c>
    </row>
    <row r="32" spans="4:19" ht="15.75" customHeight="1" x14ac:dyDescent="0.25">
      <c r="D32" s="406" t="s">
        <v>197</v>
      </c>
      <c r="E32" s="422">
        <f t="shared" ref="E32:G32" si="4">FV($B$11,$D$27,-E27,-E19)</f>
        <v>2158.523854492174</v>
      </c>
      <c r="F32" s="422">
        <f t="shared" si="4"/>
        <v>9021.9333962890378</v>
      </c>
      <c r="G32" s="428">
        <f t="shared" si="4"/>
        <v>15885.342938085909</v>
      </c>
      <c r="J32" s="406"/>
      <c r="K32" s="429"/>
      <c r="L32" s="429"/>
      <c r="M32" s="430"/>
      <c r="P32" s="240"/>
      <c r="S32" s="260"/>
    </row>
    <row r="33" spans="4:19" ht="15.75" customHeight="1" x14ac:dyDescent="0.25">
      <c r="D33" s="431" t="s">
        <v>198</v>
      </c>
      <c r="E33" s="432">
        <f t="shared" ref="E33:G33" si="5">FV($B$12,$D$27,-E27,-E19)</f>
        <v>-6750.4576000000088</v>
      </c>
      <c r="F33" s="433">
        <f t="shared" si="5"/>
        <v>1499.0847999999824</v>
      </c>
      <c r="G33" s="434">
        <f t="shared" si="5"/>
        <v>9748.6271999999881</v>
      </c>
      <c r="J33" s="406" t="s">
        <v>197</v>
      </c>
      <c r="K33" s="426">
        <f t="shared" ref="K33:M33" si="6">FV($B$11,$J$28,-K28,-K19)</f>
        <v>5982.3024326659943</v>
      </c>
      <c r="L33" s="426">
        <f t="shared" si="6"/>
        <v>14375.223405732388</v>
      </c>
      <c r="M33" s="427">
        <f t="shared" si="6"/>
        <v>22768.144378798788</v>
      </c>
      <c r="P33" s="417" t="s">
        <v>195</v>
      </c>
      <c r="Q33" s="420">
        <f t="shared" ref="Q33:S33" si="7">PMT($B$11,$P$31,-Q19)+Q31</f>
        <v>732.78835803740731</v>
      </c>
      <c r="R33" s="420">
        <f t="shared" si="7"/>
        <v>1232.7883580374073</v>
      </c>
      <c r="S33" s="421">
        <f t="shared" si="7"/>
        <v>1732.7883580374073</v>
      </c>
    </row>
    <row r="34" spans="4:19" ht="15.75" customHeight="1" x14ac:dyDescent="0.25">
      <c r="E34" s="435"/>
      <c r="J34" s="431" t="s">
        <v>198</v>
      </c>
      <c r="K34" s="436">
        <f t="shared" ref="K34:M34" si="8">FV($B$12,$J$28,-K28,-K19)</f>
        <v>-4600.5491200000106</v>
      </c>
      <c r="L34" s="437">
        <f t="shared" si="8"/>
        <v>5798.9017599999934</v>
      </c>
      <c r="M34" s="438">
        <f t="shared" si="8"/>
        <v>16198.352639999983</v>
      </c>
      <c r="P34" s="406" t="s">
        <v>196</v>
      </c>
      <c r="Q34" s="426">
        <f t="shared" ref="Q34:S34" si="9">PMT($B$12,$P$31,-Q19)+Q31</f>
        <v>121.02552644327125</v>
      </c>
      <c r="R34" s="426">
        <f t="shared" si="9"/>
        <v>621.02552644327125</v>
      </c>
      <c r="S34" s="427">
        <f t="shared" si="9"/>
        <v>1121.0255264432712</v>
      </c>
    </row>
    <row r="35" spans="4:19" ht="15.75" customHeight="1" x14ac:dyDescent="0.25">
      <c r="E35" s="439"/>
      <c r="P35" s="406"/>
      <c r="Q35" s="429"/>
      <c r="R35" s="429"/>
      <c r="S35" s="430"/>
    </row>
    <row r="36" spans="4:19" ht="15.75" customHeight="1" x14ac:dyDescent="0.25">
      <c r="D36" s="402" t="s">
        <v>199</v>
      </c>
      <c r="E36" s="439"/>
      <c r="P36" s="406" t="s">
        <v>197</v>
      </c>
      <c r="Q36" s="426">
        <f t="shared" ref="Q36:S36" si="10">FV($B$11,$P$31,-Q31,-Q19)</f>
        <v>21252.084212280868</v>
      </c>
      <c r="R36" s="426">
        <f t="shared" si="10"/>
        <v>35752.917897193227</v>
      </c>
      <c r="S36" s="427">
        <f t="shared" si="10"/>
        <v>50253.751582105571</v>
      </c>
    </row>
    <row r="37" spans="4:19" ht="15.75" customHeight="1" x14ac:dyDescent="0.25">
      <c r="D37" s="403" t="s">
        <v>51</v>
      </c>
      <c r="E37" s="440" t="s">
        <v>23</v>
      </c>
      <c r="F37" s="404" t="s">
        <v>23</v>
      </c>
      <c r="G37" s="404" t="s">
        <v>23</v>
      </c>
      <c r="H37" s="404" t="s">
        <v>23</v>
      </c>
      <c r="I37" s="404" t="s">
        <v>23</v>
      </c>
      <c r="J37" s="404" t="s">
        <v>23</v>
      </c>
      <c r="K37" s="404" t="s">
        <v>23</v>
      </c>
      <c r="L37" s="404" t="s">
        <v>23</v>
      </c>
      <c r="M37" s="405" t="s">
        <v>23</v>
      </c>
      <c r="P37" s="431" t="s">
        <v>198</v>
      </c>
      <c r="Q37" s="437">
        <f t="shared" ref="Q37:S37" si="11">FV($B$12,$P$31,-Q31,-Q19)</f>
        <v>4790.251120639994</v>
      </c>
      <c r="R37" s="437">
        <f t="shared" si="11"/>
        <v>24580.502241279988</v>
      </c>
      <c r="S37" s="438">
        <f t="shared" si="11"/>
        <v>44370.753361919982</v>
      </c>
    </row>
    <row r="38" spans="4:19" ht="15.75" customHeight="1" x14ac:dyDescent="0.25">
      <c r="D38" s="406">
        <v>0</v>
      </c>
      <c r="E38" s="441">
        <v>-20000</v>
      </c>
      <c r="F38" s="441">
        <v>-20000</v>
      </c>
      <c r="G38" s="441">
        <v>-20000</v>
      </c>
      <c r="H38" s="407">
        <v>-25000</v>
      </c>
      <c r="I38" s="407">
        <v>-25000</v>
      </c>
      <c r="J38" s="407">
        <v>-25000</v>
      </c>
      <c r="K38" s="407">
        <v>-30000</v>
      </c>
      <c r="L38" s="407">
        <v>-30000</v>
      </c>
      <c r="M38" s="408">
        <v>-30000</v>
      </c>
    </row>
    <row r="39" spans="4:19" ht="15.75" customHeight="1" x14ac:dyDescent="0.25">
      <c r="D39" s="406">
        <v>1</v>
      </c>
      <c r="E39" s="442">
        <v>3500</v>
      </c>
      <c r="F39" s="409">
        <v>7000</v>
      </c>
      <c r="G39" s="409">
        <v>10000</v>
      </c>
      <c r="H39" s="442">
        <v>3500</v>
      </c>
      <c r="I39" s="409">
        <v>7000</v>
      </c>
      <c r="J39" s="409">
        <v>10000</v>
      </c>
      <c r="K39" s="442">
        <v>3500</v>
      </c>
      <c r="L39" s="409">
        <v>7000</v>
      </c>
      <c r="M39" s="410">
        <v>10000</v>
      </c>
    </row>
    <row r="40" spans="4:19" ht="15.75" customHeight="1" x14ac:dyDescent="0.25">
      <c r="D40" s="406">
        <v>2</v>
      </c>
      <c r="E40" s="442">
        <v>3500</v>
      </c>
      <c r="F40" s="409">
        <v>7000</v>
      </c>
      <c r="G40" s="409">
        <v>10000</v>
      </c>
      <c r="H40" s="442">
        <v>3500</v>
      </c>
      <c r="I40" s="409">
        <v>7000</v>
      </c>
      <c r="J40" s="409">
        <v>10000</v>
      </c>
      <c r="K40" s="442">
        <v>3500</v>
      </c>
      <c r="L40" s="409">
        <v>7000</v>
      </c>
      <c r="M40" s="410">
        <v>10000</v>
      </c>
    </row>
    <row r="41" spans="4:19" ht="15.75" customHeight="1" x14ac:dyDescent="0.25">
      <c r="D41" s="406">
        <v>3</v>
      </c>
      <c r="E41" s="442">
        <v>3500</v>
      </c>
      <c r="F41" s="409">
        <v>7000</v>
      </c>
      <c r="G41" s="409">
        <v>10000</v>
      </c>
      <c r="H41" s="442">
        <v>3500</v>
      </c>
      <c r="I41" s="409">
        <v>7000</v>
      </c>
      <c r="J41" s="409">
        <v>10000</v>
      </c>
      <c r="K41" s="442">
        <v>3500</v>
      </c>
      <c r="L41" s="409">
        <v>7000</v>
      </c>
      <c r="M41" s="410">
        <v>10000</v>
      </c>
    </row>
    <row r="42" spans="4:19" ht="15.75" customHeight="1" x14ac:dyDescent="0.25">
      <c r="D42" s="406">
        <v>4</v>
      </c>
      <c r="E42" s="442">
        <v>3500</v>
      </c>
      <c r="F42" s="409">
        <v>7000</v>
      </c>
      <c r="G42" s="409">
        <v>10000</v>
      </c>
      <c r="H42" s="442">
        <v>3500</v>
      </c>
      <c r="I42" s="409">
        <v>7000</v>
      </c>
      <c r="J42" s="409">
        <v>10000</v>
      </c>
      <c r="K42" s="442">
        <v>3500</v>
      </c>
      <c r="L42" s="409">
        <v>7000</v>
      </c>
      <c r="M42" s="410">
        <v>10000</v>
      </c>
    </row>
    <row r="43" spans="4:19" ht="15.75" customHeight="1" x14ac:dyDescent="0.25">
      <c r="D43" s="406">
        <v>5</v>
      </c>
      <c r="E43" s="442">
        <v>3500</v>
      </c>
      <c r="F43" s="409">
        <v>7000</v>
      </c>
      <c r="G43" s="409">
        <v>10000</v>
      </c>
      <c r="H43" s="442">
        <v>3500</v>
      </c>
      <c r="I43" s="409">
        <v>7000</v>
      </c>
      <c r="J43" s="409">
        <v>10000</v>
      </c>
      <c r="K43" s="442">
        <v>3500</v>
      </c>
      <c r="L43" s="409">
        <v>7000</v>
      </c>
      <c r="M43" s="410">
        <v>10000</v>
      </c>
    </row>
    <row r="44" spans="4:19" ht="15.75" customHeight="1" x14ac:dyDescent="0.25">
      <c r="D44" s="406">
        <v>6</v>
      </c>
      <c r="E44" s="442">
        <v>3500</v>
      </c>
      <c r="F44" s="409">
        <v>7000</v>
      </c>
      <c r="G44" s="409">
        <v>10000</v>
      </c>
      <c r="H44" s="442">
        <v>3500</v>
      </c>
      <c r="I44" s="409">
        <v>7000</v>
      </c>
      <c r="J44" s="409">
        <v>10000</v>
      </c>
      <c r="K44" s="442">
        <v>3500</v>
      </c>
      <c r="L44" s="409">
        <v>7000</v>
      </c>
      <c r="M44" s="410">
        <v>10000</v>
      </c>
    </row>
    <row r="45" spans="4:19" ht="15.75" customHeight="1" x14ac:dyDescent="0.25">
      <c r="D45" s="411">
        <v>7</v>
      </c>
      <c r="E45" s="443">
        <v>3500</v>
      </c>
      <c r="F45" s="412">
        <v>7000</v>
      </c>
      <c r="G45" s="412">
        <v>10000</v>
      </c>
      <c r="H45" s="443">
        <v>3500</v>
      </c>
      <c r="I45" s="412">
        <v>7000</v>
      </c>
      <c r="J45" s="412">
        <v>10000</v>
      </c>
      <c r="K45" s="443">
        <v>3500</v>
      </c>
      <c r="L45" s="412">
        <v>7000</v>
      </c>
      <c r="M45" s="413">
        <v>10000</v>
      </c>
    </row>
    <row r="46" spans="4:19" ht="15.75" customHeight="1" x14ac:dyDescent="0.25">
      <c r="D46" s="240"/>
      <c r="M46" s="260"/>
    </row>
    <row r="47" spans="4:19" ht="15.75" customHeight="1" x14ac:dyDescent="0.25">
      <c r="D47" s="417" t="s">
        <v>195</v>
      </c>
      <c r="E47" s="444">
        <f t="shared" ref="E47:M47" si="12">PMT($B$11,$D$45,-E38)+E45</f>
        <v>-1307.2072722122293</v>
      </c>
      <c r="F47" s="420">
        <f t="shared" si="12"/>
        <v>2192.7927277877707</v>
      </c>
      <c r="G47" s="420">
        <f t="shared" si="12"/>
        <v>5192.7927277877707</v>
      </c>
      <c r="H47" s="444">
        <f t="shared" si="12"/>
        <v>-2509.0090902652873</v>
      </c>
      <c r="I47" s="420">
        <f t="shared" si="12"/>
        <v>990.99090973471266</v>
      </c>
      <c r="J47" s="420">
        <f t="shared" si="12"/>
        <v>3990.9909097347127</v>
      </c>
      <c r="K47" s="444">
        <f t="shared" si="12"/>
        <v>-3710.8109083183444</v>
      </c>
      <c r="L47" s="444">
        <f t="shared" si="12"/>
        <v>-210.81090831834445</v>
      </c>
      <c r="M47" s="421">
        <f t="shared" si="12"/>
        <v>2789.1890916816556</v>
      </c>
    </row>
    <row r="48" spans="4:19" ht="15.75" customHeight="1" x14ac:dyDescent="0.25">
      <c r="D48" s="406" t="s">
        <v>196</v>
      </c>
      <c r="E48" s="425">
        <f t="shared" ref="E48:M48" si="13">PMT($B$12,$D$45,-E38)+E45</f>
        <v>-2048.478526938572</v>
      </c>
      <c r="F48" s="426">
        <f t="shared" si="13"/>
        <v>1451.521473061428</v>
      </c>
      <c r="G48" s="426">
        <f t="shared" si="13"/>
        <v>4451.521473061428</v>
      </c>
      <c r="H48" s="425">
        <f t="shared" si="13"/>
        <v>-3435.598158673215</v>
      </c>
      <c r="I48" s="426">
        <f t="shared" si="13"/>
        <v>64.401841326784961</v>
      </c>
      <c r="J48" s="426">
        <f t="shared" si="13"/>
        <v>3064.401841326785</v>
      </c>
      <c r="K48" s="425">
        <f t="shared" si="13"/>
        <v>-4822.717790407858</v>
      </c>
      <c r="L48" s="425">
        <f t="shared" si="13"/>
        <v>-1322.717790407858</v>
      </c>
      <c r="M48" s="427">
        <f t="shared" si="13"/>
        <v>1677.282209592142</v>
      </c>
    </row>
    <row r="49" spans="4:13" ht="15.75" customHeight="1" x14ac:dyDescent="0.25">
      <c r="D49" s="406"/>
      <c r="E49" s="445"/>
      <c r="F49" s="429"/>
      <c r="G49" s="429"/>
      <c r="H49" s="446"/>
      <c r="I49" s="423"/>
      <c r="J49" s="423"/>
      <c r="K49" s="446"/>
      <c r="L49" s="446"/>
      <c r="M49" s="424"/>
    </row>
    <row r="50" spans="4:13" ht="15.75" customHeight="1" x14ac:dyDescent="0.25">
      <c r="D50" s="406" t="s">
        <v>197</v>
      </c>
      <c r="E50" s="447">
        <f t="shared" ref="E50:M50" si="14">FV($B$11,$D$45,-E45,-E38)</f>
        <v>-14466.600398437506</v>
      </c>
      <c r="F50" s="448">
        <f t="shared" si="14"/>
        <v>24267.196812499955</v>
      </c>
      <c r="G50" s="448">
        <f t="shared" si="14"/>
        <v>57467.594421874921</v>
      </c>
      <c r="H50" s="447">
        <f t="shared" si="14"/>
        <v>-27766.699800781244</v>
      </c>
      <c r="I50" s="448">
        <f t="shared" si="14"/>
        <v>10967.097410156217</v>
      </c>
      <c r="J50" s="448">
        <f t="shared" si="14"/>
        <v>44167.495019531183</v>
      </c>
      <c r="K50" s="447">
        <f t="shared" si="14"/>
        <v>-41066.799203124981</v>
      </c>
      <c r="L50" s="447">
        <f t="shared" si="14"/>
        <v>-2333.001992187521</v>
      </c>
      <c r="M50" s="449">
        <f t="shared" si="14"/>
        <v>30867.395617187445</v>
      </c>
    </row>
    <row r="51" spans="4:13" ht="15.75" customHeight="1" x14ac:dyDescent="0.25">
      <c r="D51" s="431" t="s">
        <v>198</v>
      </c>
      <c r="E51" s="450">
        <f t="shared" ref="E51:M51" si="15">FV($B$12,$D$45,-E45,-E38)</f>
        <v>-26457.952000000005</v>
      </c>
      <c r="F51" s="451">
        <f t="shared" si="15"/>
        <v>18747.711999999985</v>
      </c>
      <c r="G51" s="451">
        <f t="shared" si="15"/>
        <v>57495.423999999985</v>
      </c>
      <c r="H51" s="450">
        <f t="shared" si="15"/>
        <v>-44373.856</v>
      </c>
      <c r="I51" s="451">
        <f t="shared" si="15"/>
        <v>831.80799999998999</v>
      </c>
      <c r="J51" s="451">
        <f t="shared" si="15"/>
        <v>39579.51999999999</v>
      </c>
      <c r="K51" s="450">
        <f t="shared" si="15"/>
        <v>-62289.759999999995</v>
      </c>
      <c r="L51" s="450">
        <f t="shared" si="15"/>
        <v>-17084.096000000005</v>
      </c>
      <c r="M51" s="452">
        <f t="shared" si="15"/>
        <v>21663.615999999995</v>
      </c>
    </row>
    <row r="54" spans="4:13" ht="12.5" x14ac:dyDescent="0.25">
      <c r="D54" s="402" t="s">
        <v>200</v>
      </c>
    </row>
    <row r="55" spans="4:13" ht="12.5" x14ac:dyDescent="0.25">
      <c r="D55" s="403" t="s">
        <v>51</v>
      </c>
      <c r="E55" s="440" t="s">
        <v>23</v>
      </c>
      <c r="F55" s="404" t="s">
        <v>23</v>
      </c>
      <c r="G55" s="404" t="s">
        <v>23</v>
      </c>
      <c r="H55" s="404" t="s">
        <v>23</v>
      </c>
      <c r="I55" s="404" t="s">
        <v>23</v>
      </c>
      <c r="J55" s="404" t="s">
        <v>23</v>
      </c>
      <c r="K55" s="404" t="s">
        <v>23</v>
      </c>
      <c r="L55" s="404" t="s">
        <v>23</v>
      </c>
      <c r="M55" s="405" t="s">
        <v>23</v>
      </c>
    </row>
    <row r="56" spans="4:13" ht="12.5" x14ac:dyDescent="0.25">
      <c r="D56" s="406">
        <v>0</v>
      </c>
      <c r="E56" s="441">
        <v>-20000</v>
      </c>
      <c r="F56" s="441">
        <v>-20000</v>
      </c>
      <c r="G56" s="441">
        <v>-20000</v>
      </c>
      <c r="H56" s="407">
        <v>-25000</v>
      </c>
      <c r="I56" s="407">
        <v>-25000</v>
      </c>
      <c r="J56" s="407">
        <v>-25000</v>
      </c>
      <c r="K56" s="407">
        <v>-30000</v>
      </c>
      <c r="L56" s="407">
        <v>-30000</v>
      </c>
      <c r="M56" s="408">
        <v>-30000</v>
      </c>
    </row>
    <row r="57" spans="4:13" ht="12.5" x14ac:dyDescent="0.25">
      <c r="D57" s="406">
        <v>1</v>
      </c>
      <c r="E57" s="442">
        <v>3500</v>
      </c>
      <c r="F57" s="409">
        <v>7000</v>
      </c>
      <c r="G57" s="409">
        <v>10000</v>
      </c>
      <c r="H57" s="442">
        <v>3500</v>
      </c>
      <c r="I57" s="409">
        <v>7000</v>
      </c>
      <c r="J57" s="409">
        <v>10000</v>
      </c>
      <c r="K57" s="442">
        <v>3500</v>
      </c>
      <c r="L57" s="409">
        <v>7000</v>
      </c>
      <c r="M57" s="410">
        <v>10000</v>
      </c>
    </row>
    <row r="58" spans="4:13" ht="12.5" x14ac:dyDescent="0.25">
      <c r="D58" s="406">
        <v>2</v>
      </c>
      <c r="E58" s="442">
        <v>3500</v>
      </c>
      <c r="F58" s="409">
        <v>7000</v>
      </c>
      <c r="G58" s="409">
        <v>10000</v>
      </c>
      <c r="H58" s="442">
        <v>3500</v>
      </c>
      <c r="I58" s="409">
        <v>7000</v>
      </c>
      <c r="J58" s="409">
        <v>10000</v>
      </c>
      <c r="K58" s="442">
        <v>3500</v>
      </c>
      <c r="L58" s="409">
        <v>7000</v>
      </c>
      <c r="M58" s="410">
        <v>10000</v>
      </c>
    </row>
    <row r="59" spans="4:13" ht="12.5" x14ac:dyDescent="0.25">
      <c r="D59" s="406">
        <v>3</v>
      </c>
      <c r="E59" s="442">
        <v>3500</v>
      </c>
      <c r="F59" s="409">
        <v>7000</v>
      </c>
      <c r="G59" s="409">
        <v>10000</v>
      </c>
      <c r="H59" s="442">
        <v>3500</v>
      </c>
      <c r="I59" s="409">
        <v>7000</v>
      </c>
      <c r="J59" s="409">
        <v>10000</v>
      </c>
      <c r="K59" s="442">
        <v>3500</v>
      </c>
      <c r="L59" s="409">
        <v>7000</v>
      </c>
      <c r="M59" s="410">
        <v>10000</v>
      </c>
    </row>
    <row r="60" spans="4:13" ht="12.5" x14ac:dyDescent="0.25">
      <c r="D60" s="406">
        <v>4</v>
      </c>
      <c r="E60" s="442">
        <v>3500</v>
      </c>
      <c r="F60" s="409">
        <v>7000</v>
      </c>
      <c r="G60" s="409">
        <v>10000</v>
      </c>
      <c r="H60" s="442">
        <v>3500</v>
      </c>
      <c r="I60" s="409">
        <v>7000</v>
      </c>
      <c r="J60" s="409">
        <v>10000</v>
      </c>
      <c r="K60" s="442">
        <v>3500</v>
      </c>
      <c r="L60" s="409">
        <v>7000</v>
      </c>
      <c r="M60" s="410">
        <v>10000</v>
      </c>
    </row>
    <row r="61" spans="4:13" ht="12.5" x14ac:dyDescent="0.25">
      <c r="D61" s="406">
        <v>5</v>
      </c>
      <c r="E61" s="442">
        <v>3500</v>
      </c>
      <c r="F61" s="409">
        <v>7000</v>
      </c>
      <c r="G61" s="409">
        <v>10000</v>
      </c>
      <c r="H61" s="442">
        <v>3500</v>
      </c>
      <c r="I61" s="409">
        <v>7000</v>
      </c>
      <c r="J61" s="409">
        <v>10000</v>
      </c>
      <c r="K61" s="442">
        <v>3500</v>
      </c>
      <c r="L61" s="409">
        <v>7000</v>
      </c>
      <c r="M61" s="410">
        <v>10000</v>
      </c>
    </row>
    <row r="62" spans="4:13" ht="12.5" x14ac:dyDescent="0.25">
      <c r="D62" s="406">
        <v>6</v>
      </c>
      <c r="E62" s="442">
        <v>3500</v>
      </c>
      <c r="F62" s="409">
        <v>7000</v>
      </c>
      <c r="G62" s="409">
        <v>10000</v>
      </c>
      <c r="H62" s="442">
        <v>3500</v>
      </c>
      <c r="I62" s="409">
        <v>7000</v>
      </c>
      <c r="J62" s="409">
        <v>10000</v>
      </c>
      <c r="K62" s="442">
        <v>3500</v>
      </c>
      <c r="L62" s="409">
        <v>7000</v>
      </c>
      <c r="M62" s="410">
        <v>10000</v>
      </c>
    </row>
    <row r="63" spans="4:13" ht="12.5" x14ac:dyDescent="0.25">
      <c r="D63" s="406">
        <v>7</v>
      </c>
      <c r="E63" s="442">
        <v>3500</v>
      </c>
      <c r="F63" s="409">
        <v>7000</v>
      </c>
      <c r="G63" s="409">
        <v>10000</v>
      </c>
      <c r="H63" s="442">
        <v>3500</v>
      </c>
      <c r="I63" s="409">
        <v>7000</v>
      </c>
      <c r="J63" s="409">
        <v>10000</v>
      </c>
      <c r="K63" s="442">
        <v>3500</v>
      </c>
      <c r="L63" s="409">
        <v>7000</v>
      </c>
      <c r="M63" s="410">
        <v>10000</v>
      </c>
    </row>
    <row r="64" spans="4:13" ht="12.5" x14ac:dyDescent="0.25">
      <c r="D64" s="406">
        <v>8</v>
      </c>
      <c r="E64" s="442">
        <v>3500</v>
      </c>
      <c r="F64" s="409">
        <v>7000</v>
      </c>
      <c r="G64" s="409">
        <v>10000</v>
      </c>
      <c r="H64" s="442">
        <v>3500</v>
      </c>
      <c r="I64" s="409">
        <v>7000</v>
      </c>
      <c r="J64" s="409">
        <v>10000</v>
      </c>
      <c r="K64" s="442">
        <v>3500</v>
      </c>
      <c r="L64" s="409">
        <v>7000</v>
      </c>
      <c r="M64" s="410">
        <v>10000</v>
      </c>
    </row>
    <row r="65" spans="4:14" ht="12.5" x14ac:dyDescent="0.25">
      <c r="D65" s="406">
        <v>9</v>
      </c>
      <c r="E65" s="442">
        <v>3500</v>
      </c>
      <c r="F65" s="409">
        <v>7000</v>
      </c>
      <c r="G65" s="409">
        <v>10000</v>
      </c>
      <c r="H65" s="442">
        <v>3500</v>
      </c>
      <c r="I65" s="409">
        <v>7000</v>
      </c>
      <c r="J65" s="409">
        <v>10000</v>
      </c>
      <c r="K65" s="442">
        <v>3500</v>
      </c>
      <c r="L65" s="409">
        <v>7000</v>
      </c>
      <c r="M65" s="410">
        <v>10000</v>
      </c>
    </row>
    <row r="66" spans="4:14" ht="12.5" x14ac:dyDescent="0.25">
      <c r="D66" s="411">
        <v>10</v>
      </c>
      <c r="E66" s="443">
        <v>3500</v>
      </c>
      <c r="F66" s="412">
        <v>7000</v>
      </c>
      <c r="G66" s="412">
        <v>10000</v>
      </c>
      <c r="H66" s="443">
        <v>3500</v>
      </c>
      <c r="I66" s="412">
        <v>7000</v>
      </c>
      <c r="J66" s="412">
        <v>10000</v>
      </c>
      <c r="K66" s="443">
        <v>3500</v>
      </c>
      <c r="L66" s="412">
        <v>7000</v>
      </c>
      <c r="M66" s="413">
        <v>10000</v>
      </c>
    </row>
    <row r="67" spans="4:14" ht="12.5" x14ac:dyDescent="0.25">
      <c r="D67" s="240"/>
      <c r="M67" s="260"/>
    </row>
    <row r="68" spans="4:14" ht="12.5" x14ac:dyDescent="0.25">
      <c r="D68" s="417" t="s">
        <v>195</v>
      </c>
      <c r="E68" s="444">
        <f t="shared" ref="E68:M68" si="16">PMT($B$11,$D$66,-E56)+E66</f>
        <v>-485.04125035169636</v>
      </c>
      <c r="F68" s="420">
        <f t="shared" si="16"/>
        <v>3014.9587496483036</v>
      </c>
      <c r="G68" s="420">
        <f t="shared" si="16"/>
        <v>6014.9587496483036</v>
      </c>
      <c r="H68" s="444">
        <f t="shared" si="16"/>
        <v>-1481.3015629396205</v>
      </c>
      <c r="I68" s="420">
        <f t="shared" si="16"/>
        <v>2018.6984370603795</v>
      </c>
      <c r="J68" s="420">
        <f t="shared" si="16"/>
        <v>5018.6984370603795</v>
      </c>
      <c r="K68" s="444">
        <f t="shared" si="16"/>
        <v>-2477.5618755275445</v>
      </c>
      <c r="L68" s="420">
        <f t="shared" si="16"/>
        <v>1022.4381244724555</v>
      </c>
      <c r="M68" s="421">
        <f t="shared" si="16"/>
        <v>4022.4381244724555</v>
      </c>
    </row>
    <row r="69" spans="4:14" ht="12.5" x14ac:dyDescent="0.25">
      <c r="D69" s="406" t="s">
        <v>196</v>
      </c>
      <c r="E69" s="425">
        <f t="shared" ref="E69:M69" si="17">PMT($B$12,$D$66,-E56)+E66</f>
        <v>-1270.4551376571826</v>
      </c>
      <c r="F69" s="426">
        <f t="shared" si="17"/>
        <v>2229.5448623428174</v>
      </c>
      <c r="G69" s="426">
        <f t="shared" si="17"/>
        <v>5229.5448623428174</v>
      </c>
      <c r="H69" s="425">
        <f t="shared" si="17"/>
        <v>-2463.0689220714785</v>
      </c>
      <c r="I69" s="426">
        <f t="shared" si="17"/>
        <v>1036.9310779285215</v>
      </c>
      <c r="J69" s="426">
        <f t="shared" si="17"/>
        <v>4036.9310779285215</v>
      </c>
      <c r="K69" s="425">
        <f t="shared" si="17"/>
        <v>-3655.6827064857735</v>
      </c>
      <c r="L69" s="425">
        <f t="shared" si="17"/>
        <v>-155.68270648577345</v>
      </c>
      <c r="M69" s="427">
        <f t="shared" si="17"/>
        <v>2844.3172935142265</v>
      </c>
    </row>
    <row r="70" spans="4:14" ht="12.5" x14ac:dyDescent="0.25">
      <c r="D70" s="406"/>
      <c r="E70" s="446"/>
      <c r="F70" s="423"/>
      <c r="G70" s="423"/>
      <c r="H70" s="446"/>
      <c r="I70" s="423"/>
      <c r="J70" s="423"/>
      <c r="K70" s="446"/>
      <c r="L70" s="423"/>
      <c r="M70" s="424"/>
    </row>
    <row r="71" spans="4:14" ht="12.5" x14ac:dyDescent="0.25">
      <c r="D71" s="406" t="s">
        <v>197</v>
      </c>
      <c r="E71" s="447">
        <f t="shared" ref="E71:M71" si="18">FV($B$11,$D$66,-E66,-E56)</f>
        <v>-9848.1408809736458</v>
      </c>
      <c r="F71" s="448">
        <f t="shared" si="18"/>
        <v>61214.872952210848</v>
      </c>
      <c r="G71" s="448">
        <f t="shared" si="18"/>
        <v>122126.027666369</v>
      </c>
      <c r="H71" s="447">
        <f t="shared" si="18"/>
        <v>-30075.92955951317</v>
      </c>
      <c r="I71" s="448">
        <f t="shared" si="18"/>
        <v>40987.084273671324</v>
      </c>
      <c r="J71" s="448">
        <f t="shared" si="18"/>
        <v>101898.23898782948</v>
      </c>
      <c r="K71" s="447">
        <f t="shared" si="18"/>
        <v>-50303.718238052708</v>
      </c>
      <c r="L71" s="448">
        <f t="shared" si="18"/>
        <v>20759.295595131785</v>
      </c>
      <c r="M71" s="449">
        <f t="shared" si="18"/>
        <v>81670.450309289939</v>
      </c>
      <c r="N71" s="453"/>
    </row>
    <row r="72" spans="4:14" ht="12.5" x14ac:dyDescent="0.25">
      <c r="D72" s="431" t="s">
        <v>198</v>
      </c>
      <c r="E72" s="450">
        <f t="shared" ref="E72:M72" si="19">FV($B$12,$D$66,-E66,-E56)</f>
        <v>-32979.341056000005</v>
      </c>
      <c r="F72" s="451">
        <f t="shared" si="19"/>
        <v>57876.04633599997</v>
      </c>
      <c r="G72" s="451">
        <f t="shared" si="19"/>
        <v>135752.09267199997</v>
      </c>
      <c r="H72" s="450">
        <f t="shared" si="19"/>
        <v>-63938.023168000014</v>
      </c>
      <c r="I72" s="451">
        <f t="shared" si="19"/>
        <v>26917.364223999961</v>
      </c>
      <c r="J72" s="451">
        <f t="shared" si="19"/>
        <v>104793.41055999996</v>
      </c>
      <c r="K72" s="450">
        <f t="shared" si="19"/>
        <v>-94896.705279999995</v>
      </c>
      <c r="L72" s="450">
        <f t="shared" si="19"/>
        <v>-4041.3178880000196</v>
      </c>
      <c r="M72" s="452">
        <f t="shared" si="19"/>
        <v>73834.72844799998</v>
      </c>
    </row>
    <row r="75" spans="4:14" ht="12.5" x14ac:dyDescent="0.25">
      <c r="D75" s="402" t="s">
        <v>201</v>
      </c>
    </row>
    <row r="76" spans="4:14" ht="12.5" x14ac:dyDescent="0.25">
      <c r="D76" s="403" t="s">
        <v>51</v>
      </c>
      <c r="E76" s="440" t="s">
        <v>23</v>
      </c>
      <c r="F76" s="404" t="s">
        <v>23</v>
      </c>
      <c r="G76" s="404" t="s">
        <v>23</v>
      </c>
      <c r="H76" s="404" t="s">
        <v>23</v>
      </c>
      <c r="I76" s="404" t="s">
        <v>23</v>
      </c>
      <c r="J76" s="404" t="s">
        <v>23</v>
      </c>
      <c r="K76" s="404" t="s">
        <v>23</v>
      </c>
      <c r="L76" s="404" t="s">
        <v>23</v>
      </c>
      <c r="M76" s="405" t="s">
        <v>23</v>
      </c>
    </row>
    <row r="77" spans="4:14" ht="12.5" x14ac:dyDescent="0.25">
      <c r="D77" s="406">
        <v>0</v>
      </c>
      <c r="E77" s="441">
        <v>-20000</v>
      </c>
      <c r="F77" s="441">
        <v>-20000</v>
      </c>
      <c r="G77" s="441">
        <v>-20000</v>
      </c>
      <c r="H77" s="407">
        <v>-25000</v>
      </c>
      <c r="I77" s="407">
        <v>-25000</v>
      </c>
      <c r="J77" s="407">
        <v>-25000</v>
      </c>
      <c r="K77" s="407">
        <v>-30000</v>
      </c>
      <c r="L77" s="407">
        <v>-30000</v>
      </c>
      <c r="M77" s="408">
        <v>-30000</v>
      </c>
    </row>
    <row r="78" spans="4:14" ht="12.5" x14ac:dyDescent="0.25">
      <c r="D78" s="406">
        <v>1</v>
      </c>
      <c r="E78" s="442">
        <v>3500</v>
      </c>
      <c r="F78" s="409">
        <v>7000</v>
      </c>
      <c r="G78" s="409">
        <v>10000</v>
      </c>
      <c r="H78" s="442">
        <v>3500</v>
      </c>
      <c r="I78" s="409">
        <v>7000</v>
      </c>
      <c r="J78" s="409">
        <v>10000</v>
      </c>
      <c r="K78" s="442">
        <v>3500</v>
      </c>
      <c r="L78" s="409">
        <v>7000</v>
      </c>
      <c r="M78" s="410">
        <v>10000</v>
      </c>
    </row>
    <row r="79" spans="4:14" ht="12.5" x14ac:dyDescent="0.25">
      <c r="D79" s="406">
        <v>2</v>
      </c>
      <c r="E79" s="442">
        <v>3500</v>
      </c>
      <c r="F79" s="409">
        <v>7000</v>
      </c>
      <c r="G79" s="409">
        <v>10000</v>
      </c>
      <c r="H79" s="442">
        <v>3500</v>
      </c>
      <c r="I79" s="409">
        <v>7000</v>
      </c>
      <c r="J79" s="409">
        <v>10000</v>
      </c>
      <c r="K79" s="442">
        <v>3500</v>
      </c>
      <c r="L79" s="409">
        <v>7000</v>
      </c>
      <c r="M79" s="410">
        <v>10000</v>
      </c>
    </row>
    <row r="80" spans="4:14" ht="12.5" x14ac:dyDescent="0.25">
      <c r="D80" s="406">
        <v>3</v>
      </c>
      <c r="E80" s="442">
        <v>3500</v>
      </c>
      <c r="F80" s="409">
        <v>7000</v>
      </c>
      <c r="G80" s="409">
        <v>10000</v>
      </c>
      <c r="H80" s="442">
        <v>3500</v>
      </c>
      <c r="I80" s="409">
        <v>7000</v>
      </c>
      <c r="J80" s="409">
        <v>10000</v>
      </c>
      <c r="K80" s="442">
        <v>3500</v>
      </c>
      <c r="L80" s="409">
        <v>7000</v>
      </c>
      <c r="M80" s="410">
        <v>10000</v>
      </c>
    </row>
    <row r="81" spans="4:13" ht="12.5" x14ac:dyDescent="0.25">
      <c r="D81" s="406">
        <v>4</v>
      </c>
      <c r="E81" s="442">
        <v>3500</v>
      </c>
      <c r="F81" s="409">
        <v>7000</v>
      </c>
      <c r="G81" s="409">
        <v>10000</v>
      </c>
      <c r="H81" s="442">
        <v>3500</v>
      </c>
      <c r="I81" s="409">
        <v>7000</v>
      </c>
      <c r="J81" s="409">
        <v>10000</v>
      </c>
      <c r="K81" s="442">
        <v>3500</v>
      </c>
      <c r="L81" s="409">
        <v>7000</v>
      </c>
      <c r="M81" s="410">
        <v>10000</v>
      </c>
    </row>
    <row r="82" spans="4:13" ht="12.5" x14ac:dyDescent="0.25">
      <c r="D82" s="406">
        <v>5</v>
      </c>
      <c r="E82" s="442">
        <v>3500</v>
      </c>
      <c r="F82" s="409">
        <v>7000</v>
      </c>
      <c r="G82" s="409">
        <v>10000</v>
      </c>
      <c r="H82" s="442">
        <v>3500</v>
      </c>
      <c r="I82" s="409">
        <v>7000</v>
      </c>
      <c r="J82" s="409">
        <v>10000</v>
      </c>
      <c r="K82" s="442">
        <v>3500</v>
      </c>
      <c r="L82" s="409">
        <v>7000</v>
      </c>
      <c r="M82" s="410">
        <v>10000</v>
      </c>
    </row>
    <row r="83" spans="4:13" ht="12.5" x14ac:dyDescent="0.25">
      <c r="D83" s="406">
        <v>6</v>
      </c>
      <c r="E83" s="442">
        <v>3500</v>
      </c>
      <c r="F83" s="409">
        <v>7000</v>
      </c>
      <c r="G83" s="409">
        <v>10000</v>
      </c>
      <c r="H83" s="442">
        <v>3500</v>
      </c>
      <c r="I83" s="409">
        <v>7000</v>
      </c>
      <c r="J83" s="409">
        <v>10000</v>
      </c>
      <c r="K83" s="442">
        <v>3500</v>
      </c>
      <c r="L83" s="409">
        <v>7000</v>
      </c>
      <c r="M83" s="410">
        <v>10000</v>
      </c>
    </row>
    <row r="84" spans="4:13" ht="12.5" x14ac:dyDescent="0.25">
      <c r="D84" s="406">
        <v>7</v>
      </c>
      <c r="E84" s="442">
        <v>3500</v>
      </c>
      <c r="F84" s="409">
        <v>7000</v>
      </c>
      <c r="G84" s="409">
        <v>10000</v>
      </c>
      <c r="H84" s="442">
        <v>3500</v>
      </c>
      <c r="I84" s="409">
        <v>7000</v>
      </c>
      <c r="J84" s="409">
        <v>10000</v>
      </c>
      <c r="K84" s="442">
        <v>3500</v>
      </c>
      <c r="L84" s="409">
        <v>7000</v>
      </c>
      <c r="M84" s="410">
        <v>10000</v>
      </c>
    </row>
    <row r="85" spans="4:13" ht="12.5" x14ac:dyDescent="0.25">
      <c r="D85" s="406">
        <v>8</v>
      </c>
      <c r="E85" s="442">
        <v>3500</v>
      </c>
      <c r="F85" s="409">
        <v>7000</v>
      </c>
      <c r="G85" s="409">
        <v>10000</v>
      </c>
      <c r="H85" s="442">
        <v>3500</v>
      </c>
      <c r="I85" s="409">
        <v>7000</v>
      </c>
      <c r="J85" s="409">
        <v>10000</v>
      </c>
      <c r="K85" s="442">
        <v>3500</v>
      </c>
      <c r="L85" s="409">
        <v>7000</v>
      </c>
      <c r="M85" s="410">
        <v>10000</v>
      </c>
    </row>
    <row r="86" spans="4:13" ht="12.5" x14ac:dyDescent="0.25">
      <c r="D86" s="406">
        <v>9</v>
      </c>
      <c r="E86" s="442">
        <v>3500</v>
      </c>
      <c r="F86" s="409">
        <v>7000</v>
      </c>
      <c r="G86" s="409">
        <v>10000</v>
      </c>
      <c r="H86" s="442">
        <v>3500</v>
      </c>
      <c r="I86" s="409">
        <v>7000</v>
      </c>
      <c r="J86" s="409">
        <v>10000</v>
      </c>
      <c r="K86" s="442">
        <v>3500</v>
      </c>
      <c r="L86" s="409">
        <v>7000</v>
      </c>
      <c r="M86" s="410">
        <v>10000</v>
      </c>
    </row>
    <row r="87" spans="4:13" ht="12.5" x14ac:dyDescent="0.25">
      <c r="D87" s="406">
        <v>10</v>
      </c>
      <c r="E87" s="442">
        <v>3500</v>
      </c>
      <c r="F87" s="409">
        <v>7000</v>
      </c>
      <c r="G87" s="409">
        <v>10000</v>
      </c>
      <c r="H87" s="442">
        <v>3500</v>
      </c>
      <c r="I87" s="409">
        <v>7000</v>
      </c>
      <c r="J87" s="409">
        <v>10000</v>
      </c>
      <c r="K87" s="442">
        <v>3500</v>
      </c>
      <c r="L87" s="409">
        <v>7000</v>
      </c>
      <c r="M87" s="410">
        <v>10000</v>
      </c>
    </row>
    <row r="88" spans="4:13" ht="12.5" x14ac:dyDescent="0.25">
      <c r="D88" s="406">
        <v>11</v>
      </c>
      <c r="E88" s="442">
        <v>3500</v>
      </c>
      <c r="F88" s="409">
        <v>7000</v>
      </c>
      <c r="G88" s="409">
        <v>10000</v>
      </c>
      <c r="H88" s="442">
        <v>3500</v>
      </c>
      <c r="I88" s="409">
        <v>7000</v>
      </c>
      <c r="J88" s="409">
        <v>10000</v>
      </c>
      <c r="K88" s="442">
        <v>3500</v>
      </c>
      <c r="L88" s="409">
        <v>7000</v>
      </c>
      <c r="M88" s="410">
        <v>10000</v>
      </c>
    </row>
    <row r="89" spans="4:13" ht="12.5" x14ac:dyDescent="0.25">
      <c r="D89" s="406">
        <v>12</v>
      </c>
      <c r="E89" s="442">
        <v>3500</v>
      </c>
      <c r="F89" s="409">
        <v>7000</v>
      </c>
      <c r="G89" s="409">
        <v>10000</v>
      </c>
      <c r="H89" s="442">
        <v>3500</v>
      </c>
      <c r="I89" s="409">
        <v>7000</v>
      </c>
      <c r="J89" s="409">
        <v>10000</v>
      </c>
      <c r="K89" s="442">
        <v>3500</v>
      </c>
      <c r="L89" s="409">
        <v>7000</v>
      </c>
      <c r="M89" s="410">
        <v>10000</v>
      </c>
    </row>
    <row r="90" spans="4:13" ht="12.5" x14ac:dyDescent="0.25">
      <c r="D90" s="406">
        <v>13</v>
      </c>
      <c r="E90" s="442">
        <v>3500</v>
      </c>
      <c r="F90" s="409">
        <v>7000</v>
      </c>
      <c r="G90" s="409">
        <v>10000</v>
      </c>
      <c r="H90" s="442">
        <v>3500</v>
      </c>
      <c r="I90" s="409">
        <v>7000</v>
      </c>
      <c r="J90" s="409">
        <v>10000</v>
      </c>
      <c r="K90" s="442">
        <v>3500</v>
      </c>
      <c r="L90" s="409">
        <v>7000</v>
      </c>
      <c r="M90" s="410">
        <v>10000</v>
      </c>
    </row>
    <row r="91" spans="4:13" ht="12.5" x14ac:dyDescent="0.25">
      <c r="D91" s="406">
        <v>14</v>
      </c>
      <c r="E91" s="442">
        <v>3500</v>
      </c>
      <c r="F91" s="409">
        <v>7000</v>
      </c>
      <c r="G91" s="409">
        <v>10000</v>
      </c>
      <c r="H91" s="442">
        <v>3500</v>
      </c>
      <c r="I91" s="409">
        <v>7000</v>
      </c>
      <c r="J91" s="409">
        <v>10000</v>
      </c>
      <c r="K91" s="442">
        <v>3500</v>
      </c>
      <c r="L91" s="409">
        <v>7000</v>
      </c>
      <c r="M91" s="410">
        <v>10000</v>
      </c>
    </row>
    <row r="92" spans="4:13" ht="12.5" x14ac:dyDescent="0.25">
      <c r="D92" s="411">
        <v>15</v>
      </c>
      <c r="E92" s="443">
        <v>3500</v>
      </c>
      <c r="F92" s="412">
        <v>7000</v>
      </c>
      <c r="G92" s="412">
        <v>10000</v>
      </c>
      <c r="H92" s="443">
        <v>3500</v>
      </c>
      <c r="I92" s="412">
        <v>7000</v>
      </c>
      <c r="J92" s="412">
        <v>10000</v>
      </c>
      <c r="K92" s="443">
        <v>3500</v>
      </c>
      <c r="L92" s="412">
        <v>7000</v>
      </c>
      <c r="M92" s="413">
        <v>10000</v>
      </c>
    </row>
    <row r="93" spans="4:13" ht="12.5" x14ac:dyDescent="0.25">
      <c r="D93" s="240"/>
      <c r="M93" s="260"/>
    </row>
    <row r="94" spans="4:13" ht="12.5" x14ac:dyDescent="0.25">
      <c r="D94" s="417" t="s">
        <v>195</v>
      </c>
      <c r="E94" s="420">
        <f t="shared" ref="E94:M94" si="20">PMT($B$11,$D$92,-E77)+E92</f>
        <v>79.658947073978652</v>
      </c>
      <c r="F94" s="420">
        <f t="shared" si="20"/>
        <v>3579.6589470739787</v>
      </c>
      <c r="G94" s="420">
        <f t="shared" si="20"/>
        <v>6579.6589470739782</v>
      </c>
      <c r="H94" s="444">
        <f t="shared" si="20"/>
        <v>-775.42631615752725</v>
      </c>
      <c r="I94" s="420">
        <f t="shared" si="20"/>
        <v>2724.5736838424727</v>
      </c>
      <c r="J94" s="420">
        <f t="shared" si="20"/>
        <v>5724.5736838424727</v>
      </c>
      <c r="K94" s="444">
        <f t="shared" si="20"/>
        <v>-1630.5115793890327</v>
      </c>
      <c r="L94" s="420">
        <f t="shared" si="20"/>
        <v>1869.4884206109673</v>
      </c>
      <c r="M94" s="421">
        <f t="shared" si="20"/>
        <v>4869.4884206109673</v>
      </c>
    </row>
    <row r="95" spans="4:13" ht="12.5" x14ac:dyDescent="0.25">
      <c r="D95" s="406" t="s">
        <v>196</v>
      </c>
      <c r="E95" s="425">
        <f t="shared" ref="E95:M95" si="21">PMT($B$12,$D$92,-E77)+E92</f>
        <v>-777.64239675020053</v>
      </c>
      <c r="F95" s="426">
        <f t="shared" si="21"/>
        <v>2722.3576032497995</v>
      </c>
      <c r="G95" s="426">
        <f t="shared" si="21"/>
        <v>5722.3576032497995</v>
      </c>
      <c r="H95" s="425">
        <f t="shared" si="21"/>
        <v>-1847.05299593775</v>
      </c>
      <c r="I95" s="426">
        <f t="shared" si="21"/>
        <v>1652.94700406225</v>
      </c>
      <c r="J95" s="426">
        <f t="shared" si="21"/>
        <v>4652.94700406225</v>
      </c>
      <c r="K95" s="425">
        <f t="shared" si="21"/>
        <v>-2916.4635951253003</v>
      </c>
      <c r="L95" s="426">
        <f t="shared" si="21"/>
        <v>583.53640487469966</v>
      </c>
      <c r="M95" s="427">
        <f t="shared" si="21"/>
        <v>3583.5364048746997</v>
      </c>
    </row>
    <row r="96" spans="4:13" ht="12.5" x14ac:dyDescent="0.25">
      <c r="D96" s="406"/>
      <c r="E96" s="423"/>
      <c r="F96" s="423"/>
      <c r="G96" s="423"/>
      <c r="H96" s="446"/>
      <c r="I96" s="423"/>
      <c r="J96" s="423"/>
      <c r="K96" s="446"/>
      <c r="L96" s="423"/>
      <c r="M96" s="424"/>
    </row>
    <row r="97" spans="4:22" ht="12.5" x14ac:dyDescent="0.25">
      <c r="D97" s="406" t="s">
        <v>197</v>
      </c>
      <c r="E97" s="448">
        <f t="shared" ref="E97:M97" si="22">FV($B$11,$D$92,-E92,-E77)</f>
        <v>3790.2054305410711</v>
      </c>
      <c r="F97" s="448">
        <f t="shared" si="22"/>
        <v>170321.64344432854</v>
      </c>
      <c r="G97" s="448">
        <f t="shared" si="22"/>
        <v>313062.876027575</v>
      </c>
      <c r="H97" s="447">
        <f t="shared" si="22"/>
        <v>-36895.102715270536</v>
      </c>
      <c r="I97" s="448">
        <f t="shared" si="22"/>
        <v>129636.33529851693</v>
      </c>
      <c r="J97" s="448">
        <f t="shared" si="22"/>
        <v>272377.56788176333</v>
      </c>
      <c r="K97" s="447">
        <f t="shared" si="22"/>
        <v>-77580.410861082113</v>
      </c>
      <c r="L97" s="448">
        <f t="shared" si="22"/>
        <v>88951.027152705356</v>
      </c>
      <c r="M97" s="449">
        <f t="shared" si="22"/>
        <v>231692.25973595178</v>
      </c>
    </row>
    <row r="98" spans="4:22" ht="12.5" x14ac:dyDescent="0.25">
      <c r="D98" s="431" t="s">
        <v>198</v>
      </c>
      <c r="E98" s="450">
        <f t="shared" ref="E98:M98" si="23">FV($B$12,$D$92,-E92,-E77)</f>
        <v>-56017.553936465934</v>
      </c>
      <c r="F98" s="451">
        <f t="shared" si="23"/>
        <v>196105.32361879543</v>
      </c>
      <c r="G98" s="451">
        <f t="shared" si="23"/>
        <v>412210.64723759092</v>
      </c>
      <c r="H98" s="450">
        <f t="shared" si="23"/>
        <v>-133052.66180939774</v>
      </c>
      <c r="I98" s="451">
        <f t="shared" si="23"/>
        <v>119070.21574586362</v>
      </c>
      <c r="J98" s="451">
        <f t="shared" si="23"/>
        <v>335175.53936465911</v>
      </c>
      <c r="K98" s="450">
        <f t="shared" si="23"/>
        <v>-210087.76968232956</v>
      </c>
      <c r="L98" s="451">
        <f t="shared" si="23"/>
        <v>42035.107872931811</v>
      </c>
      <c r="M98" s="452">
        <f t="shared" si="23"/>
        <v>258140.4314917273</v>
      </c>
    </row>
    <row r="101" spans="4:22" ht="12.5" x14ac:dyDescent="0.25">
      <c r="D101" s="406"/>
      <c r="E101" s="404">
        <v>3500</v>
      </c>
      <c r="F101" s="404">
        <v>4000</v>
      </c>
      <c r="G101" s="405">
        <v>4500</v>
      </c>
      <c r="I101" s="406"/>
      <c r="J101" s="404">
        <v>3500</v>
      </c>
      <c r="K101" s="404">
        <v>4000</v>
      </c>
      <c r="L101" s="405">
        <v>4500</v>
      </c>
      <c r="N101" s="406"/>
      <c r="O101" s="404">
        <v>3500</v>
      </c>
      <c r="P101" s="404">
        <v>4000</v>
      </c>
      <c r="Q101" s="405">
        <v>4500</v>
      </c>
      <c r="S101" s="406"/>
      <c r="T101" s="404">
        <v>3500</v>
      </c>
      <c r="U101" s="404">
        <v>4000</v>
      </c>
      <c r="V101" s="405">
        <v>4500</v>
      </c>
    </row>
    <row r="102" spans="4:22" ht="12.5" x14ac:dyDescent="0.25">
      <c r="D102" s="406" t="s">
        <v>202</v>
      </c>
      <c r="E102" s="418">
        <v>157.25</v>
      </c>
      <c r="F102" s="418">
        <v>657.25</v>
      </c>
      <c r="G102" s="419">
        <v>1157.25</v>
      </c>
      <c r="I102" s="406" t="s">
        <v>202</v>
      </c>
      <c r="J102" s="418">
        <v>-409.14</v>
      </c>
      <c r="K102" s="418">
        <v>90.86</v>
      </c>
      <c r="L102" s="419">
        <v>590.86</v>
      </c>
      <c r="N102" s="406" t="s">
        <v>202</v>
      </c>
      <c r="O102" s="418">
        <v>2158.52</v>
      </c>
      <c r="P102" s="418">
        <v>9021.93</v>
      </c>
      <c r="Q102" s="419">
        <v>15885.34</v>
      </c>
      <c r="S102" s="406" t="s">
        <v>202</v>
      </c>
      <c r="T102" s="418">
        <v>-6750.46</v>
      </c>
      <c r="U102" s="418">
        <v>1499.08</v>
      </c>
      <c r="V102" s="419">
        <v>9748.6299999999992</v>
      </c>
    </row>
    <row r="103" spans="4:22" ht="12.5" x14ac:dyDescent="0.25">
      <c r="D103" s="406" t="s">
        <v>203</v>
      </c>
      <c r="E103" s="420">
        <v>356.39</v>
      </c>
      <c r="F103" s="420">
        <v>856.39</v>
      </c>
      <c r="G103" s="421">
        <v>1356.39</v>
      </c>
      <c r="I103" s="406" t="s">
        <v>203</v>
      </c>
      <c r="J103" s="420">
        <v>-221.19</v>
      </c>
      <c r="K103" s="420">
        <v>278.81</v>
      </c>
      <c r="L103" s="421">
        <v>778.81</v>
      </c>
      <c r="N103" s="406" t="s">
        <v>203</v>
      </c>
      <c r="O103" s="420">
        <v>5982.3</v>
      </c>
      <c r="P103" s="420">
        <v>14375.22</v>
      </c>
      <c r="Q103" s="421">
        <v>22768.14</v>
      </c>
      <c r="S103" s="406" t="s">
        <v>203</v>
      </c>
      <c r="T103" s="420">
        <v>-4600.55</v>
      </c>
      <c r="U103" s="420">
        <v>5798.9</v>
      </c>
      <c r="V103" s="421">
        <v>16198.35</v>
      </c>
    </row>
    <row r="104" spans="4:22" ht="12.5" x14ac:dyDescent="0.25">
      <c r="D104" s="406" t="s">
        <v>204</v>
      </c>
      <c r="E104" s="420">
        <v>732.79</v>
      </c>
      <c r="F104" s="420">
        <v>1232.79</v>
      </c>
      <c r="G104" s="421">
        <v>1732.79</v>
      </c>
      <c r="I104" s="406" t="s">
        <v>204</v>
      </c>
      <c r="J104" s="420">
        <v>121.03</v>
      </c>
      <c r="K104" s="420">
        <v>621.03</v>
      </c>
      <c r="L104" s="421">
        <v>1121.03</v>
      </c>
      <c r="N104" s="406" t="s">
        <v>204</v>
      </c>
      <c r="O104" s="420">
        <v>21252.080000000002</v>
      </c>
      <c r="P104" s="420">
        <v>35752.92</v>
      </c>
      <c r="Q104" s="421">
        <v>50253.75</v>
      </c>
      <c r="S104" s="406" t="s">
        <v>204</v>
      </c>
      <c r="T104" s="420">
        <v>4790.25</v>
      </c>
      <c r="U104" s="420">
        <v>24580.5</v>
      </c>
      <c r="V104" s="421">
        <v>44370.75</v>
      </c>
    </row>
    <row r="126" spans="1:10" ht="12.5" x14ac:dyDescent="0.25">
      <c r="B126" s="454" t="s">
        <v>23</v>
      </c>
      <c r="C126" s="455" t="s">
        <v>23</v>
      </c>
      <c r="D126" s="455" t="s">
        <v>23</v>
      </c>
      <c r="E126" s="455" t="s">
        <v>23</v>
      </c>
      <c r="F126" s="455" t="s">
        <v>23</v>
      </c>
      <c r="G126" s="455" t="s">
        <v>23</v>
      </c>
      <c r="H126" s="455" t="s">
        <v>23</v>
      </c>
      <c r="I126" s="455" t="s">
        <v>23</v>
      </c>
      <c r="J126" s="456" t="s">
        <v>23</v>
      </c>
    </row>
    <row r="127" spans="1:10" ht="12.5" x14ac:dyDescent="0.25">
      <c r="A127" s="457" t="s">
        <v>205</v>
      </c>
      <c r="B127" s="426">
        <v>-1307.21</v>
      </c>
      <c r="C127" s="426">
        <v>2192.79</v>
      </c>
      <c r="D127" s="426">
        <v>5192.79</v>
      </c>
      <c r="E127" s="426">
        <v>-2509.0100000000002</v>
      </c>
      <c r="F127" s="426">
        <v>990.99</v>
      </c>
      <c r="G127" s="426">
        <v>3990.99</v>
      </c>
      <c r="H127" s="426">
        <v>-3710.81</v>
      </c>
      <c r="I127" s="426">
        <v>-210.81</v>
      </c>
      <c r="J127" s="427">
        <v>2789.19</v>
      </c>
    </row>
    <row r="128" spans="1:10" ht="12.5" x14ac:dyDescent="0.25">
      <c r="A128" s="457" t="s">
        <v>206</v>
      </c>
      <c r="B128" s="426">
        <v>-485.04</v>
      </c>
      <c r="C128" s="426">
        <v>3014.96</v>
      </c>
      <c r="D128" s="426">
        <v>6014.96</v>
      </c>
      <c r="E128" s="426">
        <v>-1481.3</v>
      </c>
      <c r="F128" s="426">
        <v>2018.7</v>
      </c>
      <c r="G128" s="426">
        <v>5018.7</v>
      </c>
      <c r="H128" s="426">
        <v>-2477.56</v>
      </c>
      <c r="I128" s="426">
        <v>1022.44</v>
      </c>
      <c r="J128" s="427">
        <v>4022.44</v>
      </c>
    </row>
    <row r="129" spans="1:10" ht="12.5" x14ac:dyDescent="0.25">
      <c r="A129" s="457" t="s">
        <v>207</v>
      </c>
      <c r="B129" s="426">
        <v>79.66</v>
      </c>
      <c r="C129" s="426">
        <v>3579.66</v>
      </c>
      <c r="D129" s="426">
        <v>6579.66</v>
      </c>
      <c r="E129" s="426">
        <v>-775.43</v>
      </c>
      <c r="F129" s="426">
        <v>2724.57</v>
      </c>
      <c r="G129" s="426">
        <v>5724.57</v>
      </c>
      <c r="H129" s="426">
        <v>-1630.51</v>
      </c>
      <c r="I129" s="426">
        <v>1869.49</v>
      </c>
      <c r="J129" s="427">
        <v>4869.49</v>
      </c>
    </row>
    <row r="130" spans="1:10" ht="12.5" x14ac:dyDescent="0.25">
      <c r="A130" s="458"/>
      <c r="B130" s="458"/>
      <c r="C130" s="458"/>
      <c r="D130" s="458"/>
      <c r="E130" s="458"/>
      <c r="F130" s="458"/>
    </row>
    <row r="131" spans="1:10" ht="12.5" x14ac:dyDescent="0.25">
      <c r="A131" s="458"/>
      <c r="B131" s="458"/>
      <c r="C131" s="458"/>
      <c r="D131" s="458"/>
      <c r="E131" s="458"/>
      <c r="F131" s="458"/>
    </row>
    <row r="153" spans="1:10" ht="12.5" x14ac:dyDescent="0.25">
      <c r="B153" s="454" t="s">
        <v>23</v>
      </c>
      <c r="C153" s="455" t="s">
        <v>23</v>
      </c>
      <c r="D153" s="455" t="s">
        <v>23</v>
      </c>
      <c r="E153" s="455" t="s">
        <v>23</v>
      </c>
      <c r="F153" s="455" t="s">
        <v>23</v>
      </c>
      <c r="G153" s="455" t="s">
        <v>23</v>
      </c>
      <c r="H153" s="455" t="s">
        <v>23</v>
      </c>
      <c r="I153" s="455" t="s">
        <v>23</v>
      </c>
      <c r="J153" s="456" t="s">
        <v>23</v>
      </c>
    </row>
    <row r="154" spans="1:10" ht="12.5" x14ac:dyDescent="0.25">
      <c r="A154" s="457" t="s">
        <v>205</v>
      </c>
      <c r="B154" s="426">
        <v>-2048.48</v>
      </c>
      <c r="C154" s="426">
        <v>1451.52</v>
      </c>
      <c r="D154" s="426">
        <v>4451.5200000000004</v>
      </c>
      <c r="E154" s="426">
        <v>-3435.6</v>
      </c>
      <c r="F154" s="426">
        <v>64.400000000000006</v>
      </c>
      <c r="G154" s="426">
        <v>3064.4</v>
      </c>
      <c r="H154" s="426">
        <v>-4822.72</v>
      </c>
      <c r="I154" s="426">
        <v>-1322.72</v>
      </c>
      <c r="J154" s="427">
        <v>1677.28</v>
      </c>
    </row>
    <row r="155" spans="1:10" ht="12.5" x14ac:dyDescent="0.25">
      <c r="A155" s="457" t="s">
        <v>206</v>
      </c>
      <c r="B155" s="426">
        <v>-1270.46</v>
      </c>
      <c r="C155" s="426">
        <v>2229.54</v>
      </c>
      <c r="D155" s="426">
        <v>5229.54</v>
      </c>
      <c r="E155" s="426">
        <v>-2463.0700000000002</v>
      </c>
      <c r="F155" s="426">
        <v>1036.93</v>
      </c>
      <c r="G155" s="426">
        <v>4036.93</v>
      </c>
      <c r="H155" s="426">
        <v>-3655.68</v>
      </c>
      <c r="I155" s="426">
        <v>-155.68</v>
      </c>
      <c r="J155" s="427">
        <v>2844.32</v>
      </c>
    </row>
    <row r="156" spans="1:10" ht="12.5" x14ac:dyDescent="0.25">
      <c r="A156" s="457" t="s">
        <v>207</v>
      </c>
      <c r="B156" s="426">
        <v>-777.64</v>
      </c>
      <c r="C156" s="426">
        <v>2722.36</v>
      </c>
      <c r="D156" s="426">
        <v>5722.36</v>
      </c>
      <c r="E156" s="426">
        <v>-1847.05</v>
      </c>
      <c r="F156" s="426">
        <v>1652.95</v>
      </c>
      <c r="G156" s="426">
        <v>4652.95</v>
      </c>
      <c r="H156" s="426">
        <v>-2916.46</v>
      </c>
      <c r="I156" s="426">
        <v>583.54</v>
      </c>
      <c r="J156" s="427">
        <v>3583.54</v>
      </c>
    </row>
    <row r="178" spans="1:10" ht="12.5" x14ac:dyDescent="0.25">
      <c r="B178" s="454" t="s">
        <v>23</v>
      </c>
      <c r="C178" s="455" t="s">
        <v>23</v>
      </c>
      <c r="D178" s="455" t="s">
        <v>23</v>
      </c>
      <c r="E178" s="455" t="s">
        <v>23</v>
      </c>
      <c r="F178" s="455" t="s">
        <v>23</v>
      </c>
      <c r="G178" s="455" t="s">
        <v>23</v>
      </c>
      <c r="H178" s="455" t="s">
        <v>23</v>
      </c>
      <c r="I178" s="455" t="s">
        <v>23</v>
      </c>
      <c r="J178" s="456" t="s">
        <v>23</v>
      </c>
    </row>
    <row r="179" spans="1:10" ht="12.5" x14ac:dyDescent="0.25">
      <c r="A179" s="457" t="s">
        <v>205</v>
      </c>
      <c r="B179" s="426">
        <v>-14466.6</v>
      </c>
      <c r="C179" s="426">
        <v>24267.200000000001</v>
      </c>
      <c r="D179" s="426">
        <v>57467.59</v>
      </c>
      <c r="E179" s="426">
        <v>-27766.7</v>
      </c>
      <c r="F179" s="426">
        <v>10967.1</v>
      </c>
      <c r="G179" s="426">
        <v>44167.5</v>
      </c>
      <c r="H179" s="426">
        <v>-41066.800000000003</v>
      </c>
      <c r="I179" s="426">
        <v>-2333</v>
      </c>
      <c r="J179" s="427">
        <v>30867.4</v>
      </c>
    </row>
    <row r="180" spans="1:10" ht="12.5" x14ac:dyDescent="0.25">
      <c r="A180" s="457" t="s">
        <v>206</v>
      </c>
      <c r="B180" s="426">
        <v>-9848.14</v>
      </c>
      <c r="C180" s="426">
        <v>61214.87</v>
      </c>
      <c r="D180" s="426">
        <v>122126.03</v>
      </c>
      <c r="E180" s="426">
        <v>-30075.93</v>
      </c>
      <c r="F180" s="426">
        <v>40987.08</v>
      </c>
      <c r="G180" s="426">
        <v>101898.24000000001</v>
      </c>
      <c r="H180" s="426">
        <v>-50303.72</v>
      </c>
      <c r="I180" s="426">
        <v>20759.3</v>
      </c>
      <c r="J180" s="427">
        <v>81670.45</v>
      </c>
    </row>
    <row r="181" spans="1:10" ht="12.5" x14ac:dyDescent="0.25">
      <c r="A181" s="457" t="s">
        <v>207</v>
      </c>
      <c r="B181" s="426">
        <v>3790.21</v>
      </c>
      <c r="C181" s="426">
        <v>170321.64</v>
      </c>
      <c r="D181" s="426">
        <v>313062.88</v>
      </c>
      <c r="E181" s="426">
        <v>-36895.1</v>
      </c>
      <c r="F181" s="426">
        <v>129636.34</v>
      </c>
      <c r="G181" s="426">
        <v>272377.57</v>
      </c>
      <c r="H181" s="426">
        <v>-77580.41</v>
      </c>
      <c r="I181" s="426">
        <v>88951.03</v>
      </c>
      <c r="J181" s="427">
        <v>231692.26</v>
      </c>
    </row>
    <row r="202" spans="1:10" ht="12.5" x14ac:dyDescent="0.25">
      <c r="B202" s="454" t="s">
        <v>23</v>
      </c>
      <c r="C202" s="455" t="s">
        <v>23</v>
      </c>
      <c r="D202" s="455" t="s">
        <v>23</v>
      </c>
      <c r="E202" s="455" t="s">
        <v>23</v>
      </c>
      <c r="F202" s="455" t="s">
        <v>23</v>
      </c>
      <c r="G202" s="455" t="s">
        <v>23</v>
      </c>
      <c r="H202" s="455" t="s">
        <v>23</v>
      </c>
      <c r="I202" s="455" t="s">
        <v>23</v>
      </c>
      <c r="J202" s="456" t="s">
        <v>23</v>
      </c>
    </row>
    <row r="203" spans="1:10" ht="12.5" x14ac:dyDescent="0.25">
      <c r="A203" s="457" t="s">
        <v>205</v>
      </c>
      <c r="B203" s="426">
        <v>-26457.95</v>
      </c>
      <c r="C203" s="426">
        <v>18747.71</v>
      </c>
      <c r="D203" s="426">
        <v>57495.42</v>
      </c>
      <c r="E203" s="426">
        <v>-44373.86</v>
      </c>
      <c r="F203" s="426">
        <v>831.81</v>
      </c>
      <c r="G203" s="426">
        <v>38579.519999999997</v>
      </c>
      <c r="H203" s="426">
        <v>-62289.760000000002</v>
      </c>
      <c r="I203" s="426">
        <v>-17084.099999999999</v>
      </c>
      <c r="J203" s="427">
        <v>21663.62</v>
      </c>
    </row>
    <row r="204" spans="1:10" ht="12.5" x14ac:dyDescent="0.25">
      <c r="A204" s="457" t="s">
        <v>206</v>
      </c>
      <c r="B204" s="426">
        <v>-32979.339999999997</v>
      </c>
      <c r="C204" s="426">
        <v>57876.05</v>
      </c>
      <c r="D204" s="426">
        <v>135752.09</v>
      </c>
      <c r="E204" s="426">
        <v>63938.02</v>
      </c>
      <c r="F204" s="426">
        <v>26917.360000000001</v>
      </c>
      <c r="G204" s="426">
        <v>104793.41</v>
      </c>
      <c r="H204" s="426">
        <v>-94896.71</v>
      </c>
      <c r="I204" s="426">
        <v>-4041.32</v>
      </c>
      <c r="J204" s="427">
        <v>73834.73</v>
      </c>
    </row>
    <row r="205" spans="1:10" ht="12.5" x14ac:dyDescent="0.25">
      <c r="A205" s="457" t="s">
        <v>207</v>
      </c>
      <c r="B205" s="426">
        <v>-56017.55</v>
      </c>
      <c r="C205" s="426">
        <v>196105.32</v>
      </c>
      <c r="D205" s="426">
        <v>412210.65</v>
      </c>
      <c r="E205" s="426">
        <v>-133052.66</v>
      </c>
      <c r="F205" s="426">
        <v>119070.22</v>
      </c>
      <c r="G205" s="426">
        <v>335175.53999999998</v>
      </c>
      <c r="H205" s="426">
        <v>-210087.77</v>
      </c>
      <c r="I205" s="426">
        <v>42035.11</v>
      </c>
      <c r="J205" s="427">
        <v>258140.43</v>
      </c>
    </row>
    <row r="220" spans="6:6" ht="15.5" x14ac:dyDescent="0.35">
      <c r="F220" s="459"/>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Case 50</vt:lpstr>
      <vt:lpstr>Investment Options</vt:lpstr>
      <vt:lpstr>Project 1</vt:lpstr>
      <vt:lpstr>Project 2</vt:lpstr>
      <vt:lpstr>Project 3</vt:lpstr>
      <vt:lpstr>Project 4</vt:lpstr>
      <vt:lpstr>avgR</vt:lpstr>
      <vt:lpstr>marr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Avishek Banerji</cp:lastModifiedBy>
  <dcterms:modified xsi:type="dcterms:W3CDTF">2023-01-29T19:45:28Z</dcterms:modified>
</cp:coreProperties>
</file>