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40" windowHeight="11670"/>
  </bookViews>
  <sheets>
    <sheet name="沪深Ａ股20211120" sheetId="1" r:id="rId1"/>
  </sheets>
  <calcPr calcId="144525"/>
</workbook>
</file>

<file path=xl/sharedStrings.xml><?xml version="1.0" encoding="utf-8"?>
<sst xmlns="http://schemas.openxmlformats.org/spreadsheetml/2006/main" count="19412" uniqueCount="8705">
  <si>
    <t>代码</t>
  </si>
  <si>
    <t>名称</t>
  </si>
  <si>
    <t>涨幅%</t>
  </si>
  <si>
    <t>现价</t>
  </si>
  <si>
    <t>涨跌</t>
  </si>
  <si>
    <t>买价</t>
  </si>
  <si>
    <t>卖价</t>
  </si>
  <si>
    <t>总量</t>
  </si>
  <si>
    <t>现量</t>
  </si>
  <si>
    <t>涨速%</t>
  </si>
  <si>
    <t>换手%</t>
  </si>
  <si>
    <t>总金额</t>
  </si>
  <si>
    <t>AB股总市值</t>
  </si>
  <si>
    <t>细分行业</t>
  </si>
  <si>
    <t>今开</t>
  </si>
  <si>
    <t>最高</t>
  </si>
  <si>
    <t>最低</t>
  </si>
  <si>
    <t>昨收</t>
  </si>
  <si>
    <t>市盈(动)</t>
  </si>
  <si>
    <t>量比</t>
  </si>
  <si>
    <t>地区</t>
  </si>
  <si>
    <t>平安银行</t>
  </si>
  <si>
    <t xml:space="preserve">       3522.17亿</t>
  </si>
  <si>
    <t>银行</t>
  </si>
  <si>
    <t>深圳</t>
  </si>
  <si>
    <t>万 科Ａ</t>
  </si>
  <si>
    <t xml:space="preserve">       1935.12亿</t>
  </si>
  <si>
    <t>全国地产</t>
  </si>
  <si>
    <t>国华网安</t>
  </si>
  <si>
    <t xml:space="preserve">         29.27亿</t>
  </si>
  <si>
    <t>软件服务</t>
  </si>
  <si>
    <t>ST星源</t>
  </si>
  <si>
    <t xml:space="preserve">         22.86亿</t>
  </si>
  <si>
    <t>环境保护</t>
  </si>
  <si>
    <t>深振业Ａ</t>
  </si>
  <si>
    <t xml:space="preserve">         56.43亿</t>
  </si>
  <si>
    <t>区域地产</t>
  </si>
  <si>
    <t>*ST全新</t>
  </si>
  <si>
    <t xml:space="preserve">         21.17亿</t>
  </si>
  <si>
    <t>酒店餐饮</t>
  </si>
  <si>
    <t xml:space="preserve">--  </t>
  </si>
  <si>
    <t>神州高铁</t>
  </si>
  <si>
    <t xml:space="preserve">         60.34亿</t>
  </si>
  <si>
    <t>运输设备</t>
  </si>
  <si>
    <t>北京</t>
  </si>
  <si>
    <t>中国宝安</t>
  </si>
  <si>
    <t xml:space="preserve">        448.53亿</t>
  </si>
  <si>
    <t>电气设备</t>
  </si>
  <si>
    <t>美丽生态</t>
  </si>
  <si>
    <t xml:space="preserve">         32.96亿</t>
  </si>
  <si>
    <t>建筑工程</t>
  </si>
  <si>
    <t>深物业A</t>
  </si>
  <si>
    <t xml:space="preserve">         64.66亿</t>
  </si>
  <si>
    <t>南 玻Ａ</t>
  </si>
  <si>
    <t xml:space="preserve">        306.46亿</t>
  </si>
  <si>
    <t>玻璃</t>
  </si>
  <si>
    <t>沙河股份</t>
  </si>
  <si>
    <t xml:space="preserve">         14.56亿</t>
  </si>
  <si>
    <t>深康佳Ａ</t>
  </si>
  <si>
    <t xml:space="preserve">        149.29亿</t>
  </si>
  <si>
    <t>家用电器</t>
  </si>
  <si>
    <t>深中华A</t>
  </si>
  <si>
    <t xml:space="preserve">         20.34亿</t>
  </si>
  <si>
    <t>文教休闲</t>
  </si>
  <si>
    <t>深粮控股</t>
  </si>
  <si>
    <t xml:space="preserve">         78.14亿</t>
  </si>
  <si>
    <t>其他商业</t>
  </si>
  <si>
    <t>深华发Ａ</t>
  </si>
  <si>
    <t xml:space="preserve">         25.40亿</t>
  </si>
  <si>
    <t>元器件</t>
  </si>
  <si>
    <t>深科技</t>
  </si>
  <si>
    <t xml:space="preserve">        244.70亿</t>
  </si>
  <si>
    <t>IT设备</t>
  </si>
  <si>
    <t>深天地Ａ</t>
  </si>
  <si>
    <t xml:space="preserve">         17.16亿</t>
  </si>
  <si>
    <t>水泥</t>
  </si>
  <si>
    <t>特 力Ａ</t>
  </si>
  <si>
    <t xml:space="preserve">         62.59亿</t>
  </si>
  <si>
    <t>汽车服务</t>
  </si>
  <si>
    <t>飞亚达</t>
  </si>
  <si>
    <t xml:space="preserve">         49.81亿</t>
  </si>
  <si>
    <t>深圳能源</t>
  </si>
  <si>
    <t xml:space="preserve">        375.83亿</t>
  </si>
  <si>
    <t>火力发电</t>
  </si>
  <si>
    <t>国药一致</t>
  </si>
  <si>
    <t xml:space="preserve">        142.44亿</t>
  </si>
  <si>
    <t>医药商业</t>
  </si>
  <si>
    <t>深深房Ａ</t>
  </si>
  <si>
    <t xml:space="preserve">         71.02亿</t>
  </si>
  <si>
    <t>富奥股份</t>
  </si>
  <si>
    <t xml:space="preserve">        133.62亿</t>
  </si>
  <si>
    <t>汽车配件</t>
  </si>
  <si>
    <t>吉林</t>
  </si>
  <si>
    <t>大悦城</t>
  </si>
  <si>
    <t xml:space="preserve">        145.31亿</t>
  </si>
  <si>
    <t>深桑达Ａ</t>
  </si>
  <si>
    <t xml:space="preserve">        205.77亿</t>
  </si>
  <si>
    <t>神州数码</t>
  </si>
  <si>
    <t xml:space="preserve">        103.65亿</t>
  </si>
  <si>
    <t>综合类</t>
  </si>
  <si>
    <t>中国天楹</t>
  </si>
  <si>
    <t xml:space="preserve">        140.07亿</t>
  </si>
  <si>
    <t>江苏</t>
  </si>
  <si>
    <t>华联控股</t>
  </si>
  <si>
    <t xml:space="preserve">         73.45亿</t>
  </si>
  <si>
    <t>深南电A</t>
  </si>
  <si>
    <t xml:space="preserve">         44.00亿</t>
  </si>
  <si>
    <t>深大通</t>
  </si>
  <si>
    <t xml:space="preserve">         44.07亿</t>
  </si>
  <si>
    <t>中集集团</t>
  </si>
  <si>
    <t xml:space="preserve">        251.91亿</t>
  </si>
  <si>
    <t>轻工机械</t>
  </si>
  <si>
    <t>东旭蓝天</t>
  </si>
  <si>
    <t xml:space="preserve">         49.36亿</t>
  </si>
  <si>
    <t>新型电力</t>
  </si>
  <si>
    <t>中洲控股</t>
  </si>
  <si>
    <t xml:space="preserve">         47.80亿</t>
  </si>
  <si>
    <t>深纺织Ａ</t>
  </si>
  <si>
    <t xml:space="preserve">         52.53亿</t>
  </si>
  <si>
    <t>泛海控股</t>
  </si>
  <si>
    <t xml:space="preserve">         91.97亿</t>
  </si>
  <si>
    <t>多元金融</t>
  </si>
  <si>
    <t>京基智农</t>
  </si>
  <si>
    <t xml:space="preserve">         91.67亿</t>
  </si>
  <si>
    <t>饲料</t>
  </si>
  <si>
    <t>德赛电池</t>
  </si>
  <si>
    <t xml:space="preserve">        133.21亿</t>
  </si>
  <si>
    <t>深天马Ａ</t>
  </si>
  <si>
    <t xml:space="preserve">        307.71亿</t>
  </si>
  <si>
    <t>方大集团</t>
  </si>
  <si>
    <t xml:space="preserve">         52.73亿</t>
  </si>
  <si>
    <t>其他建材</t>
  </si>
  <si>
    <t>皇庭国际</t>
  </si>
  <si>
    <t xml:space="preserve">         51.68亿</t>
  </si>
  <si>
    <t>房产服务</t>
  </si>
  <si>
    <t>深 赛 格</t>
  </si>
  <si>
    <t xml:space="preserve">         77.23亿</t>
  </si>
  <si>
    <t>商品城</t>
  </si>
  <si>
    <t>华锦股份</t>
  </si>
  <si>
    <t xml:space="preserve">        101.88亿</t>
  </si>
  <si>
    <t>石油加工</t>
  </si>
  <si>
    <t>辽宁</t>
  </si>
  <si>
    <t>中金岭南</t>
  </si>
  <si>
    <t xml:space="preserve">        176.30亿</t>
  </si>
  <si>
    <t>铅锌</t>
  </si>
  <si>
    <t>农 产 品</t>
  </si>
  <si>
    <t xml:space="preserve">        105.72亿</t>
  </si>
  <si>
    <t>农业综合</t>
  </si>
  <si>
    <t>深圳华强</t>
  </si>
  <si>
    <t xml:space="preserve">        172.26亿</t>
  </si>
  <si>
    <t>批发业</t>
  </si>
  <si>
    <t>中兴通讯</t>
  </si>
  <si>
    <t xml:space="preserve">       1271.04亿</t>
  </si>
  <si>
    <t>通信设备</t>
  </si>
  <si>
    <t>北方国际</t>
  </si>
  <si>
    <t xml:space="preserve">         60.49亿</t>
  </si>
  <si>
    <t>中国长城</t>
  </si>
  <si>
    <t xml:space="preserve">        404.32亿</t>
  </si>
  <si>
    <t>华控赛格</t>
  </si>
  <si>
    <t xml:space="preserve">         31.61亿</t>
  </si>
  <si>
    <t>华侨城Ａ</t>
  </si>
  <si>
    <t xml:space="preserve">        520.81亿</t>
  </si>
  <si>
    <t>旅游景点</t>
  </si>
  <si>
    <t>特发信息</t>
  </si>
  <si>
    <t xml:space="preserve">         52.31亿</t>
  </si>
  <si>
    <t>海王生物</t>
  </si>
  <si>
    <t xml:space="preserve">         86.65亿</t>
  </si>
  <si>
    <t>盐 田 港</t>
  </si>
  <si>
    <t xml:space="preserve">        116.73亿</t>
  </si>
  <si>
    <t>港口</t>
  </si>
  <si>
    <t>深圳机场</t>
  </si>
  <si>
    <t xml:space="preserve">        148.07亿</t>
  </si>
  <si>
    <t>机场</t>
  </si>
  <si>
    <t>天健集团</t>
  </si>
  <si>
    <t xml:space="preserve">         95.11亿</t>
  </si>
  <si>
    <t>广聚能源</t>
  </si>
  <si>
    <t xml:space="preserve">         45.14亿</t>
  </si>
  <si>
    <t>石油贸易</t>
  </si>
  <si>
    <t>中信海直</t>
  </si>
  <si>
    <t xml:space="preserve">         64.08亿</t>
  </si>
  <si>
    <t>空运</t>
  </si>
  <si>
    <t>TCL科技</t>
  </si>
  <si>
    <t xml:space="preserve">        892.35亿</t>
  </si>
  <si>
    <t>广东</t>
  </si>
  <si>
    <t>宜华健康</t>
  </si>
  <si>
    <t xml:space="preserve">         31.60亿</t>
  </si>
  <si>
    <t>医疗保健</t>
  </si>
  <si>
    <t>中成股份</t>
  </si>
  <si>
    <t xml:space="preserve">         26.82亿</t>
  </si>
  <si>
    <t>商贸代理</t>
  </si>
  <si>
    <t>丰原药业</t>
  </si>
  <si>
    <t xml:space="preserve">         34.30亿</t>
  </si>
  <si>
    <t>化学制药</t>
  </si>
  <si>
    <t>安徽</t>
  </si>
  <si>
    <t>川能动力</t>
  </si>
  <si>
    <t xml:space="preserve">        347.73亿</t>
  </si>
  <si>
    <t>四川</t>
  </si>
  <si>
    <t>华数传媒</t>
  </si>
  <si>
    <t xml:space="preserve">        140.08亿</t>
  </si>
  <si>
    <t>影视音像</t>
  </si>
  <si>
    <t>浙江</t>
  </si>
  <si>
    <t>中联重科</t>
  </si>
  <si>
    <t xml:space="preserve">        488.71亿</t>
  </si>
  <si>
    <t>工程机械</t>
  </si>
  <si>
    <t>湖南</t>
  </si>
  <si>
    <t>常山北明</t>
  </si>
  <si>
    <t xml:space="preserve">        110.46亿</t>
  </si>
  <si>
    <t>河北</t>
  </si>
  <si>
    <t>国际实业</t>
  </si>
  <si>
    <t xml:space="preserve">         30.57亿</t>
  </si>
  <si>
    <t>新疆</t>
  </si>
  <si>
    <t>申万宏源</t>
  </si>
  <si>
    <t xml:space="preserve">       1167.36亿</t>
  </si>
  <si>
    <t>证券</t>
  </si>
  <si>
    <t>东方盛虹</t>
  </si>
  <si>
    <t xml:space="preserve">       1116.86亿</t>
  </si>
  <si>
    <t>化纤</t>
  </si>
  <si>
    <t>美的集团</t>
  </si>
  <si>
    <t xml:space="preserve">       4886.92亿</t>
  </si>
  <si>
    <t>潍柴动力</t>
  </si>
  <si>
    <t xml:space="preserve">       1092.15亿</t>
  </si>
  <si>
    <t>山东</t>
  </si>
  <si>
    <t>许继电气</t>
  </si>
  <si>
    <t xml:space="preserve">        241.60亿</t>
  </si>
  <si>
    <t>河南</t>
  </si>
  <si>
    <t>冀东水泥</t>
  </si>
  <si>
    <t xml:space="preserve">        168.93亿</t>
  </si>
  <si>
    <t>金 融 街</t>
  </si>
  <si>
    <t xml:space="preserve">        170.07亿</t>
  </si>
  <si>
    <t>派林生物</t>
  </si>
  <si>
    <t xml:space="preserve">        226.28亿</t>
  </si>
  <si>
    <t>生物制药</t>
  </si>
  <si>
    <t>山西</t>
  </si>
  <si>
    <t>长虹华意</t>
  </si>
  <si>
    <t xml:space="preserve">         31.25亿</t>
  </si>
  <si>
    <t>江西</t>
  </si>
  <si>
    <t>胜利股份</t>
  </si>
  <si>
    <t xml:space="preserve">         37.49亿</t>
  </si>
  <si>
    <t>供气供热</t>
  </si>
  <si>
    <t>藏格控股</t>
  </si>
  <si>
    <t xml:space="preserve">        533.34亿</t>
  </si>
  <si>
    <t>农药化肥</t>
  </si>
  <si>
    <t>青海</t>
  </si>
  <si>
    <t>云鼎科技</t>
  </si>
  <si>
    <t xml:space="preserve">         26.26亿</t>
  </si>
  <si>
    <t>ST沈机</t>
  </si>
  <si>
    <t xml:space="preserve">         77.47亿</t>
  </si>
  <si>
    <t>机床制造</t>
  </si>
  <si>
    <t>英特集团</t>
  </si>
  <si>
    <t xml:space="preserve">         33.36亿</t>
  </si>
  <si>
    <t>东旭光电</t>
  </si>
  <si>
    <t xml:space="preserve">        119.76亿</t>
  </si>
  <si>
    <t>渤海租赁</t>
  </si>
  <si>
    <t xml:space="preserve">        176.26亿</t>
  </si>
  <si>
    <t>民生控股</t>
  </si>
  <si>
    <t xml:space="preserve">         24.94亿</t>
  </si>
  <si>
    <t>合肥百货</t>
  </si>
  <si>
    <t xml:space="preserve">         32.68亿</t>
  </si>
  <si>
    <t>百货</t>
  </si>
  <si>
    <t>通程控股</t>
  </si>
  <si>
    <t xml:space="preserve">         23.05亿</t>
  </si>
  <si>
    <t>吉林化纤</t>
  </si>
  <si>
    <t xml:space="preserve">        129.67亿</t>
  </si>
  <si>
    <t>南京公用</t>
  </si>
  <si>
    <t xml:space="preserve">         26.17亿</t>
  </si>
  <si>
    <t>湖北宜化</t>
  </si>
  <si>
    <t xml:space="preserve">        228.78亿</t>
  </si>
  <si>
    <t>湖北</t>
  </si>
  <si>
    <t>东阿阿胶</t>
  </si>
  <si>
    <t xml:space="preserve">        272.73亿</t>
  </si>
  <si>
    <t>中成药</t>
  </si>
  <si>
    <t>徐工机械</t>
  </si>
  <si>
    <t xml:space="preserve">        472.37亿</t>
  </si>
  <si>
    <t>兴业矿业</t>
  </si>
  <si>
    <t xml:space="preserve">        143.67亿</t>
  </si>
  <si>
    <t>内蒙</t>
  </si>
  <si>
    <t>华天酒店</t>
  </si>
  <si>
    <t xml:space="preserve">         30.87亿</t>
  </si>
  <si>
    <t>粤高速Ａ</t>
  </si>
  <si>
    <t xml:space="preserve">        147.40亿</t>
  </si>
  <si>
    <t>路桥</t>
  </si>
  <si>
    <t>张家界</t>
  </si>
  <si>
    <t xml:space="preserve">         21.94亿</t>
  </si>
  <si>
    <t>晨鸣纸业</t>
  </si>
  <si>
    <t xml:space="preserve">        173.39亿</t>
  </si>
  <si>
    <t>造纸</t>
  </si>
  <si>
    <t>山东路桥</t>
  </si>
  <si>
    <t xml:space="preserve">         95.35亿</t>
  </si>
  <si>
    <t>鄂武商Ａ</t>
  </si>
  <si>
    <t xml:space="preserve">         77.98亿</t>
  </si>
  <si>
    <t>*ST绿景</t>
  </si>
  <si>
    <t xml:space="preserve">         11.27亿</t>
  </si>
  <si>
    <t>国新健康</t>
  </si>
  <si>
    <t xml:space="preserve">         62.42亿</t>
  </si>
  <si>
    <t>海南</t>
  </si>
  <si>
    <t>南华生物</t>
  </si>
  <si>
    <t xml:space="preserve">         53.15亿</t>
  </si>
  <si>
    <t>京粮控股</t>
  </si>
  <si>
    <t xml:space="preserve">         52.27亿</t>
  </si>
  <si>
    <t>食品</t>
  </si>
  <si>
    <t>中润资源</t>
  </si>
  <si>
    <t xml:space="preserve">         28.71亿</t>
  </si>
  <si>
    <t>黄金</t>
  </si>
  <si>
    <t>珠海港</t>
  </si>
  <si>
    <t xml:space="preserve">         60.43亿</t>
  </si>
  <si>
    <t>*ST华塑</t>
  </si>
  <si>
    <t xml:space="preserve">         31.76亿</t>
  </si>
  <si>
    <t>新金路</t>
  </si>
  <si>
    <t xml:space="preserve">         33.63亿</t>
  </si>
  <si>
    <t>化工原料</t>
  </si>
  <si>
    <t>丽珠集团</t>
  </si>
  <si>
    <t xml:space="preserve">        229.51亿</t>
  </si>
  <si>
    <t>渝 开 发</t>
  </si>
  <si>
    <t xml:space="preserve">         25.99亿</t>
  </si>
  <si>
    <t>重庆</t>
  </si>
  <si>
    <t>国际医学</t>
  </si>
  <si>
    <t xml:space="preserve">        241.48亿</t>
  </si>
  <si>
    <t>陕西</t>
  </si>
  <si>
    <t>荣安地产</t>
  </si>
  <si>
    <t xml:space="preserve">         74.50亿</t>
  </si>
  <si>
    <t>四环生物</t>
  </si>
  <si>
    <t xml:space="preserve">         32.95亿</t>
  </si>
  <si>
    <t>中兵红箭</t>
  </si>
  <si>
    <t xml:space="preserve">        421.39亿</t>
  </si>
  <si>
    <t>专用机械</t>
  </si>
  <si>
    <t>长航凤凰</t>
  </si>
  <si>
    <t xml:space="preserve">         33.80亿</t>
  </si>
  <si>
    <t>水运</t>
  </si>
  <si>
    <t>长虹美菱</t>
  </si>
  <si>
    <t xml:space="preserve">         34.58亿</t>
  </si>
  <si>
    <t>*ST浪奇</t>
  </si>
  <si>
    <t xml:space="preserve">         21.65亿</t>
  </si>
  <si>
    <t>日用化工</t>
  </si>
  <si>
    <t>岭南控股</t>
  </si>
  <si>
    <t xml:space="preserve">         47.79亿</t>
  </si>
  <si>
    <t>ST红太阳</t>
  </si>
  <si>
    <t xml:space="preserve">         31.30亿</t>
  </si>
  <si>
    <t>学大教育</t>
  </si>
  <si>
    <t xml:space="preserve">         20.64亿</t>
  </si>
  <si>
    <t>福建</t>
  </si>
  <si>
    <t>柳 工</t>
  </si>
  <si>
    <t xml:space="preserve">        111.38亿</t>
  </si>
  <si>
    <t>广西</t>
  </si>
  <si>
    <t>广弘控股</t>
  </si>
  <si>
    <t xml:space="preserve">         34.27亿</t>
  </si>
  <si>
    <t>冰山冷热</t>
  </si>
  <si>
    <t xml:space="preserve">         34.07亿</t>
  </si>
  <si>
    <t>机械基件</t>
  </si>
  <si>
    <t>穗恒运Ａ</t>
  </si>
  <si>
    <t xml:space="preserve">         53.98亿</t>
  </si>
  <si>
    <t>华金资本</t>
  </si>
  <si>
    <t xml:space="preserve">         41.68亿</t>
  </si>
  <si>
    <t>顺钠股份</t>
  </si>
  <si>
    <t xml:space="preserve">         27.56亿</t>
  </si>
  <si>
    <t>万泽股份</t>
  </si>
  <si>
    <t xml:space="preserve">         76.34亿</t>
  </si>
  <si>
    <t>华映科技</t>
  </si>
  <si>
    <t xml:space="preserve">         71.09亿</t>
  </si>
  <si>
    <t>广宇发展</t>
  </si>
  <si>
    <t xml:space="preserve">        354.44亿</t>
  </si>
  <si>
    <t>天津</t>
  </si>
  <si>
    <t>云南白药</t>
  </si>
  <si>
    <t xml:space="preserve">       1151.48亿</t>
  </si>
  <si>
    <t>云南</t>
  </si>
  <si>
    <t>粤电力Ａ</t>
  </si>
  <si>
    <t xml:space="preserve">        227.86亿</t>
  </si>
  <si>
    <t>中天金融</t>
  </si>
  <si>
    <t xml:space="preserve">        191.94亿</t>
  </si>
  <si>
    <t>贵州</t>
  </si>
  <si>
    <t>佛山照明</t>
  </si>
  <si>
    <t xml:space="preserve">         79.34亿</t>
  </si>
  <si>
    <t>皖能电力</t>
  </si>
  <si>
    <t xml:space="preserve">         86.82亿</t>
  </si>
  <si>
    <t>中原环保</t>
  </si>
  <si>
    <t xml:space="preserve">         61.21亿</t>
  </si>
  <si>
    <t>金浦钛业</t>
  </si>
  <si>
    <t xml:space="preserve">         38.49亿</t>
  </si>
  <si>
    <t>金圆股份</t>
  </si>
  <si>
    <t xml:space="preserve">         93.62亿</t>
  </si>
  <si>
    <t>航天发展</t>
  </si>
  <si>
    <t xml:space="preserve">        275.51亿</t>
  </si>
  <si>
    <t>湖南投资</t>
  </si>
  <si>
    <t xml:space="preserve">         18.57亿</t>
  </si>
  <si>
    <t>江铃汽车</t>
  </si>
  <si>
    <t xml:space="preserve">        137.16亿</t>
  </si>
  <si>
    <t>汽车整车</t>
  </si>
  <si>
    <t>创元科技</t>
  </si>
  <si>
    <t xml:space="preserve">         42.01亿</t>
  </si>
  <si>
    <t>靖远煤电</t>
  </si>
  <si>
    <t xml:space="preserve">         67.92亿</t>
  </si>
  <si>
    <t>煤炭开采</t>
  </si>
  <si>
    <t>甘肃</t>
  </si>
  <si>
    <t>安道麦A</t>
  </si>
  <si>
    <t xml:space="preserve">        179.86亿</t>
  </si>
  <si>
    <t>泰山石油</t>
  </si>
  <si>
    <t xml:space="preserve">         22.84亿</t>
  </si>
  <si>
    <t>神州信息</t>
  </si>
  <si>
    <t xml:space="preserve">        113.75亿</t>
  </si>
  <si>
    <t>西部创业</t>
  </si>
  <si>
    <t xml:space="preserve">         52.06亿</t>
  </si>
  <si>
    <t>铁路</t>
  </si>
  <si>
    <t>宁夏</t>
  </si>
  <si>
    <t>莱茵体育</t>
  </si>
  <si>
    <t xml:space="preserve">         47.31亿</t>
  </si>
  <si>
    <t>万向钱潮</t>
  </si>
  <si>
    <t xml:space="preserve">        204.50亿</t>
  </si>
  <si>
    <t>我爱我家</t>
  </si>
  <si>
    <t xml:space="preserve">         70.90亿</t>
  </si>
  <si>
    <t>烽火电子</t>
  </si>
  <si>
    <t xml:space="preserve">         46.74亿</t>
  </si>
  <si>
    <t>陕国投Ａ</t>
  </si>
  <si>
    <t xml:space="preserve">        124.47亿</t>
  </si>
  <si>
    <t>*ST大集</t>
  </si>
  <si>
    <t xml:space="preserve">        260.22亿</t>
  </si>
  <si>
    <t>渝三峡Ａ</t>
  </si>
  <si>
    <t xml:space="preserve">         24.71亿</t>
  </si>
  <si>
    <t>染料涂料</t>
  </si>
  <si>
    <t>海南海药</t>
  </si>
  <si>
    <t xml:space="preserve">         59.55亿</t>
  </si>
  <si>
    <t>海德股份</t>
  </si>
  <si>
    <t xml:space="preserve">        101.81亿</t>
  </si>
  <si>
    <t>泸州老窖</t>
  </si>
  <si>
    <t xml:space="preserve">       3376.69亿</t>
  </si>
  <si>
    <t>白酒</t>
  </si>
  <si>
    <t>苏常柴Ａ</t>
  </si>
  <si>
    <t xml:space="preserve">         43.05亿</t>
  </si>
  <si>
    <t>ST大洲</t>
  </si>
  <si>
    <t>海马汽车</t>
  </si>
  <si>
    <t xml:space="preserve">         93.09亿</t>
  </si>
  <si>
    <t>粤宏远Ａ</t>
  </si>
  <si>
    <t xml:space="preserve">         18.96亿</t>
  </si>
  <si>
    <t>甘化科工</t>
  </si>
  <si>
    <t xml:space="preserve">         55.71亿</t>
  </si>
  <si>
    <t>威孚高科</t>
  </si>
  <si>
    <t xml:space="preserve">        224.49亿</t>
  </si>
  <si>
    <t>北部湾港</t>
  </si>
  <si>
    <t xml:space="preserve">        128.71亿</t>
  </si>
  <si>
    <t>哈工智能</t>
  </si>
  <si>
    <t xml:space="preserve">         40.41亿</t>
  </si>
  <si>
    <t>*ST东电</t>
  </si>
  <si>
    <t xml:space="preserve">         12.00亿</t>
  </si>
  <si>
    <t>汇源通信</t>
  </si>
  <si>
    <t xml:space="preserve">         18.59亿</t>
  </si>
  <si>
    <t>*ST金洲</t>
  </si>
  <si>
    <t xml:space="preserve">         31.43亿</t>
  </si>
  <si>
    <t>黑龙江</t>
  </si>
  <si>
    <t>贵州轮胎</t>
  </si>
  <si>
    <t xml:space="preserve">         52.79亿</t>
  </si>
  <si>
    <t>启迪药业</t>
  </si>
  <si>
    <t xml:space="preserve">         19.30亿</t>
  </si>
  <si>
    <t>太阳能</t>
  </si>
  <si>
    <t xml:space="preserve">        284.17亿</t>
  </si>
  <si>
    <t>平潭发展</t>
  </si>
  <si>
    <t xml:space="preserve">         54.67亿</t>
  </si>
  <si>
    <t>林业</t>
  </si>
  <si>
    <t>大通燃气</t>
  </si>
  <si>
    <t xml:space="preserve">         20.48亿</t>
  </si>
  <si>
    <t>宝塔实业</t>
  </si>
  <si>
    <t xml:space="preserve">         29.83亿</t>
  </si>
  <si>
    <t>古井贡酒</t>
  </si>
  <si>
    <t xml:space="preserve">       1379.49亿</t>
  </si>
  <si>
    <t>东北制药</t>
  </si>
  <si>
    <t xml:space="preserve">         70.49亿</t>
  </si>
  <si>
    <t>兴蓉环境</t>
  </si>
  <si>
    <t xml:space="preserve">        166.63亿</t>
  </si>
  <si>
    <t>水务</t>
  </si>
  <si>
    <t>青岛双星</t>
  </si>
  <si>
    <t xml:space="preserve">         32.67亿</t>
  </si>
  <si>
    <t>建投能源</t>
  </si>
  <si>
    <t xml:space="preserve">         81.34亿</t>
  </si>
  <si>
    <t>韶能股份</t>
  </si>
  <si>
    <t xml:space="preserve">         52.51亿</t>
  </si>
  <si>
    <t>水力发电</t>
  </si>
  <si>
    <t>盛达资源</t>
  </si>
  <si>
    <t xml:space="preserve">         86.94亿</t>
  </si>
  <si>
    <t>渤海股份</t>
  </si>
  <si>
    <t xml:space="preserve">         18.02亿</t>
  </si>
  <si>
    <t>ST顺利</t>
  </si>
  <si>
    <t xml:space="preserve">         15.39亿</t>
  </si>
  <si>
    <t>互联网</t>
  </si>
  <si>
    <t>华媒控股</t>
  </si>
  <si>
    <t xml:space="preserve">         40.61亿</t>
  </si>
  <si>
    <t>广告包装</t>
  </si>
  <si>
    <t>阳光股份</t>
  </si>
  <si>
    <t xml:space="preserve">         21.82亿</t>
  </si>
  <si>
    <t>*ST中迪</t>
  </si>
  <si>
    <t xml:space="preserve">         16.82亿</t>
  </si>
  <si>
    <t>西安旅游</t>
  </si>
  <si>
    <t xml:space="preserve">         19.48亿</t>
  </si>
  <si>
    <t>旅游服务</t>
  </si>
  <si>
    <t>*ST天首</t>
  </si>
  <si>
    <t xml:space="preserve">         11.22亿</t>
  </si>
  <si>
    <t>焦作万方</t>
  </si>
  <si>
    <t xml:space="preserve">         85.12亿</t>
  </si>
  <si>
    <t>铝</t>
  </si>
  <si>
    <t>*ST东海A</t>
  </si>
  <si>
    <t xml:space="preserve">         12.63亿</t>
  </si>
  <si>
    <t>奥园美谷</t>
  </si>
  <si>
    <t xml:space="preserve">         92.57亿</t>
  </si>
  <si>
    <t>ST海投</t>
  </si>
  <si>
    <t xml:space="preserve">         27.89亿</t>
  </si>
  <si>
    <t>中油资本</t>
  </si>
  <si>
    <t xml:space="preserve">        635.90亿</t>
  </si>
  <si>
    <t>海螺型材</t>
  </si>
  <si>
    <t xml:space="preserve">         17.96亿</t>
  </si>
  <si>
    <t>新华联</t>
  </si>
  <si>
    <t xml:space="preserve">         36.23亿</t>
  </si>
  <si>
    <t>恒立实业</t>
  </si>
  <si>
    <t xml:space="preserve">         15.90亿</t>
  </si>
  <si>
    <t>吉林敖东</t>
  </si>
  <si>
    <t xml:space="preserve">        193.30亿</t>
  </si>
  <si>
    <t>长安汽车</t>
  </si>
  <si>
    <t xml:space="preserve">       1386.77亿</t>
  </si>
  <si>
    <t>远大控股</t>
  </si>
  <si>
    <t xml:space="preserve">        111.97亿</t>
  </si>
  <si>
    <t>天茂集团</t>
  </si>
  <si>
    <t xml:space="preserve">        157.11亿</t>
  </si>
  <si>
    <t>保险</t>
  </si>
  <si>
    <t>高新发展</t>
  </si>
  <si>
    <t xml:space="preserve">         33.40亿</t>
  </si>
  <si>
    <t>园区开发</t>
  </si>
  <si>
    <t>攀钢钒钛</t>
  </si>
  <si>
    <t xml:space="preserve">        300.64亿</t>
  </si>
  <si>
    <t>小金属</t>
  </si>
  <si>
    <t>铜陵有色</t>
  </si>
  <si>
    <t xml:space="preserve">        368.43亿</t>
  </si>
  <si>
    <t>铜</t>
  </si>
  <si>
    <t>顺发恒业</t>
  </si>
  <si>
    <t xml:space="preserve">         87.33亿</t>
  </si>
  <si>
    <t>三木集团</t>
  </si>
  <si>
    <t xml:space="preserve">         15.32亿</t>
  </si>
  <si>
    <t>合金投资</t>
  </si>
  <si>
    <t xml:space="preserve">         26.11亿</t>
  </si>
  <si>
    <t>英 力 特</t>
  </si>
  <si>
    <t xml:space="preserve">         36.61亿</t>
  </si>
  <si>
    <t>风华高科</t>
  </si>
  <si>
    <t xml:space="preserve">        277.97亿</t>
  </si>
  <si>
    <t>茂化实华</t>
  </si>
  <si>
    <t xml:space="preserve">         21.68亿</t>
  </si>
  <si>
    <t>*ST万方</t>
  </si>
  <si>
    <t xml:space="preserve">         15.84亿</t>
  </si>
  <si>
    <t>西王食品</t>
  </si>
  <si>
    <t xml:space="preserve">         54.40亿</t>
  </si>
  <si>
    <t>仁和药业</t>
  </si>
  <si>
    <t xml:space="preserve">        120.95亿</t>
  </si>
  <si>
    <t>格力电器</t>
  </si>
  <si>
    <t xml:space="preserve">       2123.89亿</t>
  </si>
  <si>
    <t>泰达股份</t>
  </si>
  <si>
    <t xml:space="preserve">         59.32亿</t>
  </si>
  <si>
    <t>金岭矿业</t>
  </si>
  <si>
    <t xml:space="preserve">         48.52亿</t>
  </si>
  <si>
    <t>普钢</t>
  </si>
  <si>
    <t>金科股份</t>
  </si>
  <si>
    <t xml:space="preserve">        236.55亿</t>
  </si>
  <si>
    <t>中钨高新</t>
  </si>
  <si>
    <t xml:space="preserve">        166.56亿</t>
  </si>
  <si>
    <t>珠海中富</t>
  </si>
  <si>
    <t xml:space="preserve">         52.33亿</t>
  </si>
  <si>
    <t>长春高新</t>
  </si>
  <si>
    <t xml:space="preserve">       1149.45亿</t>
  </si>
  <si>
    <t>永安林业</t>
  </si>
  <si>
    <t xml:space="preserve">         31.41亿</t>
  </si>
  <si>
    <t>湖北广电</t>
  </si>
  <si>
    <t xml:space="preserve">         35.54亿</t>
  </si>
  <si>
    <t>经纬纺机</t>
  </si>
  <si>
    <t xml:space="preserve">         59.08亿</t>
  </si>
  <si>
    <t>美好置业</t>
  </si>
  <si>
    <t xml:space="preserve">         40.71亿</t>
  </si>
  <si>
    <t>荣丰控股</t>
  </si>
  <si>
    <t xml:space="preserve">         20.69亿</t>
  </si>
  <si>
    <t>ST金鸿</t>
  </si>
  <si>
    <t xml:space="preserve">         15.99亿</t>
  </si>
  <si>
    <t>阳 光 城</t>
  </si>
  <si>
    <t xml:space="preserve">        125.04亿</t>
  </si>
  <si>
    <t>上峰水泥</t>
  </si>
  <si>
    <t xml:space="preserve">        141.08亿</t>
  </si>
  <si>
    <t>*ST当代</t>
  </si>
  <si>
    <t xml:space="preserve">         13.58亿</t>
  </si>
  <si>
    <t>智度股份</t>
  </si>
  <si>
    <t xml:space="preserve">         90.76亿</t>
  </si>
  <si>
    <t>恒天海龙</t>
  </si>
  <si>
    <t xml:space="preserve">         26.01亿</t>
  </si>
  <si>
    <t>襄阳轴承</t>
  </si>
  <si>
    <t xml:space="preserve">         20.87亿</t>
  </si>
  <si>
    <t>大连友谊</t>
  </si>
  <si>
    <t xml:space="preserve">         14.58亿</t>
  </si>
  <si>
    <t>山推股份</t>
  </si>
  <si>
    <t>视觉中国</t>
  </si>
  <si>
    <t xml:space="preserve">        123.72亿</t>
  </si>
  <si>
    <t>东方电子</t>
  </si>
  <si>
    <t xml:space="preserve">         95.06亿</t>
  </si>
  <si>
    <t>远兴能源</t>
  </si>
  <si>
    <t xml:space="preserve">        263.02亿</t>
  </si>
  <si>
    <t>中山公用</t>
  </si>
  <si>
    <t xml:space="preserve">        128.19亿</t>
  </si>
  <si>
    <t>东北证券</t>
  </si>
  <si>
    <t xml:space="preserve">        212.98亿</t>
  </si>
  <si>
    <t>*ST华讯</t>
  </si>
  <si>
    <t xml:space="preserve">         16.32亿</t>
  </si>
  <si>
    <t>国城矿业</t>
  </si>
  <si>
    <t xml:space="preserve">        159.79亿</t>
  </si>
  <si>
    <t>宝新能源</t>
  </si>
  <si>
    <t xml:space="preserve">        117.50亿</t>
  </si>
  <si>
    <t>亚太实业</t>
  </si>
  <si>
    <t xml:space="preserve">         15.06亿</t>
  </si>
  <si>
    <t>惠天热电</t>
  </si>
  <si>
    <t xml:space="preserve">         24.46亿</t>
  </si>
  <si>
    <t>滨海能源</t>
  </si>
  <si>
    <t xml:space="preserve">         22.46亿</t>
  </si>
  <si>
    <t>炼石航空</t>
  </si>
  <si>
    <t xml:space="preserve">         57.42亿</t>
  </si>
  <si>
    <t>航空</t>
  </si>
  <si>
    <t>沈阳化工</t>
  </si>
  <si>
    <t xml:space="preserve">         48.11亿</t>
  </si>
  <si>
    <t>模塑科技</t>
  </si>
  <si>
    <t xml:space="preserve">         46.68亿</t>
  </si>
  <si>
    <t>厦门信达</t>
  </si>
  <si>
    <t xml:space="preserve">         26.84亿</t>
  </si>
  <si>
    <t>正虹科技</t>
  </si>
  <si>
    <t xml:space="preserve">         12.80亿</t>
  </si>
  <si>
    <t>恒逸石化</t>
  </si>
  <si>
    <t xml:space="preserve">        383.13亿</t>
  </si>
  <si>
    <t>浙江震元</t>
  </si>
  <si>
    <t xml:space="preserve">         23.76亿</t>
  </si>
  <si>
    <t>*ST双环</t>
  </si>
  <si>
    <t xml:space="preserve">         33.37亿</t>
  </si>
  <si>
    <t>中信特钢</t>
  </si>
  <si>
    <t xml:space="preserve">       1064.95亿</t>
  </si>
  <si>
    <t>特种钢</t>
  </si>
  <si>
    <t>河钢股份</t>
  </si>
  <si>
    <t xml:space="preserve">        244.23亿</t>
  </si>
  <si>
    <t>贝瑞基因</t>
  </si>
  <si>
    <t xml:space="preserve">         74.43亿</t>
  </si>
  <si>
    <t>京蓝科技</t>
  </si>
  <si>
    <t xml:space="preserve">         28.56亿</t>
  </si>
  <si>
    <t>锦龙股份</t>
  </si>
  <si>
    <t xml:space="preserve">        148.38亿</t>
  </si>
  <si>
    <t>丰乐种业</t>
  </si>
  <si>
    <t xml:space="preserve">         55.88亿</t>
  </si>
  <si>
    <t>种植业</t>
  </si>
  <si>
    <t>中兴商业</t>
  </si>
  <si>
    <t xml:space="preserve">         19.29亿</t>
  </si>
  <si>
    <t>黑芝麻</t>
  </si>
  <si>
    <t xml:space="preserve">         24.55亿</t>
  </si>
  <si>
    <t>韶钢松山</t>
  </si>
  <si>
    <t xml:space="preserve">         99.20亿</t>
  </si>
  <si>
    <t>苏宁环球</t>
  </si>
  <si>
    <t xml:space="preserve">        135.04亿</t>
  </si>
  <si>
    <t>中原传媒</t>
  </si>
  <si>
    <t xml:space="preserve">         70.60亿</t>
  </si>
  <si>
    <t>出版业</t>
  </si>
  <si>
    <t>新能泰山</t>
  </si>
  <si>
    <t xml:space="preserve">         72.48亿</t>
  </si>
  <si>
    <t>西安饮食</t>
  </si>
  <si>
    <t xml:space="preserve">         18.86亿</t>
  </si>
  <si>
    <t>湖南发展</t>
  </si>
  <si>
    <t xml:space="preserve">         36.25亿</t>
  </si>
  <si>
    <t>美锦能源</t>
  </si>
  <si>
    <t xml:space="preserve">        533.78亿</t>
  </si>
  <si>
    <t>焦炭加工</t>
  </si>
  <si>
    <t>京东方Ａ</t>
  </si>
  <si>
    <t xml:space="preserve">       1895.38亿</t>
  </si>
  <si>
    <t>鲁 泰Ａ</t>
  </si>
  <si>
    <t xml:space="preserve">         54.53亿</t>
  </si>
  <si>
    <t>纺织</t>
  </si>
  <si>
    <t>冠捷科技</t>
  </si>
  <si>
    <t xml:space="preserve">        128.64亿</t>
  </si>
  <si>
    <t>国元证券</t>
  </si>
  <si>
    <t xml:space="preserve">        333.39亿</t>
  </si>
  <si>
    <t>燕京啤酒</t>
  </si>
  <si>
    <t xml:space="preserve">        197.02亿</t>
  </si>
  <si>
    <t>啤酒</t>
  </si>
  <si>
    <t>四川美丰</t>
  </si>
  <si>
    <t xml:space="preserve">         48.62亿</t>
  </si>
  <si>
    <t>泰禾集团</t>
  </si>
  <si>
    <t xml:space="preserve">         54.26亿</t>
  </si>
  <si>
    <t>振华科技</t>
  </si>
  <si>
    <t xml:space="preserve">        579.26亿</t>
  </si>
  <si>
    <t>罗 牛 山</t>
  </si>
  <si>
    <t xml:space="preserve">         80.38亿</t>
  </si>
  <si>
    <t>中交地产</t>
  </si>
  <si>
    <t xml:space="preserve">         35.40亿</t>
  </si>
  <si>
    <t>南风化工</t>
  </si>
  <si>
    <t xml:space="preserve">         38.41亿</t>
  </si>
  <si>
    <t>航发控制</t>
  </si>
  <si>
    <t xml:space="preserve">        383.38亿</t>
  </si>
  <si>
    <t>普洛药业</t>
  </si>
  <si>
    <t xml:space="preserve">        463.51亿</t>
  </si>
  <si>
    <t>国海证券</t>
  </si>
  <si>
    <t xml:space="preserve">        216.15亿</t>
  </si>
  <si>
    <t>锌业股份</t>
  </si>
  <si>
    <t xml:space="preserve">         53.86亿</t>
  </si>
  <si>
    <t>*ST西发</t>
  </si>
  <si>
    <t xml:space="preserve">         15.83亿</t>
  </si>
  <si>
    <t>西藏</t>
  </si>
  <si>
    <t>漳州发展</t>
  </si>
  <si>
    <t xml:space="preserve">         29.25亿</t>
  </si>
  <si>
    <t>山西路桥</t>
  </si>
  <si>
    <t xml:space="preserve">         57.52亿</t>
  </si>
  <si>
    <t>新华制药</t>
  </si>
  <si>
    <t xml:space="preserve">         33.34亿</t>
  </si>
  <si>
    <t>浩物股份</t>
  </si>
  <si>
    <t xml:space="preserve">         28.85亿</t>
  </si>
  <si>
    <t>中色股份</t>
  </si>
  <si>
    <t xml:space="preserve">        103.98亿</t>
  </si>
  <si>
    <t>中百集团</t>
  </si>
  <si>
    <t xml:space="preserve">         31.94亿</t>
  </si>
  <si>
    <t>超市连锁</t>
  </si>
  <si>
    <t>本钢板材</t>
  </si>
  <si>
    <t xml:space="preserve">        167.20亿</t>
  </si>
  <si>
    <t>西藏矿业</t>
  </si>
  <si>
    <t xml:space="preserve">        293.48亿</t>
  </si>
  <si>
    <t>通化金马</t>
  </si>
  <si>
    <t xml:space="preserve">         38.85亿</t>
  </si>
  <si>
    <t>晋控电力</t>
  </si>
  <si>
    <t xml:space="preserve">         96.62亿</t>
  </si>
  <si>
    <t>中航西飞</t>
  </si>
  <si>
    <t xml:space="preserve">       1025.78亿</t>
  </si>
  <si>
    <t>广发证券</t>
  </si>
  <si>
    <t xml:space="preserve">       1331.84亿</t>
  </si>
  <si>
    <t>中核科技</t>
  </si>
  <si>
    <t xml:space="preserve">         51.15亿</t>
  </si>
  <si>
    <t>新兴铸管</t>
  </si>
  <si>
    <t xml:space="preserve">        150.06亿</t>
  </si>
  <si>
    <t>钢加工</t>
  </si>
  <si>
    <t>甘咨询</t>
  </si>
  <si>
    <t xml:space="preserve">         32.18亿</t>
  </si>
  <si>
    <t>ST平能</t>
  </si>
  <si>
    <t xml:space="preserve">         96.76亿</t>
  </si>
  <si>
    <t>美达股份</t>
  </si>
  <si>
    <t>长江证券</t>
  </si>
  <si>
    <t xml:space="preserve">        404.24亿</t>
  </si>
  <si>
    <t>居然之家</t>
  </si>
  <si>
    <t xml:space="preserve">        328.41亿</t>
  </si>
  <si>
    <t>北新建材</t>
  </si>
  <si>
    <t xml:space="preserve">        474.08亿</t>
  </si>
  <si>
    <t>北大医药</t>
  </si>
  <si>
    <t xml:space="preserve">         38.32亿</t>
  </si>
  <si>
    <t>万年青</t>
  </si>
  <si>
    <t xml:space="preserve">         93.06亿</t>
  </si>
  <si>
    <t>华神科技</t>
  </si>
  <si>
    <t xml:space="preserve">         33.28亿</t>
  </si>
  <si>
    <t>甘肃电投</t>
  </si>
  <si>
    <t xml:space="preserve">         75.05亿</t>
  </si>
  <si>
    <t>盐湖股份</t>
  </si>
  <si>
    <t xml:space="preserve">       1526.10亿</t>
  </si>
  <si>
    <t>华闻集团</t>
  </si>
  <si>
    <t xml:space="preserve">         53.73亿</t>
  </si>
  <si>
    <t>英洛华</t>
  </si>
  <si>
    <t xml:space="preserve">         67.34亿</t>
  </si>
  <si>
    <t>矿物制品</t>
  </si>
  <si>
    <t>凯撒旅业</t>
  </si>
  <si>
    <t xml:space="preserve">         66.65亿</t>
  </si>
  <si>
    <t>中国武夷</t>
  </si>
  <si>
    <t xml:space="preserve">         38.96亿</t>
  </si>
  <si>
    <t>中水渔业</t>
  </si>
  <si>
    <t xml:space="preserve">         22.97亿</t>
  </si>
  <si>
    <t>渔业</t>
  </si>
  <si>
    <t>酒鬼酒</t>
  </si>
  <si>
    <t xml:space="preserve">        670.07亿</t>
  </si>
  <si>
    <t>一汽解放</t>
  </si>
  <si>
    <t xml:space="preserve">        488.32亿</t>
  </si>
  <si>
    <t>四川九洲</t>
  </si>
  <si>
    <t xml:space="preserve">         81.31亿</t>
  </si>
  <si>
    <t>ST北文</t>
  </si>
  <si>
    <t xml:space="preserve">         34.94亿</t>
  </si>
  <si>
    <t>北清环能</t>
  </si>
  <si>
    <t xml:space="preserve">         48.46亿</t>
  </si>
  <si>
    <t>ST银河</t>
  </si>
  <si>
    <t xml:space="preserve">         28.49亿</t>
  </si>
  <si>
    <t>云铝股份</t>
  </si>
  <si>
    <t xml:space="preserve">        337.85亿</t>
  </si>
  <si>
    <t>铁岭新城</t>
  </si>
  <si>
    <t xml:space="preserve">         26.97亿</t>
  </si>
  <si>
    <t>创维数字</t>
  </si>
  <si>
    <t xml:space="preserve">         96.97亿</t>
  </si>
  <si>
    <t>冰轮环境</t>
  </si>
  <si>
    <t xml:space="preserve">        101.51亿</t>
  </si>
  <si>
    <t>陕西金叶</t>
  </si>
  <si>
    <t xml:space="preserve">         26.67亿</t>
  </si>
  <si>
    <t>德展健康</t>
  </si>
  <si>
    <t xml:space="preserve">         80.69亿</t>
  </si>
  <si>
    <t>美利云</t>
  </si>
  <si>
    <t xml:space="preserve">         42.48亿</t>
  </si>
  <si>
    <t>智慧农业</t>
  </si>
  <si>
    <t xml:space="preserve">         54.56亿</t>
  </si>
  <si>
    <t>农用机械</t>
  </si>
  <si>
    <t>航锦科技</t>
  </si>
  <si>
    <t xml:space="preserve">        247.11亿</t>
  </si>
  <si>
    <t>岳阳兴长</t>
  </si>
  <si>
    <t xml:space="preserve">         23.93亿</t>
  </si>
  <si>
    <t>*ST节能</t>
  </si>
  <si>
    <t xml:space="preserve">         22.18亿</t>
  </si>
  <si>
    <t>京山轻机</t>
  </si>
  <si>
    <t xml:space="preserve">         94.68亿</t>
  </si>
  <si>
    <t>山东海化</t>
  </si>
  <si>
    <t xml:space="preserve">         69.82亿</t>
  </si>
  <si>
    <t>超声电子</t>
  </si>
  <si>
    <t xml:space="preserve">         75.18亿</t>
  </si>
  <si>
    <t>太钢不锈</t>
  </si>
  <si>
    <t xml:space="preserve">        444.31亿</t>
  </si>
  <si>
    <t>启迪环境</t>
  </si>
  <si>
    <t xml:space="preserve">         55.94亿</t>
  </si>
  <si>
    <t>东莞控股</t>
  </si>
  <si>
    <t xml:space="preserve">        108.32亿</t>
  </si>
  <si>
    <t>天音控股</t>
  </si>
  <si>
    <t xml:space="preserve">        224.60亿</t>
  </si>
  <si>
    <t>鲁西化工</t>
  </si>
  <si>
    <t xml:space="preserve">        292.50亿</t>
  </si>
  <si>
    <t>五矿稀土</t>
  </si>
  <si>
    <t xml:space="preserve">        381.76亿</t>
  </si>
  <si>
    <t>粤桂股份</t>
  </si>
  <si>
    <t xml:space="preserve">         44.11亿</t>
  </si>
  <si>
    <t>*ST长动</t>
  </si>
  <si>
    <t xml:space="preserve">          8.89亿</t>
  </si>
  <si>
    <t>富通信息</t>
  </si>
  <si>
    <t xml:space="preserve">         34.56亿</t>
  </si>
  <si>
    <t>秦川机床</t>
  </si>
  <si>
    <t xml:space="preserve">        104.15亿</t>
  </si>
  <si>
    <t>财信发展</t>
  </si>
  <si>
    <t xml:space="preserve">         32.24亿</t>
  </si>
  <si>
    <t>中信国安</t>
  </si>
  <si>
    <t xml:space="preserve">         92.51亿</t>
  </si>
  <si>
    <t>承德露露</t>
  </si>
  <si>
    <t xml:space="preserve">        109.47亿</t>
  </si>
  <si>
    <t>软饮料</t>
  </si>
  <si>
    <t>华茂股份</t>
  </si>
  <si>
    <t xml:space="preserve">         40.77亿</t>
  </si>
  <si>
    <t>高鸿股份</t>
  </si>
  <si>
    <t xml:space="preserve">         69.66亿</t>
  </si>
  <si>
    <t>石化机械</t>
  </si>
  <si>
    <t xml:space="preserve">         47.12亿</t>
  </si>
  <si>
    <t>化工机械</t>
  </si>
  <si>
    <t>冀东装备</t>
  </si>
  <si>
    <t xml:space="preserve">         15.44亿</t>
  </si>
  <si>
    <t>五 粮 液</t>
  </si>
  <si>
    <t xml:space="preserve">       8252.30亿</t>
  </si>
  <si>
    <t>国风塑业</t>
  </si>
  <si>
    <t xml:space="preserve">         54.39亿</t>
  </si>
  <si>
    <t>塑料</t>
  </si>
  <si>
    <t>顺鑫农业</t>
  </si>
  <si>
    <t xml:space="preserve">        248.86亿</t>
  </si>
  <si>
    <t>海印股份</t>
  </si>
  <si>
    <t xml:space="preserve">         55.81亿</t>
  </si>
  <si>
    <t>银星能源</t>
  </si>
  <si>
    <t xml:space="preserve">         51.97亿</t>
  </si>
  <si>
    <t>三湘印象</t>
  </si>
  <si>
    <t xml:space="preserve">         34.06亿</t>
  </si>
  <si>
    <t>上海</t>
  </si>
  <si>
    <t>安凯客车</t>
  </si>
  <si>
    <t xml:space="preserve">         29.26亿</t>
  </si>
  <si>
    <t>张 裕Ａ</t>
  </si>
  <si>
    <t xml:space="preserve">        213.59亿</t>
  </si>
  <si>
    <t>红黄酒</t>
  </si>
  <si>
    <t>吉电股份</t>
  </si>
  <si>
    <t xml:space="preserve">        196.43亿</t>
  </si>
  <si>
    <t>新 希 望</t>
  </si>
  <si>
    <t xml:space="preserve">        692.45亿</t>
  </si>
  <si>
    <t>天山股份</t>
  </si>
  <si>
    <t xml:space="preserve">       1139.61亿</t>
  </si>
  <si>
    <t>云南铜业</t>
  </si>
  <si>
    <t xml:space="preserve">        232.35亿</t>
  </si>
  <si>
    <t>潍柴重机</t>
  </si>
  <si>
    <t xml:space="preserve">         30.48亿</t>
  </si>
  <si>
    <t>中广核技</t>
  </si>
  <si>
    <t xml:space="preserve">         86.98亿</t>
  </si>
  <si>
    <t>华联股份</t>
  </si>
  <si>
    <t xml:space="preserve">         49.00亿</t>
  </si>
  <si>
    <t>湖北能源</t>
  </si>
  <si>
    <t xml:space="preserve">        296.09亿</t>
  </si>
  <si>
    <t>城发环境</t>
  </si>
  <si>
    <t xml:space="preserve">         65.88亿</t>
  </si>
  <si>
    <t>海南高速</t>
  </si>
  <si>
    <t>中鼎股份</t>
  </si>
  <si>
    <t xml:space="preserve">        220.24亿</t>
  </si>
  <si>
    <t>峨眉山Ａ</t>
  </si>
  <si>
    <t xml:space="preserve">         33.09亿</t>
  </si>
  <si>
    <t>中嘉博创</t>
  </si>
  <si>
    <t xml:space="preserve">         31.08亿</t>
  </si>
  <si>
    <t>法尔胜</t>
  </si>
  <si>
    <t xml:space="preserve">         19.63亿</t>
  </si>
  <si>
    <t>欢瑞世纪</t>
  </si>
  <si>
    <t>亚钾国际</t>
  </si>
  <si>
    <t xml:space="preserve">        132.69亿</t>
  </si>
  <si>
    <t>双汇发展</t>
  </si>
  <si>
    <t xml:space="preserve">       1046.33亿</t>
  </si>
  <si>
    <t>津滨发展</t>
  </si>
  <si>
    <t xml:space="preserve">         40.43亿</t>
  </si>
  <si>
    <t>鞍钢股份</t>
  </si>
  <si>
    <t xml:space="preserve">        294.17亿</t>
  </si>
  <si>
    <t>赣能股份</t>
  </si>
  <si>
    <t xml:space="preserve">         49.47亿</t>
  </si>
  <si>
    <t>现代投资</t>
  </si>
  <si>
    <t xml:space="preserve">         61.17亿</t>
  </si>
  <si>
    <t>航天科技</t>
  </si>
  <si>
    <t xml:space="preserve">         72.24亿</t>
  </si>
  <si>
    <t>新洋丰</t>
  </si>
  <si>
    <t xml:space="preserve">        215.25亿</t>
  </si>
  <si>
    <t>云内动力</t>
  </si>
  <si>
    <t xml:space="preserve">         67.40亿</t>
  </si>
  <si>
    <t>厦门港务</t>
  </si>
  <si>
    <t xml:space="preserve">         46.20亿</t>
  </si>
  <si>
    <t>浙商中拓</t>
  </si>
  <si>
    <t xml:space="preserve">         75.65亿</t>
  </si>
  <si>
    <t>景峰医药</t>
  </si>
  <si>
    <t xml:space="preserve">         33.08亿</t>
  </si>
  <si>
    <t>数源科技</t>
  </si>
  <si>
    <t xml:space="preserve">         29.50亿</t>
  </si>
  <si>
    <t>大亚圣象</t>
  </si>
  <si>
    <t xml:space="preserve">         66.67亿</t>
  </si>
  <si>
    <t>家居用品</t>
  </si>
  <si>
    <t>南宁糖业</t>
  </si>
  <si>
    <t xml:space="preserve">         41.51亿</t>
  </si>
  <si>
    <t>泸天化</t>
  </si>
  <si>
    <t xml:space="preserve">         80.28亿</t>
  </si>
  <si>
    <t>钱江摩托</t>
  </si>
  <si>
    <t xml:space="preserve">         72.52亿</t>
  </si>
  <si>
    <t>摩托车</t>
  </si>
  <si>
    <t>华特达因</t>
  </si>
  <si>
    <t xml:space="preserve">         62.45亿</t>
  </si>
  <si>
    <t>电广传媒</t>
  </si>
  <si>
    <t xml:space="preserve">         87.75亿</t>
  </si>
  <si>
    <t>嘉凯城</t>
  </si>
  <si>
    <t xml:space="preserve">         43.30亿</t>
  </si>
  <si>
    <t>金陵药业</t>
  </si>
  <si>
    <t xml:space="preserve">         33.87亿</t>
  </si>
  <si>
    <t>沃顿科技</t>
  </si>
  <si>
    <t xml:space="preserve">         38.53亿</t>
  </si>
  <si>
    <t>海信家电</t>
  </si>
  <si>
    <t xml:space="preserve">        107.74亿</t>
  </si>
  <si>
    <t>佳电股份</t>
  </si>
  <si>
    <t xml:space="preserve">         73.70亿</t>
  </si>
  <si>
    <t>河钢资源</t>
  </si>
  <si>
    <t xml:space="preserve">         87.73亿</t>
  </si>
  <si>
    <t>众合科技</t>
  </si>
  <si>
    <t xml:space="preserve">         46.94亿</t>
  </si>
  <si>
    <t>福星股份</t>
  </si>
  <si>
    <t xml:space="preserve">         38.88亿</t>
  </si>
  <si>
    <t>中国铁物</t>
  </si>
  <si>
    <t xml:space="preserve">        217.21亿</t>
  </si>
  <si>
    <t>中钢国际</t>
  </si>
  <si>
    <t xml:space="preserve">        101.64亿</t>
  </si>
  <si>
    <t>兰州黄河</t>
  </si>
  <si>
    <t xml:space="preserve">         15.77亿</t>
  </si>
  <si>
    <t>中粮科技</t>
  </si>
  <si>
    <t xml:space="preserve">        217.54亿</t>
  </si>
  <si>
    <t>中 关 村</t>
  </si>
  <si>
    <t xml:space="preserve">         51.82亿</t>
  </si>
  <si>
    <t>华菱钢铁</t>
  </si>
  <si>
    <t xml:space="preserve">        341.98亿</t>
  </si>
  <si>
    <t>神火股份</t>
  </si>
  <si>
    <t xml:space="preserve">        196.96亿</t>
  </si>
  <si>
    <t>四川双马</t>
  </si>
  <si>
    <t xml:space="preserve">        160.63亿</t>
  </si>
  <si>
    <t>华西股份</t>
  </si>
  <si>
    <t xml:space="preserve">         53.25亿</t>
  </si>
  <si>
    <t>冀中能源</t>
  </si>
  <si>
    <t xml:space="preserve">        206.71亿</t>
  </si>
  <si>
    <t>紫光股份</t>
  </si>
  <si>
    <t xml:space="preserve">        771.08亿</t>
  </si>
  <si>
    <t>南天信息</t>
  </si>
  <si>
    <t xml:space="preserve">         57.37亿</t>
  </si>
  <si>
    <t>新乡化纤</t>
  </si>
  <si>
    <t xml:space="preserve">         87.42亿</t>
  </si>
  <si>
    <t>重药控股</t>
  </si>
  <si>
    <t xml:space="preserve">         82.29亿</t>
  </si>
  <si>
    <t>中国重汽</t>
  </si>
  <si>
    <t xml:space="preserve">        162.37亿</t>
  </si>
  <si>
    <t>广济药业</t>
  </si>
  <si>
    <t xml:space="preserve">         24.88亿</t>
  </si>
  <si>
    <t>河化股份</t>
  </si>
  <si>
    <t xml:space="preserve">         16.77亿</t>
  </si>
  <si>
    <t>欣龙控股</t>
  </si>
  <si>
    <t xml:space="preserve">         23.58亿</t>
  </si>
  <si>
    <t>中通客车</t>
  </si>
  <si>
    <t xml:space="preserve">         31.54亿</t>
  </si>
  <si>
    <t>东方能源</t>
  </si>
  <si>
    <t xml:space="preserve">        249.79亿</t>
  </si>
  <si>
    <t>首钢股份</t>
  </si>
  <si>
    <t xml:space="preserve">        373.72亿</t>
  </si>
  <si>
    <t>锡业股份</t>
  </si>
  <si>
    <t xml:space="preserve">        289.53亿</t>
  </si>
  <si>
    <t>中南建设</t>
  </si>
  <si>
    <t xml:space="preserve">        150.77亿</t>
  </si>
  <si>
    <t>东方钽业</t>
  </si>
  <si>
    <t xml:space="preserve">         49.99亿</t>
  </si>
  <si>
    <t>华东医药</t>
  </si>
  <si>
    <t xml:space="preserve">        646.55亿</t>
  </si>
  <si>
    <t>天保基建</t>
  </si>
  <si>
    <t xml:space="preserve">         26.75亿</t>
  </si>
  <si>
    <t>长源电力</t>
  </si>
  <si>
    <t xml:space="preserve">        187.91亿</t>
  </si>
  <si>
    <t>盈峰环境</t>
  </si>
  <si>
    <t xml:space="preserve">        227.43亿</t>
  </si>
  <si>
    <t>蓝焰控股</t>
  </si>
  <si>
    <t xml:space="preserve">         93.46亿</t>
  </si>
  <si>
    <t>石油开采</t>
  </si>
  <si>
    <t>安泰科技</t>
  </si>
  <si>
    <t xml:space="preserve">         96.96亿</t>
  </si>
  <si>
    <t>中科三环</t>
  </si>
  <si>
    <t xml:space="preserve">        138.05亿</t>
  </si>
  <si>
    <t>ST高升</t>
  </si>
  <si>
    <t xml:space="preserve">         24.85亿</t>
  </si>
  <si>
    <t>*ST中基</t>
  </si>
  <si>
    <t xml:space="preserve">         20.36亿</t>
  </si>
  <si>
    <t>佛塑科技</t>
  </si>
  <si>
    <t xml:space="preserve">         47.02亿</t>
  </si>
  <si>
    <t>银泰黄金</t>
  </si>
  <si>
    <t xml:space="preserve">        265.18亿</t>
  </si>
  <si>
    <t>华铁股份</t>
  </si>
  <si>
    <t xml:space="preserve">         73.56亿</t>
  </si>
  <si>
    <t>浪潮信息</t>
  </si>
  <si>
    <t xml:space="preserve">        466.79亿</t>
  </si>
  <si>
    <t>桂林旅游</t>
  </si>
  <si>
    <t>*ST众泰</t>
  </si>
  <si>
    <t xml:space="preserve">        171.34亿</t>
  </si>
  <si>
    <t>*ST银亿</t>
  </si>
  <si>
    <t xml:space="preserve">        133.33亿</t>
  </si>
  <si>
    <t>中银绒业</t>
  </si>
  <si>
    <t xml:space="preserve">        153.43亿</t>
  </si>
  <si>
    <t>山西焦煤</t>
  </si>
  <si>
    <t xml:space="preserve">        342.06亿</t>
  </si>
  <si>
    <t>大庆华科</t>
  </si>
  <si>
    <t xml:space="preserve">         15.78亿</t>
  </si>
  <si>
    <t>越秀金控</t>
  </si>
  <si>
    <t xml:space="preserve">        325.56亿</t>
  </si>
  <si>
    <t>华工科技</t>
  </si>
  <si>
    <t xml:space="preserve">        287.47亿</t>
  </si>
  <si>
    <t>电器仪表</t>
  </si>
  <si>
    <t>九 芝 堂</t>
  </si>
  <si>
    <t xml:space="preserve">         74.68亿</t>
  </si>
  <si>
    <t>诚志股份</t>
  </si>
  <si>
    <t xml:space="preserve">        189.46亿</t>
  </si>
  <si>
    <t>闽东电力</t>
  </si>
  <si>
    <t xml:space="preserve">         66.27亿</t>
  </si>
  <si>
    <t>皇台酒业</t>
  </si>
  <si>
    <t xml:space="preserve">         40.75亿</t>
  </si>
  <si>
    <t>中国中期</t>
  </si>
  <si>
    <t xml:space="preserve">         26.29亿</t>
  </si>
  <si>
    <t>新 大 陆</t>
  </si>
  <si>
    <t xml:space="preserve">        165.34亿</t>
  </si>
  <si>
    <t>隆平高科</t>
  </si>
  <si>
    <t xml:space="preserve">        305.80亿</t>
  </si>
  <si>
    <t>华润三九</t>
  </si>
  <si>
    <t xml:space="preserve">        237.68亿</t>
  </si>
  <si>
    <t>东瑞股份</t>
  </si>
  <si>
    <t xml:space="preserve">         65.17亿</t>
  </si>
  <si>
    <t>炬申股份</t>
  </si>
  <si>
    <t xml:space="preserve">         22.15亿</t>
  </si>
  <si>
    <t>仓储物流</t>
  </si>
  <si>
    <t>大中矿业</t>
  </si>
  <si>
    <t xml:space="preserve">        227.56亿</t>
  </si>
  <si>
    <t>盛航股份</t>
  </si>
  <si>
    <t xml:space="preserve">         25.98亿</t>
  </si>
  <si>
    <t>依依股份</t>
  </si>
  <si>
    <t>联科科技</t>
  </si>
  <si>
    <t xml:space="preserve">         42.30亿</t>
  </si>
  <si>
    <t>华菱线缆</t>
  </si>
  <si>
    <t xml:space="preserve">         87.32亿</t>
  </si>
  <si>
    <t>洪兴股份</t>
  </si>
  <si>
    <t xml:space="preserve">         23.64亿</t>
  </si>
  <si>
    <t>服饰</t>
  </si>
  <si>
    <t>金房节能</t>
  </si>
  <si>
    <t xml:space="preserve">         32.83亿</t>
  </si>
  <si>
    <t>双枪科技</t>
  </si>
  <si>
    <t xml:space="preserve">         20.37亿</t>
  </si>
  <si>
    <t>中旗新材</t>
  </si>
  <si>
    <t xml:space="preserve">         28.92亿</t>
  </si>
  <si>
    <t>中铁特货</t>
  </si>
  <si>
    <t xml:space="preserve">        232.89亿</t>
  </si>
  <si>
    <t>千味央厨</t>
  </si>
  <si>
    <t xml:space="preserve">         54.81亿</t>
  </si>
  <si>
    <t>华瓷股份</t>
  </si>
  <si>
    <t xml:space="preserve">         42.14亿</t>
  </si>
  <si>
    <t>华尔泰</t>
  </si>
  <si>
    <t xml:space="preserve">         73.68亿</t>
  </si>
  <si>
    <t>丽臣实业</t>
  </si>
  <si>
    <t xml:space="preserve">         38.46亿</t>
  </si>
  <si>
    <t>青岛食品</t>
  </si>
  <si>
    <t>汇绿生态</t>
  </si>
  <si>
    <t xml:space="preserve">         46.55亿</t>
  </si>
  <si>
    <t>运机集团</t>
  </si>
  <si>
    <t xml:space="preserve">         27.18亿</t>
  </si>
  <si>
    <t>宗申动力</t>
  </si>
  <si>
    <t xml:space="preserve">         79.69亿</t>
  </si>
  <si>
    <t>招商港口</t>
  </si>
  <si>
    <t xml:space="preserve">        303.93亿</t>
  </si>
  <si>
    <t>豫能控股</t>
  </si>
  <si>
    <t xml:space="preserve">         82.84亿</t>
  </si>
  <si>
    <t>招商积余</t>
  </si>
  <si>
    <t xml:space="preserve">        142.72亿</t>
  </si>
  <si>
    <t>招商公路</t>
  </si>
  <si>
    <t xml:space="preserve">        441.13亿</t>
  </si>
  <si>
    <t>招商蛇口</t>
  </si>
  <si>
    <t xml:space="preserve">        911.97亿</t>
  </si>
  <si>
    <t>新 和 成</t>
  </si>
  <si>
    <t xml:space="preserve">        781.51亿</t>
  </si>
  <si>
    <t>鸿达兴业</t>
  </si>
  <si>
    <t xml:space="preserve">        173.70亿</t>
  </si>
  <si>
    <t>伟星股份</t>
  </si>
  <si>
    <t xml:space="preserve">         81.62亿</t>
  </si>
  <si>
    <t>华邦健康</t>
  </si>
  <si>
    <t xml:space="preserve">        133.25亿</t>
  </si>
  <si>
    <t>ST德豪</t>
  </si>
  <si>
    <t xml:space="preserve">         37.15亿</t>
  </si>
  <si>
    <t>精功科技</t>
  </si>
  <si>
    <t xml:space="preserve">        123.08亿</t>
  </si>
  <si>
    <t>华兰生物</t>
  </si>
  <si>
    <t xml:space="preserve">        531.26亿</t>
  </si>
  <si>
    <t>大族激光</t>
  </si>
  <si>
    <t xml:space="preserve">        472.29亿</t>
  </si>
  <si>
    <t>天奇股份</t>
  </si>
  <si>
    <t xml:space="preserve">         68.65亿</t>
  </si>
  <si>
    <t>传化智联</t>
  </si>
  <si>
    <t xml:space="preserve">        289.95亿</t>
  </si>
  <si>
    <t>盾安环境</t>
  </si>
  <si>
    <t xml:space="preserve">         90.80亿</t>
  </si>
  <si>
    <t>凯恩股份</t>
  </si>
  <si>
    <t xml:space="preserve">         26.23亿</t>
  </si>
  <si>
    <t>中航机电</t>
  </si>
  <si>
    <t xml:space="preserve">        617.69亿</t>
  </si>
  <si>
    <t>永新股份</t>
  </si>
  <si>
    <t xml:space="preserve">         43.18亿</t>
  </si>
  <si>
    <t>协鑫能科</t>
  </si>
  <si>
    <t xml:space="preserve">        220.86亿</t>
  </si>
  <si>
    <t>世荣兆业</t>
  </si>
  <si>
    <t xml:space="preserve">         41.43亿</t>
  </si>
  <si>
    <t>东信和平</t>
  </si>
  <si>
    <t xml:space="preserve">         57.33亿</t>
  </si>
  <si>
    <t>亿帆医药</t>
  </si>
  <si>
    <t xml:space="preserve">        210.29亿</t>
  </si>
  <si>
    <t>京新药业</t>
  </si>
  <si>
    <t xml:space="preserve">         78.76亿</t>
  </si>
  <si>
    <t>ST中捷</t>
  </si>
  <si>
    <t xml:space="preserve">         13.62亿</t>
  </si>
  <si>
    <t>纺织机械</t>
  </si>
  <si>
    <t>科华生物</t>
  </si>
  <si>
    <t xml:space="preserve">         71.80亿</t>
  </si>
  <si>
    <t>海特高新</t>
  </si>
  <si>
    <t xml:space="preserve">         98.46亿</t>
  </si>
  <si>
    <t>苏宁易购</t>
  </si>
  <si>
    <t xml:space="preserve">        378.92亿</t>
  </si>
  <si>
    <t>电器连锁</t>
  </si>
  <si>
    <t>航天电器</t>
  </si>
  <si>
    <t xml:space="preserve">        352.22亿</t>
  </si>
  <si>
    <t>山东威达</t>
  </si>
  <si>
    <t xml:space="preserve">         79.99亿</t>
  </si>
  <si>
    <t>分众传媒</t>
  </si>
  <si>
    <t xml:space="preserve">       1047.06亿</t>
  </si>
  <si>
    <t>思源电气</t>
  </si>
  <si>
    <t xml:space="preserve">        371.53亿</t>
  </si>
  <si>
    <t>七 匹 狼</t>
  </si>
  <si>
    <t xml:space="preserve">         44.51亿</t>
  </si>
  <si>
    <t>达安基因</t>
  </si>
  <si>
    <t xml:space="preserve">        264.97亿</t>
  </si>
  <si>
    <t>巨轮智能</t>
  </si>
  <si>
    <t xml:space="preserve">         43.33亿</t>
  </si>
  <si>
    <t>苏 泊 尔</t>
  </si>
  <si>
    <t xml:space="preserve">        504.13亿</t>
  </si>
  <si>
    <t>丽江股份</t>
  </si>
  <si>
    <t xml:space="preserve">         33.02亿</t>
  </si>
  <si>
    <t>旺能环境</t>
  </si>
  <si>
    <t xml:space="preserve">         70.35亿</t>
  </si>
  <si>
    <t>华帝股份</t>
  </si>
  <si>
    <t xml:space="preserve">         50.77亿</t>
  </si>
  <si>
    <t>联创电子</t>
  </si>
  <si>
    <t xml:space="preserve">        249.98亿</t>
  </si>
  <si>
    <t>保利联合</t>
  </si>
  <si>
    <t xml:space="preserve">         34.04亿</t>
  </si>
  <si>
    <t>双鹭药业</t>
  </si>
  <si>
    <t xml:space="preserve">         98.63亿</t>
  </si>
  <si>
    <t>黔源电力</t>
  </si>
  <si>
    <t xml:space="preserve">         55.52亿</t>
  </si>
  <si>
    <t>南 京 港</t>
  </si>
  <si>
    <t xml:space="preserve">         28.84亿</t>
  </si>
  <si>
    <t>登海种业</t>
  </si>
  <si>
    <t xml:space="preserve">        223.17亿</t>
  </si>
  <si>
    <t>华孚时尚</t>
  </si>
  <si>
    <t xml:space="preserve">         80.89亿</t>
  </si>
  <si>
    <t>兔 宝 宝</t>
  </si>
  <si>
    <t xml:space="preserve">         66.28亿</t>
  </si>
  <si>
    <t>美年健康</t>
  </si>
  <si>
    <t xml:space="preserve">        304.53亿</t>
  </si>
  <si>
    <t>国光电器</t>
  </si>
  <si>
    <t xml:space="preserve">         70.68亿</t>
  </si>
  <si>
    <t>国机精工</t>
  </si>
  <si>
    <t xml:space="preserve">         91.39亿</t>
  </si>
  <si>
    <t>宝鹰股份</t>
  </si>
  <si>
    <t xml:space="preserve">         46.54亿</t>
  </si>
  <si>
    <t>装修装饰</t>
  </si>
  <si>
    <t>宁波华翔</t>
  </si>
  <si>
    <t xml:space="preserve">        153.61亿</t>
  </si>
  <si>
    <t>紫光国微</t>
  </si>
  <si>
    <t xml:space="preserve">       1266.43亿</t>
  </si>
  <si>
    <t>三花智控</t>
  </si>
  <si>
    <t xml:space="preserve">        843.58亿</t>
  </si>
  <si>
    <t>中工国际</t>
  </si>
  <si>
    <t xml:space="preserve">         84.27亿</t>
  </si>
  <si>
    <t>ST同洲</t>
  </si>
  <si>
    <t xml:space="preserve">         17.46亿</t>
  </si>
  <si>
    <t>云南能投</t>
  </si>
  <si>
    <t xml:space="preserve">         66.51亿</t>
  </si>
  <si>
    <t>德美化工</t>
  </si>
  <si>
    <t xml:space="preserve">         43.58亿</t>
  </si>
  <si>
    <t>得润电子</t>
  </si>
  <si>
    <t xml:space="preserve">         57.86亿</t>
  </si>
  <si>
    <t>横店东磁</t>
  </si>
  <si>
    <t xml:space="preserve">        272.47亿</t>
  </si>
  <si>
    <t>中钢天源</t>
  </si>
  <si>
    <t xml:space="preserve">         64.02亿</t>
  </si>
  <si>
    <t>*ST威尔</t>
  </si>
  <si>
    <t xml:space="preserve">         13.67亿</t>
  </si>
  <si>
    <t>云南旅游</t>
  </si>
  <si>
    <t xml:space="preserve">         50.42亿</t>
  </si>
  <si>
    <t>粤 水 电</t>
  </si>
  <si>
    <t xml:space="preserve">         62.64亿</t>
  </si>
  <si>
    <t>浙江交科</t>
  </si>
  <si>
    <t xml:space="preserve">         72.09亿</t>
  </si>
  <si>
    <t>宏润建设</t>
  </si>
  <si>
    <t xml:space="preserve">         43.66亿</t>
  </si>
  <si>
    <t>远光软件</t>
  </si>
  <si>
    <t xml:space="preserve">        101.47亿</t>
  </si>
  <si>
    <t>华峰化学</t>
  </si>
  <si>
    <t xml:space="preserve">        495.32亿</t>
  </si>
  <si>
    <t>东华软件</t>
  </si>
  <si>
    <t xml:space="preserve">        229.83亿</t>
  </si>
  <si>
    <t>瑞泰科技</t>
  </si>
  <si>
    <t xml:space="preserve">         23.24亿</t>
  </si>
  <si>
    <t>景兴纸业</t>
  </si>
  <si>
    <t xml:space="preserve">         46.09亿</t>
  </si>
  <si>
    <t>黑猫股份</t>
  </si>
  <si>
    <t xml:space="preserve">         50.12亿</t>
  </si>
  <si>
    <t>獐子岛</t>
  </si>
  <si>
    <t xml:space="preserve">         21.12亿</t>
  </si>
  <si>
    <t>*ST凯瑞</t>
  </si>
  <si>
    <t xml:space="preserve">         13.29亿</t>
  </si>
  <si>
    <t>软控股份</t>
  </si>
  <si>
    <t xml:space="preserve">         85.73亿</t>
  </si>
  <si>
    <t>国轩高科</t>
  </si>
  <si>
    <t xml:space="preserve">        776.01亿</t>
  </si>
  <si>
    <t>沙钢股份</t>
  </si>
  <si>
    <t xml:space="preserve">        123.36亿</t>
  </si>
  <si>
    <t>ST雪莱</t>
  </si>
  <si>
    <t xml:space="preserve">         14.93亿</t>
  </si>
  <si>
    <t>大港股份</t>
  </si>
  <si>
    <t xml:space="preserve">         43.24亿</t>
  </si>
  <si>
    <t>半导体</t>
  </si>
  <si>
    <t>太阳纸业</t>
  </si>
  <si>
    <t xml:space="preserve">        321.10亿</t>
  </si>
  <si>
    <t>苏州固锝</t>
  </si>
  <si>
    <t xml:space="preserve">        122.80亿</t>
  </si>
  <si>
    <t>中材科技</t>
  </si>
  <si>
    <t xml:space="preserve">        590.20亿</t>
  </si>
  <si>
    <t>金 螳 螂</t>
  </si>
  <si>
    <t xml:space="preserve">        154.67亿</t>
  </si>
  <si>
    <t>万邦德</t>
  </si>
  <si>
    <t xml:space="preserve">         62.44亿</t>
  </si>
  <si>
    <t>孚日股份</t>
  </si>
  <si>
    <t xml:space="preserve">         38.14亿</t>
  </si>
  <si>
    <t>海鸥住工</t>
  </si>
  <si>
    <t xml:space="preserve">         28.57亿</t>
  </si>
  <si>
    <t>万丰奥威</t>
  </si>
  <si>
    <t xml:space="preserve">        121.81亿</t>
  </si>
  <si>
    <t>*ST东洋</t>
  </si>
  <si>
    <t xml:space="preserve">         14.30亿</t>
  </si>
  <si>
    <t>新野纺织</t>
  </si>
  <si>
    <t xml:space="preserve">         27.85亿</t>
  </si>
  <si>
    <t>鲁阳节能</t>
  </si>
  <si>
    <t xml:space="preserve">        122.89亿</t>
  </si>
  <si>
    <t>ST新海</t>
  </si>
  <si>
    <t xml:space="preserve">         33.68亿</t>
  </si>
  <si>
    <t>金智科技</t>
  </si>
  <si>
    <t xml:space="preserve">         40.91亿</t>
  </si>
  <si>
    <t>江苏国泰</t>
  </si>
  <si>
    <t xml:space="preserve">        181.84亿</t>
  </si>
  <si>
    <t>中泰化学</t>
  </si>
  <si>
    <t xml:space="preserve">        262.73亿</t>
  </si>
  <si>
    <t>国脉科技</t>
  </si>
  <si>
    <t xml:space="preserve">         62.57亿</t>
  </si>
  <si>
    <t>电信运营</t>
  </si>
  <si>
    <t>青岛金王</t>
  </si>
  <si>
    <t xml:space="preserve">         30.12亿</t>
  </si>
  <si>
    <t>生 意 宝</t>
  </si>
  <si>
    <t xml:space="preserve">         47.56亿</t>
  </si>
  <si>
    <t>南岭民爆</t>
  </si>
  <si>
    <t xml:space="preserve">         59.29亿</t>
  </si>
  <si>
    <t>山河智能</t>
  </si>
  <si>
    <t xml:space="preserve">         94.80亿</t>
  </si>
  <si>
    <t>浔兴股份</t>
  </si>
  <si>
    <t xml:space="preserve">         23.41亿</t>
  </si>
  <si>
    <t>海翔药业</t>
  </si>
  <si>
    <t xml:space="preserve">        125.61亿</t>
  </si>
  <si>
    <t>天康生物</t>
  </si>
  <si>
    <t xml:space="preserve">         99.78亿</t>
  </si>
  <si>
    <t>广东鸿图</t>
  </si>
  <si>
    <t xml:space="preserve">         42.73亿</t>
  </si>
  <si>
    <t>ST冠福</t>
  </si>
  <si>
    <t xml:space="preserve">         98.77亿</t>
  </si>
  <si>
    <t>广博股份</t>
  </si>
  <si>
    <t xml:space="preserve">         24.63亿</t>
  </si>
  <si>
    <t>恒宝股份</t>
  </si>
  <si>
    <t xml:space="preserve">         42.09亿</t>
  </si>
  <si>
    <t>信隆健康</t>
  </si>
  <si>
    <t xml:space="preserve">         35.30亿</t>
  </si>
  <si>
    <t>莱宝高科</t>
  </si>
  <si>
    <t xml:space="preserve">         78.77亿</t>
  </si>
  <si>
    <t>沃华医药</t>
  </si>
  <si>
    <t xml:space="preserve">         36.13亿</t>
  </si>
  <si>
    <t>沧州明珠</t>
  </si>
  <si>
    <t xml:space="preserve">        122.93亿</t>
  </si>
  <si>
    <t>兴化股份</t>
  </si>
  <si>
    <t xml:space="preserve">         55.38亿</t>
  </si>
  <si>
    <t>三钢闽光</t>
  </si>
  <si>
    <t xml:space="preserve">        159.60亿</t>
  </si>
  <si>
    <t>威海广泰</t>
  </si>
  <si>
    <t xml:space="preserve">         67.09亿</t>
  </si>
  <si>
    <t>三变科技</t>
  </si>
  <si>
    <t>ST天润</t>
  </si>
  <si>
    <t xml:space="preserve">         23.87亿</t>
  </si>
  <si>
    <t>罗平锌电</t>
  </si>
  <si>
    <t xml:space="preserve">         25.29亿</t>
  </si>
  <si>
    <t>三维通信</t>
  </si>
  <si>
    <t xml:space="preserve">         43.16亿</t>
  </si>
  <si>
    <t>中国海诚</t>
  </si>
  <si>
    <t xml:space="preserve">         26.31亿</t>
  </si>
  <si>
    <t>东港股份</t>
  </si>
  <si>
    <t>紫鑫药业</t>
  </si>
  <si>
    <t xml:space="preserve">         34.20亿</t>
  </si>
  <si>
    <t>康强电子</t>
  </si>
  <si>
    <t xml:space="preserve">         61.36亿</t>
  </si>
  <si>
    <t>韵达股份</t>
  </si>
  <si>
    <t xml:space="preserve">        606.10亿</t>
  </si>
  <si>
    <t>科陆电子</t>
  </si>
  <si>
    <t xml:space="preserve">         88.30亿</t>
  </si>
  <si>
    <t>ST天马</t>
  </si>
  <si>
    <t xml:space="preserve">         36.53亿</t>
  </si>
  <si>
    <t>梦网科技</t>
  </si>
  <si>
    <t xml:space="preserve">        139.75亿</t>
  </si>
  <si>
    <t>天邦股份</t>
  </si>
  <si>
    <t xml:space="preserve">        123.59亿</t>
  </si>
  <si>
    <t>湘潭电化</t>
  </si>
  <si>
    <t xml:space="preserve">         74.59亿</t>
  </si>
  <si>
    <t>银轮股份</t>
  </si>
  <si>
    <t xml:space="preserve">        103.53亿</t>
  </si>
  <si>
    <t>南极电商</t>
  </si>
  <si>
    <t xml:space="preserve">        166.93亿</t>
  </si>
  <si>
    <t>电投能源</t>
  </si>
  <si>
    <t xml:space="preserve">        220.21亿</t>
  </si>
  <si>
    <t>中环股份</t>
  </si>
  <si>
    <t xml:space="preserve">       1500.17亿</t>
  </si>
  <si>
    <t>沃尔核材</t>
  </si>
  <si>
    <t xml:space="preserve">        106.08亿</t>
  </si>
  <si>
    <t>利欧股份</t>
  </si>
  <si>
    <t xml:space="preserve">        199.27亿</t>
  </si>
  <si>
    <t>恒星科技</t>
  </si>
  <si>
    <t xml:space="preserve">         77.02亿</t>
  </si>
  <si>
    <t>广宇集团</t>
  </si>
  <si>
    <t xml:space="preserve">         21.91亿</t>
  </si>
  <si>
    <t>天津普林</t>
  </si>
  <si>
    <t>东南网架</t>
  </si>
  <si>
    <t xml:space="preserve">         97.23亿</t>
  </si>
  <si>
    <t>安 纳 达</t>
  </si>
  <si>
    <t xml:space="preserve">         35.80亿</t>
  </si>
  <si>
    <t>实益达</t>
  </si>
  <si>
    <t xml:space="preserve">         32.92亿</t>
  </si>
  <si>
    <t>顺络电子</t>
  </si>
  <si>
    <t xml:space="preserve">        306.40亿</t>
  </si>
  <si>
    <t>拓邦股份</t>
  </si>
  <si>
    <t xml:space="preserve">        228.95亿</t>
  </si>
  <si>
    <t>东华科技</t>
  </si>
  <si>
    <t xml:space="preserve">         63.97亿</t>
  </si>
  <si>
    <t>贤丰控股</t>
  </si>
  <si>
    <t xml:space="preserve">         93.04亿</t>
  </si>
  <si>
    <t>宁波银行</t>
  </si>
  <si>
    <t xml:space="preserve">       2328.71亿</t>
  </si>
  <si>
    <t>宏达高科</t>
  </si>
  <si>
    <t xml:space="preserve">         16.70亿</t>
  </si>
  <si>
    <t>中核钛白</t>
  </si>
  <si>
    <t xml:space="preserve">        278.68亿</t>
  </si>
  <si>
    <t>荣盛发展</t>
  </si>
  <si>
    <t xml:space="preserve">        187.84亿</t>
  </si>
  <si>
    <t>*ST新光</t>
  </si>
  <si>
    <t xml:space="preserve">         94.15亿</t>
  </si>
  <si>
    <t>北纬科技</t>
  </si>
  <si>
    <t xml:space="preserve">         30.23亿</t>
  </si>
  <si>
    <t>西部材料</t>
  </si>
  <si>
    <t xml:space="preserve">         99.01亿</t>
  </si>
  <si>
    <t>通润装备</t>
  </si>
  <si>
    <t xml:space="preserve">         22.21亿</t>
  </si>
  <si>
    <t>北斗星通</t>
  </si>
  <si>
    <t xml:space="preserve">        202.88亿</t>
  </si>
  <si>
    <t>广电运通</t>
  </si>
  <si>
    <t xml:space="preserve">        266.22亿</t>
  </si>
  <si>
    <t>石基信息</t>
  </si>
  <si>
    <t xml:space="preserve">        431.42亿</t>
  </si>
  <si>
    <t>报 喜 鸟</t>
  </si>
  <si>
    <t xml:space="preserve">         57.11亿</t>
  </si>
  <si>
    <t>湖南黄金</t>
  </si>
  <si>
    <t xml:space="preserve">        124.65亿</t>
  </si>
  <si>
    <t>通富微电</t>
  </si>
  <si>
    <t xml:space="preserve">        276.31亿</t>
  </si>
  <si>
    <t>正邦科技</t>
  </si>
  <si>
    <t xml:space="preserve">        336.04亿</t>
  </si>
  <si>
    <t>汉钟精机</t>
  </si>
  <si>
    <t xml:space="preserve">        150.78亿</t>
  </si>
  <si>
    <t>三特索道</t>
  </si>
  <si>
    <t xml:space="preserve">         18.95亿</t>
  </si>
  <si>
    <t>常铝股份</t>
  </si>
  <si>
    <t xml:space="preserve">         36.52亿</t>
  </si>
  <si>
    <t>远 望 谷</t>
  </si>
  <si>
    <t xml:space="preserve">         35.14亿</t>
  </si>
  <si>
    <t>悦心健康</t>
  </si>
  <si>
    <t xml:space="preserve">         40.95亿</t>
  </si>
  <si>
    <t>陶瓷</t>
  </si>
  <si>
    <t>海南发展</t>
  </si>
  <si>
    <t xml:space="preserve">        109.20亿</t>
  </si>
  <si>
    <t>宁波东力</t>
  </si>
  <si>
    <t xml:space="preserve">         30.76亿</t>
  </si>
  <si>
    <t>红 宝 丽</t>
  </si>
  <si>
    <t xml:space="preserve">         46.84亿</t>
  </si>
  <si>
    <t>莱茵生物</t>
  </si>
  <si>
    <t>东方锆业</t>
  </si>
  <si>
    <t>惠程科技</t>
  </si>
  <si>
    <t xml:space="preserve">         33.60亿</t>
  </si>
  <si>
    <t>智光电气</t>
  </si>
  <si>
    <t xml:space="preserve">        103.67亿</t>
  </si>
  <si>
    <t>芭田股份</t>
  </si>
  <si>
    <t xml:space="preserve">         63.06亿</t>
  </si>
  <si>
    <t>楚江新材</t>
  </si>
  <si>
    <t xml:space="preserve">        156.14亿</t>
  </si>
  <si>
    <t>澳洋健康</t>
  </si>
  <si>
    <t xml:space="preserve">         29.97亿</t>
  </si>
  <si>
    <t>创新医疗</t>
  </si>
  <si>
    <t xml:space="preserve">         28.08亿</t>
  </si>
  <si>
    <t>游族网络</t>
  </si>
  <si>
    <t xml:space="preserve">        141.96亿</t>
  </si>
  <si>
    <t>*ST东网</t>
  </si>
  <si>
    <t xml:space="preserve">         20.80亿</t>
  </si>
  <si>
    <t>江特电机</t>
  </si>
  <si>
    <t xml:space="preserve">        375.73亿</t>
  </si>
  <si>
    <t>御银股份</t>
  </si>
  <si>
    <t xml:space="preserve">         42.78亿</t>
  </si>
  <si>
    <t>延华智能</t>
  </si>
  <si>
    <t xml:space="preserve">         25.78亿</t>
  </si>
  <si>
    <t>中航光电</t>
  </si>
  <si>
    <t xml:space="preserve">       1102.14亿</t>
  </si>
  <si>
    <t>纳思达</t>
  </si>
  <si>
    <t xml:space="preserve">        479.13亿</t>
  </si>
  <si>
    <t>粤 传 媒</t>
  </si>
  <si>
    <t xml:space="preserve">         47.60亿</t>
  </si>
  <si>
    <t>云海金属</t>
  </si>
  <si>
    <t xml:space="preserve">        140.21亿</t>
  </si>
  <si>
    <t>怡 亚 通</t>
  </si>
  <si>
    <t xml:space="preserve">        158.94亿</t>
  </si>
  <si>
    <t>海得控制</t>
  </si>
  <si>
    <t xml:space="preserve">         52.96亿</t>
  </si>
  <si>
    <t>华天科技</t>
  </si>
  <si>
    <t xml:space="preserve">        451.51亿</t>
  </si>
  <si>
    <t>全 聚 德</t>
  </si>
  <si>
    <t>广百股份</t>
  </si>
  <si>
    <t xml:space="preserve">         50.27亿</t>
  </si>
  <si>
    <t>*ST巴士</t>
  </si>
  <si>
    <t xml:space="preserve">         10.18亿</t>
  </si>
  <si>
    <t>中光学</t>
  </si>
  <si>
    <t xml:space="preserve">         53.79亿</t>
  </si>
  <si>
    <t>成飞集成</t>
  </si>
  <si>
    <t xml:space="preserve">        108.30亿</t>
  </si>
  <si>
    <t>劲嘉股份</t>
  </si>
  <si>
    <t xml:space="preserve">        194.83亿</t>
  </si>
  <si>
    <t>融捷股份</t>
  </si>
  <si>
    <t xml:space="preserve">        315.48亿</t>
  </si>
  <si>
    <t>如意集团</t>
  </si>
  <si>
    <t xml:space="preserve">         17.53亿</t>
  </si>
  <si>
    <t>武汉凡谷</t>
  </si>
  <si>
    <t xml:space="preserve">         72.06亿</t>
  </si>
  <si>
    <t>二三四五</t>
  </si>
  <si>
    <t xml:space="preserve">        133.96亿</t>
  </si>
  <si>
    <t>方正电机</t>
  </si>
  <si>
    <t xml:space="preserve">         50.09亿</t>
  </si>
  <si>
    <t>证通电子</t>
  </si>
  <si>
    <t xml:space="preserve">         38.02亿</t>
  </si>
  <si>
    <t>嘉应制药</t>
  </si>
  <si>
    <t xml:space="preserve">         43.04亿</t>
  </si>
  <si>
    <t>东晶电子</t>
  </si>
  <si>
    <t xml:space="preserve">         21.13亿</t>
  </si>
  <si>
    <t>ST云投</t>
  </si>
  <si>
    <t xml:space="preserve">         14.12亿</t>
  </si>
  <si>
    <t>正威新材</t>
  </si>
  <si>
    <t xml:space="preserve">        117.15亿</t>
  </si>
  <si>
    <t>金风科技</t>
  </si>
  <si>
    <t xml:space="preserve">        656.13亿</t>
  </si>
  <si>
    <t>海亮股份</t>
  </si>
  <si>
    <t xml:space="preserve">        245.06亿</t>
  </si>
  <si>
    <t>大连重工</t>
  </si>
  <si>
    <t xml:space="preserve">         86.14亿</t>
  </si>
  <si>
    <t>国统股份</t>
  </si>
  <si>
    <t xml:space="preserve">         13.03亿</t>
  </si>
  <si>
    <t>海 利 得</t>
  </si>
  <si>
    <t xml:space="preserve">        102.61亿</t>
  </si>
  <si>
    <t>准油股份</t>
  </si>
  <si>
    <t xml:space="preserve">         14.73亿</t>
  </si>
  <si>
    <t>合肥城建</t>
  </si>
  <si>
    <t xml:space="preserve">         60.01亿</t>
  </si>
  <si>
    <t>达 意 隆</t>
  </si>
  <si>
    <t xml:space="preserve">         12.32亿</t>
  </si>
  <si>
    <t>*ST飞马</t>
  </si>
  <si>
    <t xml:space="preserve">         89.42亿</t>
  </si>
  <si>
    <t>宏达新材</t>
  </si>
  <si>
    <t xml:space="preserve">         16.87亿</t>
  </si>
  <si>
    <t>橡胶</t>
  </si>
  <si>
    <t>天融信</t>
  </si>
  <si>
    <t xml:space="preserve">        215.86亿</t>
  </si>
  <si>
    <t>大为股份</t>
  </si>
  <si>
    <t xml:space="preserve">         31.66亿</t>
  </si>
  <si>
    <t>大立科技</t>
  </si>
  <si>
    <t xml:space="preserve">        121.29亿</t>
  </si>
  <si>
    <t>诺 普 信</t>
  </si>
  <si>
    <t xml:space="preserve">         52.18亿</t>
  </si>
  <si>
    <t>三全食品</t>
  </si>
  <si>
    <t xml:space="preserve">        180.85亿</t>
  </si>
  <si>
    <t>合力泰</t>
  </si>
  <si>
    <t xml:space="preserve">        105.96亿</t>
  </si>
  <si>
    <t>拓日新能</t>
  </si>
  <si>
    <t xml:space="preserve">        103.01亿</t>
  </si>
  <si>
    <t>*ST恒康</t>
  </si>
  <si>
    <t xml:space="preserve">         67.15亿</t>
  </si>
  <si>
    <t>东华能源</t>
  </si>
  <si>
    <t xml:space="preserve">        204.31亿</t>
  </si>
  <si>
    <t>福晶科技</t>
  </si>
  <si>
    <t xml:space="preserve">         74.64亿</t>
  </si>
  <si>
    <t>鱼跃医疗</t>
  </si>
  <si>
    <t xml:space="preserve">        353.27亿</t>
  </si>
  <si>
    <t>三 力 士</t>
  </si>
  <si>
    <t xml:space="preserve">         36.92亿</t>
  </si>
  <si>
    <t>濮耐股份</t>
  </si>
  <si>
    <t xml:space="preserve">         45.26亿</t>
  </si>
  <si>
    <t>江南化工</t>
  </si>
  <si>
    <t xml:space="preserve">        150.72亿</t>
  </si>
  <si>
    <t>奥 特 迅</t>
  </si>
  <si>
    <t xml:space="preserve">         39.13亿</t>
  </si>
  <si>
    <t>合兴包装</t>
  </si>
  <si>
    <t xml:space="preserve">         42.98亿</t>
  </si>
  <si>
    <t>鸿博股份</t>
  </si>
  <si>
    <t xml:space="preserve">         30.00亿</t>
  </si>
  <si>
    <t>科大讯飞</t>
  </si>
  <si>
    <t xml:space="preserve">       1308.31亿</t>
  </si>
  <si>
    <t>奥维通信</t>
  </si>
  <si>
    <t xml:space="preserve">         19.87亿</t>
  </si>
  <si>
    <t>启明信息</t>
  </si>
  <si>
    <t xml:space="preserve">         48.37亿</t>
  </si>
  <si>
    <t>塔牌集团</t>
  </si>
  <si>
    <t xml:space="preserve">        121.49亿</t>
  </si>
  <si>
    <t>民和股份</t>
  </si>
  <si>
    <t xml:space="preserve">         56.29亿</t>
  </si>
  <si>
    <t>安妮股份</t>
  </si>
  <si>
    <t xml:space="preserve">         27.24亿</t>
  </si>
  <si>
    <t>大华股份</t>
  </si>
  <si>
    <t xml:space="preserve">        771.66亿</t>
  </si>
  <si>
    <t>恒邦股份</t>
  </si>
  <si>
    <t xml:space="preserve">        135.58亿</t>
  </si>
  <si>
    <t>天威视讯</t>
  </si>
  <si>
    <t xml:space="preserve">         47.35亿</t>
  </si>
  <si>
    <t>奥特佳</t>
  </si>
  <si>
    <t xml:space="preserve">        120.65亿</t>
  </si>
  <si>
    <t>盛新锂能</t>
  </si>
  <si>
    <t xml:space="preserve">        488.06亿</t>
  </si>
  <si>
    <t>歌尔股份</t>
  </si>
  <si>
    <t xml:space="preserve">       1803.13亿</t>
  </si>
  <si>
    <t>九阳股份</t>
  </si>
  <si>
    <t xml:space="preserve">        186.70亿</t>
  </si>
  <si>
    <t>力合科创</t>
  </si>
  <si>
    <t xml:space="preserve">        123.24亿</t>
  </si>
  <si>
    <t>滨江集团</t>
  </si>
  <si>
    <t xml:space="preserve">        127.26亿</t>
  </si>
  <si>
    <t>蔚蓝锂芯</t>
  </si>
  <si>
    <t xml:space="preserve">        289.41亿</t>
  </si>
  <si>
    <t>北化股份</t>
  </si>
  <si>
    <t>聚力文化</t>
  </si>
  <si>
    <t xml:space="preserve">         23.74亿</t>
  </si>
  <si>
    <t>华东数控</t>
  </si>
  <si>
    <t xml:space="preserve">         34.16亿</t>
  </si>
  <si>
    <t>大洋电机</t>
  </si>
  <si>
    <t xml:space="preserve">        194.21亿</t>
  </si>
  <si>
    <t>联化科技</t>
  </si>
  <si>
    <t xml:space="preserve">        177.54亿</t>
  </si>
  <si>
    <t>步 步 高</t>
  </si>
  <si>
    <t xml:space="preserve">         58.57亿</t>
  </si>
  <si>
    <t>上海莱士</t>
  </si>
  <si>
    <t xml:space="preserve">        442.20亿</t>
  </si>
  <si>
    <t>川大智胜</t>
  </si>
  <si>
    <t xml:space="preserve">         32.74亿</t>
  </si>
  <si>
    <t>泰和新材</t>
  </si>
  <si>
    <t xml:space="preserve">        139.89亿</t>
  </si>
  <si>
    <t>海陆重工</t>
  </si>
  <si>
    <t xml:space="preserve">         55.08亿</t>
  </si>
  <si>
    <t>兆新股份</t>
  </si>
  <si>
    <t xml:space="preserve">         71.16亿</t>
  </si>
  <si>
    <t>利尔化学</t>
  </si>
  <si>
    <t xml:space="preserve">        143.91亿</t>
  </si>
  <si>
    <t>ST升达</t>
  </si>
  <si>
    <t xml:space="preserve">         27.76亿</t>
  </si>
  <si>
    <t>拓维信息</t>
  </si>
  <si>
    <t xml:space="preserve">        101.96亿</t>
  </si>
  <si>
    <t>恩华药业</t>
  </si>
  <si>
    <t xml:space="preserve">        156.18亿</t>
  </si>
  <si>
    <t>大东南</t>
  </si>
  <si>
    <t xml:space="preserve">         61.99亿</t>
  </si>
  <si>
    <t>新 华 都</t>
  </si>
  <si>
    <t xml:space="preserve">         27.38亿</t>
  </si>
  <si>
    <t>西仪股份</t>
  </si>
  <si>
    <t xml:space="preserve">         26.50亿</t>
  </si>
  <si>
    <t>浙富控股</t>
  </si>
  <si>
    <t xml:space="preserve">        352.80亿</t>
  </si>
  <si>
    <t>陕天然气</t>
  </si>
  <si>
    <t xml:space="preserve">         80.07亿</t>
  </si>
  <si>
    <t>卫 士 通</t>
  </si>
  <si>
    <t xml:space="preserve">        516.24亿</t>
  </si>
  <si>
    <t>美邦服饰</t>
  </si>
  <si>
    <t xml:space="preserve">         56.53亿</t>
  </si>
  <si>
    <t>华明装备</t>
  </si>
  <si>
    <t xml:space="preserve">         87.16亿</t>
  </si>
  <si>
    <t>东方雨虹</t>
  </si>
  <si>
    <t xml:space="preserve">       1084.63亿</t>
  </si>
  <si>
    <t>川润股份</t>
  </si>
  <si>
    <t xml:space="preserve">         32.17亿</t>
  </si>
  <si>
    <t>水晶光电</t>
  </si>
  <si>
    <t xml:space="preserve">        251.01亿</t>
  </si>
  <si>
    <t>华昌化工</t>
  </si>
  <si>
    <t xml:space="preserve">        114.76亿</t>
  </si>
  <si>
    <t>桂林三金</t>
  </si>
  <si>
    <t xml:space="preserve">         79.56亿</t>
  </si>
  <si>
    <t>万马股份</t>
  </si>
  <si>
    <t xml:space="preserve">         96.30亿</t>
  </si>
  <si>
    <t>友阿股份</t>
  </si>
  <si>
    <t xml:space="preserve">         42.66亿</t>
  </si>
  <si>
    <t>神开股份</t>
  </si>
  <si>
    <t xml:space="preserve">         20.67亿</t>
  </si>
  <si>
    <t>久其软件</t>
  </si>
  <si>
    <t xml:space="preserve">         32.12亿</t>
  </si>
  <si>
    <t>联络互动</t>
  </si>
  <si>
    <t xml:space="preserve">        110.60亿</t>
  </si>
  <si>
    <t>光迅科技</t>
  </si>
  <si>
    <t xml:space="preserve">        162.64亿</t>
  </si>
  <si>
    <t>博深股份</t>
  </si>
  <si>
    <t xml:space="preserve">         54.94亿</t>
  </si>
  <si>
    <t>天润工业</t>
  </si>
  <si>
    <t xml:space="preserve">        129.12亿</t>
  </si>
  <si>
    <t>亚太股份</t>
  </si>
  <si>
    <t xml:space="preserve">         61.01亿</t>
  </si>
  <si>
    <t>世联行</t>
  </si>
  <si>
    <t>保龄宝</t>
  </si>
  <si>
    <t xml:space="preserve">         57.12亿</t>
  </si>
  <si>
    <t>奇正藏药</t>
  </si>
  <si>
    <t xml:space="preserve">        142.67亿</t>
  </si>
  <si>
    <t>超华科技</t>
  </si>
  <si>
    <t xml:space="preserve">         82.45亿</t>
  </si>
  <si>
    <t>宇顺电子</t>
  </si>
  <si>
    <t xml:space="preserve">         21.58亿</t>
  </si>
  <si>
    <t>禾盛新材</t>
  </si>
  <si>
    <t xml:space="preserve">         19.16亿</t>
  </si>
  <si>
    <t>星期六</t>
  </si>
  <si>
    <t xml:space="preserve">        181.97亿</t>
  </si>
  <si>
    <t>奥飞娱乐</t>
  </si>
  <si>
    <t xml:space="preserve">         85.76亿</t>
  </si>
  <si>
    <t>罗莱生活</t>
  </si>
  <si>
    <t xml:space="preserve">        119.56亿</t>
  </si>
  <si>
    <t>信立泰</t>
  </si>
  <si>
    <t xml:space="preserve">        320.73亿</t>
  </si>
  <si>
    <t>精艺股份</t>
  </si>
  <si>
    <t>辉煌科技</t>
  </si>
  <si>
    <t xml:space="preserve">         27.43亿</t>
  </si>
  <si>
    <t>博云新材</t>
  </si>
  <si>
    <t xml:space="preserve">         61.04亿</t>
  </si>
  <si>
    <t>中电兴发</t>
  </si>
  <si>
    <t xml:space="preserve">         53.66亿</t>
  </si>
  <si>
    <t>圣农发展</t>
  </si>
  <si>
    <t xml:space="preserve">        289.82亿</t>
  </si>
  <si>
    <t>太阳电缆</t>
  </si>
  <si>
    <t xml:space="preserve">         47.81亿</t>
  </si>
  <si>
    <t>齐心集团</t>
  </si>
  <si>
    <t xml:space="preserve">         51.31亿</t>
  </si>
  <si>
    <t>西部建设</t>
  </si>
  <si>
    <t xml:space="preserve">         95.94亿</t>
  </si>
  <si>
    <t>美盈森</t>
  </si>
  <si>
    <t xml:space="preserve">         51.30亿</t>
  </si>
  <si>
    <t>洋河股份</t>
  </si>
  <si>
    <t xml:space="preserve">       2638.43亿</t>
  </si>
  <si>
    <t>南国置业</t>
  </si>
  <si>
    <t xml:space="preserve">         32.26亿</t>
  </si>
  <si>
    <t>中科云网</t>
  </si>
  <si>
    <t xml:space="preserve">         23.60亿</t>
  </si>
  <si>
    <t>北新路桥</t>
  </si>
  <si>
    <t xml:space="preserve">         54.16亿</t>
  </si>
  <si>
    <t>威创股份</t>
  </si>
  <si>
    <t xml:space="preserve">         44.95亿</t>
  </si>
  <si>
    <t>中利集团</t>
  </si>
  <si>
    <t xml:space="preserve">         74.71亿</t>
  </si>
  <si>
    <t>东方园林</t>
  </si>
  <si>
    <t xml:space="preserve">         76.00亿</t>
  </si>
  <si>
    <t>海大集团</t>
  </si>
  <si>
    <t xml:space="preserve">       1075.60亿</t>
  </si>
  <si>
    <t>川发龙蟒</t>
  </si>
  <si>
    <t xml:space="preserve">        248.43亿</t>
  </si>
  <si>
    <t>日海智能</t>
  </si>
  <si>
    <t xml:space="preserve">         41.48亿</t>
  </si>
  <si>
    <t>南山控股</t>
  </si>
  <si>
    <t xml:space="preserve">         81.50亿</t>
  </si>
  <si>
    <t>焦点科技</t>
  </si>
  <si>
    <t xml:space="preserve">         49.31亿</t>
  </si>
  <si>
    <t>亚联发展</t>
  </si>
  <si>
    <t xml:space="preserve">         15.25亿</t>
  </si>
  <si>
    <t>众生药业</t>
  </si>
  <si>
    <t xml:space="preserve">         73.71亿</t>
  </si>
  <si>
    <t>久立特材</t>
  </si>
  <si>
    <t xml:space="preserve">        151.36亿</t>
  </si>
  <si>
    <t>乐通股份</t>
  </si>
  <si>
    <t xml:space="preserve">         29.92亿</t>
  </si>
  <si>
    <t>海峡股份</t>
  </si>
  <si>
    <t xml:space="preserve">        134.63亿</t>
  </si>
  <si>
    <t>*ST华英</t>
  </si>
  <si>
    <t xml:space="preserve">         17.74亿</t>
  </si>
  <si>
    <t>理工环科</t>
  </si>
  <si>
    <t xml:space="preserve">         37.41亿</t>
  </si>
  <si>
    <t>*ST雅博</t>
  </si>
  <si>
    <t xml:space="preserve">         41.76亿</t>
  </si>
  <si>
    <t>普利特</t>
  </si>
  <si>
    <t xml:space="preserve">        134.06亿</t>
  </si>
  <si>
    <t>洪涛股份</t>
  </si>
  <si>
    <t>永太科技</t>
  </si>
  <si>
    <t xml:space="preserve">        495.44亿</t>
  </si>
  <si>
    <t>富安娜</t>
  </si>
  <si>
    <t xml:space="preserve">         75.40亿</t>
  </si>
  <si>
    <t>新朋股份</t>
  </si>
  <si>
    <t>皇氏集团</t>
  </si>
  <si>
    <t xml:space="preserve">         36.69亿</t>
  </si>
  <si>
    <t>乳制品</t>
  </si>
  <si>
    <t>得利斯</t>
  </si>
  <si>
    <t xml:space="preserve">         31.62亿</t>
  </si>
  <si>
    <t>皖通科技</t>
  </si>
  <si>
    <t xml:space="preserve">         34.38亿</t>
  </si>
  <si>
    <t>仙琚制药</t>
  </si>
  <si>
    <t xml:space="preserve">        123.95亿</t>
  </si>
  <si>
    <t>罗普斯金</t>
  </si>
  <si>
    <t xml:space="preserve">         32.63亿</t>
  </si>
  <si>
    <t>英威腾</t>
  </si>
  <si>
    <t xml:space="preserve">         62.39亿</t>
  </si>
  <si>
    <t>科华数据</t>
  </si>
  <si>
    <t xml:space="preserve">        206.32亿</t>
  </si>
  <si>
    <t>人人乐</t>
  </si>
  <si>
    <t xml:space="preserve">         20.20亿</t>
  </si>
  <si>
    <t>赛象科技</t>
  </si>
  <si>
    <t xml:space="preserve">         23.66亿</t>
  </si>
  <si>
    <t>奥普光电</t>
  </si>
  <si>
    <t xml:space="preserve">         49.30亿</t>
  </si>
  <si>
    <t>积成电子</t>
  </si>
  <si>
    <t xml:space="preserve">         35.78亿</t>
  </si>
  <si>
    <t>格林美</t>
  </si>
  <si>
    <t xml:space="preserve">        501.31亿</t>
  </si>
  <si>
    <t>新纶新材</t>
  </si>
  <si>
    <t xml:space="preserve">         72.47亿</t>
  </si>
  <si>
    <t>巨力索具</t>
  </si>
  <si>
    <t xml:space="preserve">         41.57亿</t>
  </si>
  <si>
    <t>慈文传媒</t>
  </si>
  <si>
    <t xml:space="preserve">         23.70亿</t>
  </si>
  <si>
    <t>海宁皮城</t>
  </si>
  <si>
    <t xml:space="preserve">         61.06亿</t>
  </si>
  <si>
    <t>潮宏基</t>
  </si>
  <si>
    <t xml:space="preserve">         45.36亿</t>
  </si>
  <si>
    <t>柘中股份</t>
  </si>
  <si>
    <t xml:space="preserve">         85.00亿</t>
  </si>
  <si>
    <t>泰尔股份</t>
  </si>
  <si>
    <t>高乐股份</t>
  </si>
  <si>
    <t xml:space="preserve">         19.04亿</t>
  </si>
  <si>
    <t>精华制药</t>
  </si>
  <si>
    <t xml:space="preserve">         47.55亿</t>
  </si>
  <si>
    <t>北京科锐</t>
  </si>
  <si>
    <t xml:space="preserve">         45.99亿</t>
  </si>
  <si>
    <t>漫步者</t>
  </si>
  <si>
    <t xml:space="preserve">        109.63亿</t>
  </si>
  <si>
    <t>顺丰控股</t>
  </si>
  <si>
    <t xml:space="preserve">       3307.77亿</t>
  </si>
  <si>
    <t>杰瑞股份</t>
  </si>
  <si>
    <t xml:space="preserve">        381.32亿</t>
  </si>
  <si>
    <t>天神娱乐</t>
  </si>
  <si>
    <t xml:space="preserve">         58.04亿</t>
  </si>
  <si>
    <t>兴民智通</t>
  </si>
  <si>
    <t xml:space="preserve">         34.19亿</t>
  </si>
  <si>
    <t>*ST赫美</t>
  </si>
  <si>
    <t xml:space="preserve">         20.27亿</t>
  </si>
  <si>
    <t>富临运业</t>
  </si>
  <si>
    <t xml:space="preserve">         15.64亿</t>
  </si>
  <si>
    <t>公路</t>
  </si>
  <si>
    <t>ST森源</t>
  </si>
  <si>
    <t xml:space="preserve">         26.87亿</t>
  </si>
  <si>
    <t>同德化工</t>
  </si>
  <si>
    <t xml:space="preserve">         33.76亿</t>
  </si>
  <si>
    <t>神剑股份</t>
  </si>
  <si>
    <t xml:space="preserve">         52.16亿</t>
  </si>
  <si>
    <t>汉王科技</t>
  </si>
  <si>
    <t xml:space="preserve">         39.87亿</t>
  </si>
  <si>
    <t>隆基机械</t>
  </si>
  <si>
    <t xml:space="preserve">         22.72亿</t>
  </si>
  <si>
    <t>中恒电气</t>
  </si>
  <si>
    <t xml:space="preserve">         53.60亿</t>
  </si>
  <si>
    <t>永安药业</t>
  </si>
  <si>
    <t xml:space="preserve">         28.05亿</t>
  </si>
  <si>
    <t>台海核电</t>
  </si>
  <si>
    <t xml:space="preserve">         35.29亿</t>
  </si>
  <si>
    <t>康力电梯</t>
  </si>
  <si>
    <t xml:space="preserve">         61.74亿</t>
  </si>
  <si>
    <t>太极股份</t>
  </si>
  <si>
    <t xml:space="preserve">        172.10亿</t>
  </si>
  <si>
    <t>卓翼科技</t>
  </si>
  <si>
    <t xml:space="preserve">         42.80亿</t>
  </si>
  <si>
    <t>亚太药业</t>
  </si>
  <si>
    <t xml:space="preserve">         23.13亿</t>
  </si>
  <si>
    <t>北方华创</t>
  </si>
  <si>
    <t xml:space="preserve">       2078.83亿</t>
  </si>
  <si>
    <t>伟星新材</t>
  </si>
  <si>
    <t xml:space="preserve">        303.46亿</t>
  </si>
  <si>
    <t>千方科技</t>
  </si>
  <si>
    <t xml:space="preserve">        225.27亿</t>
  </si>
  <si>
    <t>中锐股份</t>
  </si>
  <si>
    <t xml:space="preserve">         28.50亿</t>
  </si>
  <si>
    <t>亚厦股份</t>
  </si>
  <si>
    <t xml:space="preserve">         97.28亿</t>
  </si>
  <si>
    <t>新北洋</t>
  </si>
  <si>
    <t xml:space="preserve">         58.58亿</t>
  </si>
  <si>
    <t>国创高新</t>
  </si>
  <si>
    <t xml:space="preserve">         31.98亿</t>
  </si>
  <si>
    <t>章源钨业</t>
  </si>
  <si>
    <t xml:space="preserve">         77.63亿</t>
  </si>
  <si>
    <t>宏创控股</t>
  </si>
  <si>
    <t xml:space="preserve">         29.37亿</t>
  </si>
  <si>
    <t>科远智慧</t>
  </si>
  <si>
    <t>双箭股份</t>
  </si>
  <si>
    <t xml:space="preserve">         31.77亿</t>
  </si>
  <si>
    <t>蓝帆医疗</t>
  </si>
  <si>
    <t xml:space="preserve">        151.56亿</t>
  </si>
  <si>
    <t>合众思壮</t>
  </si>
  <si>
    <t xml:space="preserve">         47.71亿</t>
  </si>
  <si>
    <t>东山精密</t>
  </si>
  <si>
    <t xml:space="preserve">        434.99亿</t>
  </si>
  <si>
    <t>大北农</t>
  </si>
  <si>
    <t xml:space="preserve">        409.57亿</t>
  </si>
  <si>
    <t>天原股份</t>
  </si>
  <si>
    <t xml:space="preserve">         89.72亿</t>
  </si>
  <si>
    <t>维信诺</t>
  </si>
  <si>
    <t xml:space="preserve">        120.00亿</t>
  </si>
  <si>
    <t>新亚制程</t>
  </si>
  <si>
    <t xml:space="preserve">         26.90亿</t>
  </si>
  <si>
    <t>航天彩虹</t>
  </si>
  <si>
    <t xml:space="preserve">        238.18亿</t>
  </si>
  <si>
    <t>信邦制药</t>
  </si>
  <si>
    <t xml:space="preserve">        140.69亿</t>
  </si>
  <si>
    <t>长青股份</t>
  </si>
  <si>
    <t xml:space="preserve">         48.45亿</t>
  </si>
  <si>
    <t>北京利尔</t>
  </si>
  <si>
    <t xml:space="preserve">         58.10亿</t>
  </si>
  <si>
    <t>力生制药</t>
  </si>
  <si>
    <t xml:space="preserve">         34.72亿</t>
  </si>
  <si>
    <t>联发股份</t>
  </si>
  <si>
    <t xml:space="preserve">         25.19亿</t>
  </si>
  <si>
    <t>双象股份</t>
  </si>
  <si>
    <t xml:space="preserve">         29.85亿</t>
  </si>
  <si>
    <t>星网锐捷</t>
  </si>
  <si>
    <t xml:space="preserve">        146.35亿</t>
  </si>
  <si>
    <t>梦洁股份</t>
  </si>
  <si>
    <t xml:space="preserve">         30.19亿</t>
  </si>
  <si>
    <t>垒知集团</t>
  </si>
  <si>
    <t xml:space="preserve">         51.01亿</t>
  </si>
  <si>
    <t>海普瑞</t>
  </si>
  <si>
    <t xml:space="preserve">        193.69亿</t>
  </si>
  <si>
    <t>省广集团</t>
  </si>
  <si>
    <t xml:space="preserve">         82.63亿</t>
  </si>
  <si>
    <t>中远海科</t>
  </si>
  <si>
    <t>和而泰</t>
  </si>
  <si>
    <t xml:space="preserve">        234.90亿</t>
  </si>
  <si>
    <t>爱仕达</t>
  </si>
  <si>
    <t xml:space="preserve">         23.89亿</t>
  </si>
  <si>
    <t>嘉欣丝绸</t>
  </si>
  <si>
    <t>四维图新</t>
  </si>
  <si>
    <t xml:space="preserve">        369.00亿</t>
  </si>
  <si>
    <t>远东传动</t>
  </si>
  <si>
    <t xml:space="preserve">         37.39亿</t>
  </si>
  <si>
    <t>多氟多</t>
  </si>
  <si>
    <t xml:space="preserve">        390.63亿</t>
  </si>
  <si>
    <t>齐翔腾达</t>
  </si>
  <si>
    <t xml:space="preserve">        245.60亿</t>
  </si>
  <si>
    <t>雅克科技</t>
  </si>
  <si>
    <t xml:space="preserve">        399.78亿</t>
  </si>
  <si>
    <t>广联达</t>
  </si>
  <si>
    <t xml:space="preserve">        773.63亿</t>
  </si>
  <si>
    <t>延安必康</t>
  </si>
  <si>
    <t xml:space="preserve">        188.47亿</t>
  </si>
  <si>
    <t>汉森制药</t>
  </si>
  <si>
    <t xml:space="preserve">         26.02亿</t>
  </si>
  <si>
    <t>雷科防务</t>
  </si>
  <si>
    <t xml:space="preserve">         86.19亿</t>
  </si>
  <si>
    <t>高德红外</t>
  </si>
  <si>
    <t xml:space="preserve">        584.76亿</t>
  </si>
  <si>
    <t>海康威视</t>
  </si>
  <si>
    <t xml:space="preserve">       4713.65亿</t>
  </si>
  <si>
    <t>爱施德</t>
  </si>
  <si>
    <t xml:space="preserve">        152.56亿</t>
  </si>
  <si>
    <t>深南股份</t>
  </si>
  <si>
    <t xml:space="preserve">         13.09亿</t>
  </si>
  <si>
    <t>康盛股份</t>
  </si>
  <si>
    <t xml:space="preserve">         47.84亿</t>
  </si>
  <si>
    <t>天虹股份</t>
  </si>
  <si>
    <t xml:space="preserve">         72.26亿</t>
  </si>
  <si>
    <t>毅昌科技</t>
  </si>
  <si>
    <t xml:space="preserve">         29.15亿</t>
  </si>
  <si>
    <t>达实智能</t>
  </si>
  <si>
    <t xml:space="preserve">         68.67亿</t>
  </si>
  <si>
    <t>科伦药业</t>
  </si>
  <si>
    <t xml:space="preserve">        263.56亿</t>
  </si>
  <si>
    <t>中粮资本</t>
  </si>
  <si>
    <t xml:space="preserve">        186.40亿</t>
  </si>
  <si>
    <t>贵州百灵</t>
  </si>
  <si>
    <t xml:space="preserve">         84.67亿</t>
  </si>
  <si>
    <t>凯撒文化</t>
  </si>
  <si>
    <t xml:space="preserve">         76.63亿</t>
  </si>
  <si>
    <t>胜利精密</t>
  </si>
  <si>
    <t xml:space="preserve">         90.51亿</t>
  </si>
  <si>
    <t>ST尤夫</t>
  </si>
  <si>
    <t xml:space="preserve">         30.61亿</t>
  </si>
  <si>
    <t>云南锗业</t>
  </si>
  <si>
    <t xml:space="preserve">         75.30亿</t>
  </si>
  <si>
    <t>兆驰股份</t>
  </si>
  <si>
    <t xml:space="preserve">        233.14亿</t>
  </si>
  <si>
    <t>杭氧股份</t>
  </si>
  <si>
    <t xml:space="preserve">        267.97亿</t>
  </si>
  <si>
    <t>棕榈股份</t>
  </si>
  <si>
    <t xml:space="preserve">         45.65亿</t>
  </si>
  <si>
    <t>九安医疗</t>
  </si>
  <si>
    <t xml:space="preserve">         52.45亿</t>
  </si>
  <si>
    <t>太安堂</t>
  </si>
  <si>
    <t xml:space="preserve">         47.23亿</t>
  </si>
  <si>
    <t>万里扬</t>
  </si>
  <si>
    <t xml:space="preserve">        221.10亿</t>
  </si>
  <si>
    <t>长江健康</t>
  </si>
  <si>
    <t xml:space="preserve">         60.32亿</t>
  </si>
  <si>
    <t>兴森科技</t>
  </si>
  <si>
    <t xml:space="preserve">        213.81亿</t>
  </si>
  <si>
    <t>誉衡药业</t>
  </si>
  <si>
    <t xml:space="preserve">         52.97亿</t>
  </si>
  <si>
    <t>江苏神通</t>
  </si>
  <si>
    <t xml:space="preserve">         83.65亿</t>
  </si>
  <si>
    <t>启明星辰</t>
  </si>
  <si>
    <t xml:space="preserve">        267.85亿</t>
  </si>
  <si>
    <t>闰土股份</t>
  </si>
  <si>
    <t xml:space="preserve">        103.54亿</t>
  </si>
  <si>
    <t>众业达</t>
  </si>
  <si>
    <t xml:space="preserve">         48.95亿</t>
  </si>
  <si>
    <t>龙星化工</t>
  </si>
  <si>
    <t xml:space="preserve">         30.65亿</t>
  </si>
  <si>
    <t>金洲管道</t>
  </si>
  <si>
    <t>巨星科技</t>
  </si>
  <si>
    <t xml:space="preserve">        385.91亿</t>
  </si>
  <si>
    <t>中南文化</t>
  </si>
  <si>
    <t xml:space="preserve">         66.01亿</t>
  </si>
  <si>
    <t>盛路通信</t>
  </si>
  <si>
    <t xml:space="preserve">         61.47亿</t>
  </si>
  <si>
    <t>*ST晨鑫</t>
  </si>
  <si>
    <t xml:space="preserve">         26.69亿</t>
  </si>
  <si>
    <t>中原内配</t>
  </si>
  <si>
    <t xml:space="preserve">         46.98亿</t>
  </si>
  <si>
    <t>国星光电</t>
  </si>
  <si>
    <t xml:space="preserve">         68.40亿</t>
  </si>
  <si>
    <t>摩恩电气</t>
  </si>
  <si>
    <t xml:space="preserve">         36.85亿</t>
  </si>
  <si>
    <t>长高集团</t>
  </si>
  <si>
    <t xml:space="preserve">         56.84亿</t>
  </si>
  <si>
    <t>华软科技</t>
  </si>
  <si>
    <t xml:space="preserve">        188.84亿</t>
  </si>
  <si>
    <t>松芝股份</t>
  </si>
  <si>
    <t xml:space="preserve">         69.08亿</t>
  </si>
  <si>
    <t>百川股份</t>
  </si>
  <si>
    <t xml:space="preserve">         91.27亿</t>
  </si>
  <si>
    <t>欧菲光</t>
  </si>
  <si>
    <t xml:space="preserve">        287.08亿</t>
  </si>
  <si>
    <t>青龙管业</t>
  </si>
  <si>
    <t xml:space="preserve">         25.76亿</t>
  </si>
  <si>
    <t>益生股份</t>
  </si>
  <si>
    <t xml:space="preserve">        111.11亿</t>
  </si>
  <si>
    <t>晶澳科技</t>
  </si>
  <si>
    <t xml:space="preserve">       1598.38亿</t>
  </si>
  <si>
    <t>赣锋锂业</t>
  </si>
  <si>
    <t xml:space="preserve">       1823.80亿</t>
  </si>
  <si>
    <t>珠江啤酒</t>
  </si>
  <si>
    <t xml:space="preserve">        210.71亿</t>
  </si>
  <si>
    <t>嘉事堂</t>
  </si>
  <si>
    <t xml:space="preserve">         35.73亿</t>
  </si>
  <si>
    <t>沪电股份</t>
  </si>
  <si>
    <t xml:space="preserve">        263.07亿</t>
  </si>
  <si>
    <t>*ST众应</t>
  </si>
  <si>
    <t xml:space="preserve">         26.19亿</t>
  </si>
  <si>
    <t>海格通信</t>
  </si>
  <si>
    <t xml:space="preserve">        230.68亿</t>
  </si>
  <si>
    <t>天齐锂业</t>
  </si>
  <si>
    <t xml:space="preserve">       1610.04亿</t>
  </si>
  <si>
    <t>二六三</t>
  </si>
  <si>
    <t xml:space="preserve">         59.89亿</t>
  </si>
  <si>
    <t>申通快递</t>
  </si>
  <si>
    <t xml:space="preserve">        131.04亿</t>
  </si>
  <si>
    <t>三维化学</t>
  </si>
  <si>
    <t xml:space="preserve">         39.97亿</t>
  </si>
  <si>
    <t>*ST金正</t>
  </si>
  <si>
    <t xml:space="preserve">         74.26亿</t>
  </si>
  <si>
    <t>中超控股</t>
  </si>
  <si>
    <t xml:space="preserve">         38.42亿</t>
  </si>
  <si>
    <t>双环传动</t>
  </si>
  <si>
    <t xml:space="preserve">        242.87亿</t>
  </si>
  <si>
    <t>*ST圣莱</t>
  </si>
  <si>
    <t xml:space="preserve">         20.24亿</t>
  </si>
  <si>
    <t>榕基软件</t>
  </si>
  <si>
    <t xml:space="preserve">         45.30亿</t>
  </si>
  <si>
    <t>立讯精密</t>
  </si>
  <si>
    <t xml:space="preserve">       3037.86亿</t>
  </si>
  <si>
    <t>宝莫股份</t>
  </si>
  <si>
    <t xml:space="preserve">         29.38亿</t>
  </si>
  <si>
    <t>常宝股份</t>
  </si>
  <si>
    <t xml:space="preserve">         37.99亿</t>
  </si>
  <si>
    <t>富春环保</t>
  </si>
  <si>
    <t xml:space="preserve">         48.09亿</t>
  </si>
  <si>
    <t>新筑股份</t>
  </si>
  <si>
    <t xml:space="preserve">         36.54亿</t>
  </si>
  <si>
    <t>双塔食品</t>
  </si>
  <si>
    <t xml:space="preserve">        115.76亿</t>
  </si>
  <si>
    <t>广田集团</t>
  </si>
  <si>
    <t xml:space="preserve">         35.82亿</t>
  </si>
  <si>
    <t>润邦股份</t>
  </si>
  <si>
    <t xml:space="preserve">         84.15亿</t>
  </si>
  <si>
    <t>江海股份</t>
  </si>
  <si>
    <t xml:space="preserve">        209.97亿</t>
  </si>
  <si>
    <t>雪松发展</t>
  </si>
  <si>
    <t xml:space="preserve">         24.10亿</t>
  </si>
  <si>
    <t>嘉麟杰</t>
  </si>
  <si>
    <t xml:space="preserve">         21.38亿</t>
  </si>
  <si>
    <t>大金重工</t>
  </si>
  <si>
    <t xml:space="preserve">        269.05亿</t>
  </si>
  <si>
    <t>金固股份</t>
  </si>
  <si>
    <t xml:space="preserve">         85.06亿</t>
  </si>
  <si>
    <t>浙江永强</t>
  </si>
  <si>
    <t xml:space="preserve">         75.93亿</t>
  </si>
  <si>
    <t>山东墨龙</t>
  </si>
  <si>
    <t xml:space="preserve">         23.46亿</t>
  </si>
  <si>
    <t>通鼎互联</t>
  </si>
  <si>
    <t xml:space="preserve">         71.78亿</t>
  </si>
  <si>
    <t>恒基达鑫</t>
  </si>
  <si>
    <t xml:space="preserve">         21.71亿</t>
  </si>
  <si>
    <t>荣盛石化</t>
  </si>
  <si>
    <t xml:space="preserve">       1632.23亿</t>
  </si>
  <si>
    <t>华斯股份</t>
  </si>
  <si>
    <t xml:space="preserve">         15.08亿</t>
  </si>
  <si>
    <t>佳隆股份</t>
  </si>
  <si>
    <t xml:space="preserve">         23.02亿</t>
  </si>
  <si>
    <t>ST辉丰</t>
  </si>
  <si>
    <t xml:space="preserve">         40.10亿</t>
  </si>
  <si>
    <t>雅化集团</t>
  </si>
  <si>
    <t xml:space="preserve">        340.58亿</t>
  </si>
  <si>
    <t>汉缆股份</t>
  </si>
  <si>
    <t xml:space="preserve">        187.63亿</t>
  </si>
  <si>
    <t>*ST科林</t>
  </si>
  <si>
    <t xml:space="preserve">         10.24亿</t>
  </si>
  <si>
    <t>山西证券</t>
  </si>
  <si>
    <t xml:space="preserve">        232.98亿</t>
  </si>
  <si>
    <t>*ST利源</t>
  </si>
  <si>
    <t xml:space="preserve">         72.07亿</t>
  </si>
  <si>
    <t>鼎龙文化</t>
  </si>
  <si>
    <t xml:space="preserve">         44.44亿</t>
  </si>
  <si>
    <t>搜于特</t>
  </si>
  <si>
    <t xml:space="preserve">         47.01亿</t>
  </si>
  <si>
    <t>ST弘高</t>
  </si>
  <si>
    <t xml:space="preserve">         17.13亿</t>
  </si>
  <si>
    <t>鹏都农牧</t>
  </si>
  <si>
    <t xml:space="preserve">        216.09亿</t>
  </si>
  <si>
    <t>协鑫集成</t>
  </si>
  <si>
    <t xml:space="preserve">        253.54亿</t>
  </si>
  <si>
    <t>涪陵榨菜</t>
  </si>
  <si>
    <t xml:space="preserve">        286.62亿</t>
  </si>
  <si>
    <t>老板电器</t>
  </si>
  <si>
    <t xml:space="preserve">        311.09亿</t>
  </si>
  <si>
    <t>天汽模</t>
  </si>
  <si>
    <t xml:space="preserve">         43.97亿</t>
  </si>
  <si>
    <t>中顺洁柔</t>
  </si>
  <si>
    <t xml:space="preserve">        229.11亿</t>
  </si>
  <si>
    <t>达华智能</t>
  </si>
  <si>
    <t xml:space="preserve">         35.90亿</t>
  </si>
  <si>
    <t>蓝丰生化</t>
  </si>
  <si>
    <t xml:space="preserve">         16.66亿</t>
  </si>
  <si>
    <t>宝馨科技</t>
  </si>
  <si>
    <t xml:space="preserve">         23.99亿</t>
  </si>
  <si>
    <t>金字火腿</t>
  </si>
  <si>
    <t xml:space="preserve">         55.67亿</t>
  </si>
  <si>
    <t>旷达科技</t>
  </si>
  <si>
    <t xml:space="preserve">         85.75亿</t>
  </si>
  <si>
    <t>恺英网络</t>
  </si>
  <si>
    <t xml:space="preserve">        111.29亿</t>
  </si>
  <si>
    <t>科士达</t>
  </si>
  <si>
    <t xml:space="preserve">        172.93亿</t>
  </si>
  <si>
    <t>银河电子</t>
  </si>
  <si>
    <t xml:space="preserve">         52.83亿</t>
  </si>
  <si>
    <t>日发精机</t>
  </si>
  <si>
    <t xml:space="preserve">         95.95亿</t>
  </si>
  <si>
    <t>齐峰新材</t>
  </si>
  <si>
    <t xml:space="preserve">         29.19亿</t>
  </si>
  <si>
    <t>浙江众成</t>
  </si>
  <si>
    <t xml:space="preserve">         70.02亿</t>
  </si>
  <si>
    <t>天桥起重</t>
  </si>
  <si>
    <t>光正眼科</t>
  </si>
  <si>
    <t xml:space="preserve">         48.18亿</t>
  </si>
  <si>
    <t>山东矿机</t>
  </si>
  <si>
    <t xml:space="preserve">         39.22亿</t>
  </si>
  <si>
    <t>新时达</t>
  </si>
  <si>
    <t xml:space="preserve">         53.84亿</t>
  </si>
  <si>
    <t>英飞拓</t>
  </si>
  <si>
    <t>海源复材</t>
  </si>
  <si>
    <t xml:space="preserve">         75.45亿</t>
  </si>
  <si>
    <t>金财互联</t>
  </si>
  <si>
    <t xml:space="preserve">         48.78亿</t>
  </si>
  <si>
    <t>天顺风能</t>
  </si>
  <si>
    <t xml:space="preserve">        374.20亿</t>
  </si>
  <si>
    <t>天山铝业</t>
  </si>
  <si>
    <t xml:space="preserve">        393.08亿</t>
  </si>
  <si>
    <t>金杯电工</t>
  </si>
  <si>
    <t xml:space="preserve">         68.71亿</t>
  </si>
  <si>
    <t>杭锅股份</t>
  </si>
  <si>
    <t xml:space="preserve">        178.07亿</t>
  </si>
  <si>
    <t>ST林重</t>
  </si>
  <si>
    <t xml:space="preserve">         13.47亿</t>
  </si>
  <si>
    <t>飞龙股份</t>
  </si>
  <si>
    <t xml:space="preserve">         45.16亿</t>
  </si>
  <si>
    <t>海联金汇</t>
  </si>
  <si>
    <t xml:space="preserve">         69.62亿</t>
  </si>
  <si>
    <t>司尔特</t>
  </si>
  <si>
    <t xml:space="preserve">         85.78亿</t>
  </si>
  <si>
    <t>云图控股</t>
  </si>
  <si>
    <t xml:space="preserve">        135.66亿</t>
  </si>
  <si>
    <t>亚太科技</t>
  </si>
  <si>
    <t xml:space="preserve">         94.27亿</t>
  </si>
  <si>
    <t>鸿路钢构</t>
  </si>
  <si>
    <t xml:space="preserve">        257.16亿</t>
  </si>
  <si>
    <t>中化岩土</t>
  </si>
  <si>
    <t xml:space="preserve">         49.29亿</t>
  </si>
  <si>
    <t>万和电气</t>
  </si>
  <si>
    <t xml:space="preserve">         52.57亿</t>
  </si>
  <si>
    <t>杰赛科技</t>
  </si>
  <si>
    <t xml:space="preserve">        180.12亿</t>
  </si>
  <si>
    <t>东方铁塔</t>
  </si>
  <si>
    <t xml:space="preserve">        102.39亿</t>
  </si>
  <si>
    <t>新联电子</t>
  </si>
  <si>
    <t xml:space="preserve">         33.11亿</t>
  </si>
  <si>
    <t>春兴精工</t>
  </si>
  <si>
    <t xml:space="preserve">         45.69亿</t>
  </si>
  <si>
    <t>金新农</t>
  </si>
  <si>
    <t xml:space="preserve">         40.13亿</t>
  </si>
  <si>
    <t>凯美特气</t>
  </si>
  <si>
    <t xml:space="preserve">         95.30亿</t>
  </si>
  <si>
    <t>千红制药</t>
  </si>
  <si>
    <t>尚荣医疗</t>
  </si>
  <si>
    <t xml:space="preserve">         40.29亿</t>
  </si>
  <si>
    <t>宝鼎科技</t>
  </si>
  <si>
    <t xml:space="preserve">         46.15亿</t>
  </si>
  <si>
    <t>南方轴承</t>
  </si>
  <si>
    <t xml:space="preserve">         39.67亿</t>
  </si>
  <si>
    <t>惠博普</t>
  </si>
  <si>
    <t>三七互娱</t>
  </si>
  <si>
    <t xml:space="preserve">        583.08亿</t>
  </si>
  <si>
    <t>辉隆股份</t>
  </si>
  <si>
    <t xml:space="preserve">        101.28亿</t>
  </si>
  <si>
    <t>洽洽食品</t>
  </si>
  <si>
    <t xml:space="preserve">        279.66亿</t>
  </si>
  <si>
    <t>巨人网络</t>
  </si>
  <si>
    <t xml:space="preserve">        223.49亿</t>
  </si>
  <si>
    <t>亚威股份</t>
  </si>
  <si>
    <t xml:space="preserve">         53.45亿</t>
  </si>
  <si>
    <t>通达股份</t>
  </si>
  <si>
    <t xml:space="preserve">         31.44亿</t>
  </si>
  <si>
    <t>徐家汇</t>
  </si>
  <si>
    <t>兄弟科技</t>
  </si>
  <si>
    <t xml:space="preserve">         49.85亿</t>
  </si>
  <si>
    <t>森马服饰</t>
  </si>
  <si>
    <t xml:space="preserve">        202.60亿</t>
  </si>
  <si>
    <t>天沃科技</t>
  </si>
  <si>
    <t xml:space="preserve">         36.77亿</t>
  </si>
  <si>
    <t>顺灏股份</t>
  </si>
  <si>
    <t xml:space="preserve">         41.98亿</t>
  </si>
  <si>
    <t>益盛药业</t>
  </si>
  <si>
    <t xml:space="preserve">         25.65亿</t>
  </si>
  <si>
    <t>唐人神</t>
  </si>
  <si>
    <t xml:space="preserve">         81.53亿</t>
  </si>
  <si>
    <t>百润股份</t>
  </si>
  <si>
    <t xml:space="preserve">        455.27亿</t>
  </si>
  <si>
    <t>ST步森</t>
  </si>
  <si>
    <t xml:space="preserve">         11.95亿</t>
  </si>
  <si>
    <t>贝因美</t>
  </si>
  <si>
    <t xml:space="preserve">         51.52亿</t>
  </si>
  <si>
    <t>德力股份</t>
  </si>
  <si>
    <t xml:space="preserve">         27.95亿</t>
  </si>
  <si>
    <t>索菲亚</t>
  </si>
  <si>
    <t xml:space="preserve">        164.23亿</t>
  </si>
  <si>
    <t>清新环境</t>
  </si>
  <si>
    <t xml:space="preserve">         91.24亿</t>
  </si>
  <si>
    <t>明牌珠宝</t>
  </si>
  <si>
    <t xml:space="preserve">         24.24亿</t>
  </si>
  <si>
    <t>*ST群兴</t>
  </si>
  <si>
    <t xml:space="preserve">         31.00亿</t>
  </si>
  <si>
    <t>通达动力</t>
  </si>
  <si>
    <t xml:space="preserve">         32.72亿</t>
  </si>
  <si>
    <t>雷柏科技</t>
  </si>
  <si>
    <t xml:space="preserve">         29.11亿</t>
  </si>
  <si>
    <t>闽发铝业</t>
  </si>
  <si>
    <t xml:space="preserve">         40.81亿</t>
  </si>
  <si>
    <t>中京电子</t>
  </si>
  <si>
    <t>圣阳股份</t>
  </si>
  <si>
    <t xml:space="preserve">         38.35亿</t>
  </si>
  <si>
    <t>未名医药</t>
  </si>
  <si>
    <t xml:space="preserve">         94.67亿</t>
  </si>
  <si>
    <t>好想你</t>
  </si>
  <si>
    <t xml:space="preserve">         38.61亿</t>
  </si>
  <si>
    <t>海能达</t>
  </si>
  <si>
    <t xml:space="preserve">        110.74亿</t>
  </si>
  <si>
    <t>西陇科学</t>
  </si>
  <si>
    <t xml:space="preserve">         39.68亿</t>
  </si>
  <si>
    <t>双星新材</t>
  </si>
  <si>
    <t xml:space="preserve">        320.52亿</t>
  </si>
  <si>
    <t>*ST围海</t>
  </si>
  <si>
    <t xml:space="preserve">         31.35亿</t>
  </si>
  <si>
    <t>奥拓电子</t>
  </si>
  <si>
    <t xml:space="preserve">         30.58亿</t>
  </si>
  <si>
    <t>史丹利</t>
  </si>
  <si>
    <t xml:space="preserve">         62.82亿</t>
  </si>
  <si>
    <t>瑞康医药</t>
  </si>
  <si>
    <t xml:space="preserve">         52.82亿</t>
  </si>
  <si>
    <t>万安科技</t>
  </si>
  <si>
    <t xml:space="preserve">         39.95亿</t>
  </si>
  <si>
    <t>恒大高新</t>
  </si>
  <si>
    <t xml:space="preserve">         15.82亿</t>
  </si>
  <si>
    <t>ST八菱</t>
  </si>
  <si>
    <t xml:space="preserve">         19.92亿</t>
  </si>
  <si>
    <t>日上集团</t>
  </si>
  <si>
    <t xml:space="preserve">         31.19亿</t>
  </si>
  <si>
    <t>比亚迪</t>
  </si>
  <si>
    <t xml:space="preserve">       5381.77亿</t>
  </si>
  <si>
    <t>豪迈科技</t>
  </si>
  <si>
    <t xml:space="preserve">        223.60亿</t>
  </si>
  <si>
    <t>海南瑞泽</t>
  </si>
  <si>
    <t xml:space="preserve">         41.66亿</t>
  </si>
  <si>
    <t>金禾实业</t>
  </si>
  <si>
    <t xml:space="preserve">        270.19亿</t>
  </si>
  <si>
    <t>山东章鼓</t>
  </si>
  <si>
    <t>盛通股份</t>
  </si>
  <si>
    <t xml:space="preserve">         31.89亿</t>
  </si>
  <si>
    <t>领益智造</t>
  </si>
  <si>
    <t xml:space="preserve">        484.76亿</t>
  </si>
  <si>
    <t>龙佰集团</t>
  </si>
  <si>
    <t xml:space="preserve">        641.33亿</t>
  </si>
  <si>
    <t>世纪华通</t>
  </si>
  <si>
    <t xml:space="preserve">        575.34亿</t>
  </si>
  <si>
    <t>以岭药业</t>
  </si>
  <si>
    <t xml:space="preserve">        270.49亿</t>
  </si>
  <si>
    <t>姚记科技</t>
  </si>
  <si>
    <t xml:space="preserve">         73.53亿</t>
  </si>
  <si>
    <t>大连电瓷</t>
  </si>
  <si>
    <t xml:space="preserve">         44.04亿</t>
  </si>
  <si>
    <t>中公教育</t>
  </si>
  <si>
    <t xml:space="preserve">        564.32亿</t>
  </si>
  <si>
    <t>江苏国信</t>
  </si>
  <si>
    <t xml:space="preserve">        234.24亿</t>
  </si>
  <si>
    <t>捷顺科技</t>
  </si>
  <si>
    <t xml:space="preserve">         57.90亿</t>
  </si>
  <si>
    <t>爱康科技</t>
  </si>
  <si>
    <t xml:space="preserve">        258.47亿</t>
  </si>
  <si>
    <t>东方精工</t>
  </si>
  <si>
    <t xml:space="preserve">         77.39亿</t>
  </si>
  <si>
    <t>朗姿股份</t>
  </si>
  <si>
    <t xml:space="preserve">        164.10亿</t>
  </si>
  <si>
    <t>北玻股份</t>
  </si>
  <si>
    <t xml:space="preserve">         32.14亿</t>
  </si>
  <si>
    <t>奥佳华</t>
  </si>
  <si>
    <t xml:space="preserve">         78.20亿</t>
  </si>
  <si>
    <t>哈尔斯</t>
  </si>
  <si>
    <t xml:space="preserve">         26.54亿</t>
  </si>
  <si>
    <t>长青集团</t>
  </si>
  <si>
    <t xml:space="preserve">         42.44亿</t>
  </si>
  <si>
    <t>露笑科技</t>
  </si>
  <si>
    <t xml:space="preserve">        266.21亿</t>
  </si>
  <si>
    <t>*ST丹邦</t>
  </si>
  <si>
    <t xml:space="preserve">         14.96亿</t>
  </si>
  <si>
    <t>*ST艾格</t>
  </si>
  <si>
    <t xml:space="preserve">         30.44亿</t>
  </si>
  <si>
    <t>瑞和股份</t>
  </si>
  <si>
    <t xml:space="preserve">         22.85亿</t>
  </si>
  <si>
    <t>美吉姆</t>
  </si>
  <si>
    <t xml:space="preserve">         30.83亿</t>
  </si>
  <si>
    <t>融钰集团</t>
  </si>
  <si>
    <t xml:space="preserve">         45.53亿</t>
  </si>
  <si>
    <t>亚玛顿</t>
  </si>
  <si>
    <t xml:space="preserve">         78.51亿</t>
  </si>
  <si>
    <t>完美世界</t>
  </si>
  <si>
    <t xml:space="preserve">        384.70亿</t>
  </si>
  <si>
    <t>光启技术</t>
  </si>
  <si>
    <t>金达威</t>
  </si>
  <si>
    <t xml:space="preserve">        193.39亿</t>
  </si>
  <si>
    <t>三峡旅游</t>
  </si>
  <si>
    <t xml:space="preserve">         39.71亿</t>
  </si>
  <si>
    <t>公共交通</t>
  </si>
  <si>
    <t>成都路桥</t>
  </si>
  <si>
    <t xml:space="preserve">         24.05亿</t>
  </si>
  <si>
    <t>ST仁智</t>
  </si>
  <si>
    <t xml:space="preserve">         10.09亿</t>
  </si>
  <si>
    <t>华西能源</t>
  </si>
  <si>
    <t xml:space="preserve">         26.92亿</t>
  </si>
  <si>
    <t>德尔未来</t>
  </si>
  <si>
    <t xml:space="preserve">         48.87亿</t>
  </si>
  <si>
    <t>道明光学</t>
  </si>
  <si>
    <t xml:space="preserve">         47.91亿</t>
  </si>
  <si>
    <t>申科股份</t>
  </si>
  <si>
    <t xml:space="preserve">         11.40亿</t>
  </si>
  <si>
    <t>棒杰股份</t>
  </si>
  <si>
    <t xml:space="preserve">         21.87亿</t>
  </si>
  <si>
    <t>安洁科技</t>
  </si>
  <si>
    <t xml:space="preserve">        115.31亿</t>
  </si>
  <si>
    <t>金安国纪</t>
  </si>
  <si>
    <t xml:space="preserve">        105.92亿</t>
  </si>
  <si>
    <t>赞宇科技</t>
  </si>
  <si>
    <t xml:space="preserve">         73.15亿</t>
  </si>
  <si>
    <t>勤上股份</t>
  </si>
  <si>
    <t xml:space="preserve">         27.26亿</t>
  </si>
  <si>
    <t>雪人股份</t>
  </si>
  <si>
    <t xml:space="preserve">         56.96亿</t>
  </si>
  <si>
    <t>*ST跨境</t>
  </si>
  <si>
    <t xml:space="preserve">         37.70亿</t>
  </si>
  <si>
    <t>永高股份</t>
  </si>
  <si>
    <t xml:space="preserve">         57.57亿</t>
  </si>
  <si>
    <t>荣联科技</t>
  </si>
  <si>
    <t xml:space="preserve">         33.24亿</t>
  </si>
  <si>
    <t>万润股份</t>
  </si>
  <si>
    <t xml:space="preserve">        219.56亿</t>
  </si>
  <si>
    <t>佛慈制药</t>
  </si>
  <si>
    <t xml:space="preserve">         36.46亿</t>
  </si>
  <si>
    <t>华宏科技</t>
  </si>
  <si>
    <t xml:space="preserve">        123.77亿</t>
  </si>
  <si>
    <t>青青稞酒</t>
  </si>
  <si>
    <t xml:space="preserve">         90.87亿</t>
  </si>
  <si>
    <t>仁东控股</t>
  </si>
  <si>
    <t xml:space="preserve">         44.23亿</t>
  </si>
  <si>
    <t>卫星化学</t>
  </si>
  <si>
    <t xml:space="preserve">        668.42亿</t>
  </si>
  <si>
    <t>博彦科技</t>
  </si>
  <si>
    <t xml:space="preserve">         69.35亿</t>
  </si>
  <si>
    <t>加加食品</t>
  </si>
  <si>
    <t xml:space="preserve">         65.78亿</t>
  </si>
  <si>
    <t>利君股份</t>
  </si>
  <si>
    <t xml:space="preserve">        124.53亿</t>
  </si>
  <si>
    <t>扬子新材</t>
  </si>
  <si>
    <t xml:space="preserve">         16.80亿</t>
  </si>
  <si>
    <t>海思科</t>
  </si>
  <si>
    <t xml:space="preserve">        211.58亿</t>
  </si>
  <si>
    <t>万润科技</t>
  </si>
  <si>
    <t xml:space="preserve">         31.28亿</t>
  </si>
  <si>
    <t>共达电声</t>
  </si>
  <si>
    <t xml:space="preserve">         60.44亿</t>
  </si>
  <si>
    <t>ST摩登</t>
  </si>
  <si>
    <t xml:space="preserve">         20.88亿</t>
  </si>
  <si>
    <t>中科金财</t>
  </si>
  <si>
    <t xml:space="preserve">         34.91亿</t>
  </si>
  <si>
    <t>雪迪龙</t>
  </si>
  <si>
    <t xml:space="preserve">         53.55亿</t>
  </si>
  <si>
    <t>凯文教育</t>
  </si>
  <si>
    <t xml:space="preserve">         20.28亿</t>
  </si>
  <si>
    <t>茂硕电源</t>
  </si>
  <si>
    <t xml:space="preserve">         21.81亿</t>
  </si>
  <si>
    <t>克明食品</t>
  </si>
  <si>
    <t>京威股份</t>
  </si>
  <si>
    <t xml:space="preserve">         63.30亿</t>
  </si>
  <si>
    <t>普邦股份</t>
  </si>
  <si>
    <t xml:space="preserve">         32.15亿</t>
  </si>
  <si>
    <t>长鹰信质</t>
  </si>
  <si>
    <t xml:space="preserve">         89.62亿</t>
  </si>
  <si>
    <t>首航高科</t>
  </si>
  <si>
    <t xml:space="preserve">         87.84亿</t>
  </si>
  <si>
    <t>德联集团</t>
  </si>
  <si>
    <t xml:space="preserve">         40.58亿</t>
  </si>
  <si>
    <t>鞍重股份</t>
  </si>
  <si>
    <t xml:space="preserve">         46.39亿</t>
  </si>
  <si>
    <t>ST奥马</t>
  </si>
  <si>
    <t xml:space="preserve">         60.60亿</t>
  </si>
  <si>
    <t>康达新材</t>
  </si>
  <si>
    <t xml:space="preserve">         48.05亿</t>
  </si>
  <si>
    <t>国盛金控</t>
  </si>
  <si>
    <t xml:space="preserve">        183.64亿</t>
  </si>
  <si>
    <t>龙泉股份</t>
  </si>
  <si>
    <t>东江环保</t>
  </si>
  <si>
    <t xml:space="preserve">         47.67亿</t>
  </si>
  <si>
    <t>西部证券</t>
  </si>
  <si>
    <t xml:space="preserve">        349.97亿</t>
  </si>
  <si>
    <t>兴业科技</t>
  </si>
  <si>
    <t>东诚药业</t>
  </si>
  <si>
    <t xml:space="preserve">        137.50亿</t>
  </si>
  <si>
    <t>顺威股份</t>
  </si>
  <si>
    <t xml:space="preserve">         33.70亿</t>
  </si>
  <si>
    <t>浙江美大</t>
  </si>
  <si>
    <t xml:space="preserve">        104.40亿</t>
  </si>
  <si>
    <t>珠江钢琴</t>
  </si>
  <si>
    <t>福建金森</t>
  </si>
  <si>
    <t xml:space="preserve">         31.24亿</t>
  </si>
  <si>
    <t>奋达科技</t>
  </si>
  <si>
    <t xml:space="preserve">         71.71亿</t>
  </si>
  <si>
    <t>龙洲股份</t>
  </si>
  <si>
    <t xml:space="preserve">         20.25亿</t>
  </si>
  <si>
    <t>宏大爆破</t>
  </si>
  <si>
    <t xml:space="preserve">        207.66亿</t>
  </si>
  <si>
    <t>*ST猛狮</t>
  </si>
  <si>
    <t xml:space="preserve">         32.62亿</t>
  </si>
  <si>
    <t>华东重机</t>
  </si>
  <si>
    <t xml:space="preserve">         39.70亿</t>
  </si>
  <si>
    <t>亿利达</t>
  </si>
  <si>
    <t xml:space="preserve">         38.73亿</t>
  </si>
  <si>
    <t>乔治白</t>
  </si>
  <si>
    <t xml:space="preserve">         23.90亿</t>
  </si>
  <si>
    <t>金河生物</t>
  </si>
  <si>
    <t xml:space="preserve">         45.42亿</t>
  </si>
  <si>
    <t>远大智能</t>
  </si>
  <si>
    <t xml:space="preserve">         31.82亿</t>
  </si>
  <si>
    <t>美亚光电</t>
  </si>
  <si>
    <t xml:space="preserve">        279.26亿</t>
  </si>
  <si>
    <t>冀凯股份</t>
  </si>
  <si>
    <t xml:space="preserve">         14.72亿</t>
  </si>
  <si>
    <t>ST远程</t>
  </si>
  <si>
    <t xml:space="preserve">         21.62亿</t>
  </si>
  <si>
    <t>双成药业</t>
  </si>
  <si>
    <t xml:space="preserve">         17.14亿</t>
  </si>
  <si>
    <t>顾地科技</t>
  </si>
  <si>
    <t xml:space="preserve">         19.59亿</t>
  </si>
  <si>
    <t>煌上煌</t>
  </si>
  <si>
    <t xml:space="preserve">         75.58亿</t>
  </si>
  <si>
    <t>百洋股份</t>
  </si>
  <si>
    <t xml:space="preserve">         19.15亿</t>
  </si>
  <si>
    <t>红旗连锁</t>
  </si>
  <si>
    <t xml:space="preserve">         69.77亿</t>
  </si>
  <si>
    <t>博实股份</t>
  </si>
  <si>
    <t xml:space="preserve">        127.41亿</t>
  </si>
  <si>
    <t>美盛文化</t>
  </si>
  <si>
    <t>ST浩源</t>
  </si>
  <si>
    <t xml:space="preserve">         17.70亿</t>
  </si>
  <si>
    <t>奥瑞金</t>
  </si>
  <si>
    <t xml:space="preserve">        184.59亿</t>
  </si>
  <si>
    <t>海欣食品</t>
  </si>
  <si>
    <t>浙江世宝</t>
  </si>
  <si>
    <t xml:space="preserve">         32.82亿</t>
  </si>
  <si>
    <t>新宝股份</t>
  </si>
  <si>
    <t xml:space="preserve">        207.18亿</t>
  </si>
  <si>
    <t>良信股份</t>
  </si>
  <si>
    <t xml:space="preserve">        198.32亿</t>
  </si>
  <si>
    <t>众信旅游</t>
  </si>
  <si>
    <t xml:space="preserve">         54.20亿</t>
  </si>
  <si>
    <t>光洋股份</t>
  </si>
  <si>
    <t xml:space="preserve">         28.76亿</t>
  </si>
  <si>
    <t>天赐材料</t>
  </si>
  <si>
    <t xml:space="preserve">       1215.47亿</t>
  </si>
  <si>
    <t>思美传媒</t>
  </si>
  <si>
    <t xml:space="preserve">         27.08亿</t>
  </si>
  <si>
    <t>东易日盛</t>
  </si>
  <si>
    <t>牧原股份</t>
  </si>
  <si>
    <t xml:space="preserve">       3029.54亿</t>
  </si>
  <si>
    <t>登云股份</t>
  </si>
  <si>
    <t xml:space="preserve">         16.84亿</t>
  </si>
  <si>
    <t>金贵银业</t>
  </si>
  <si>
    <t xml:space="preserve">         74.05亿</t>
  </si>
  <si>
    <t>岭南股份</t>
  </si>
  <si>
    <t xml:space="preserve">         59.12亿</t>
  </si>
  <si>
    <t>友邦吊顶</t>
  </si>
  <si>
    <t xml:space="preserve">         17.57亿</t>
  </si>
  <si>
    <t>*ST麦趣</t>
  </si>
  <si>
    <t xml:space="preserve">         17.90亿</t>
  </si>
  <si>
    <t>金一文化</t>
  </si>
  <si>
    <t xml:space="preserve">         31.97亿</t>
  </si>
  <si>
    <t>金轮股份</t>
  </si>
  <si>
    <t xml:space="preserve">         27.88亿</t>
  </si>
  <si>
    <t>金莱特</t>
  </si>
  <si>
    <t>海洋王</t>
  </si>
  <si>
    <t xml:space="preserve">        138.73亿</t>
  </si>
  <si>
    <t>跃岭股份</t>
  </si>
  <si>
    <t xml:space="preserve">         17.36亿</t>
  </si>
  <si>
    <t>龙大肉食</t>
  </si>
  <si>
    <t xml:space="preserve">        115.28亿</t>
  </si>
  <si>
    <t>一心堂</t>
  </si>
  <si>
    <t xml:space="preserve">        205.68亿</t>
  </si>
  <si>
    <t>特一药业</t>
  </si>
  <si>
    <t xml:space="preserve">         28.89亿</t>
  </si>
  <si>
    <t>好利科技</t>
  </si>
  <si>
    <t xml:space="preserve">         47.39亿</t>
  </si>
  <si>
    <t>电光科技</t>
  </si>
  <si>
    <t xml:space="preserve">         37.82亿</t>
  </si>
  <si>
    <t>萃华珠宝</t>
  </si>
  <si>
    <t>燕塘乳业</t>
  </si>
  <si>
    <t>雄韬股份</t>
  </si>
  <si>
    <t xml:space="preserve">         74.31亿</t>
  </si>
  <si>
    <t>利民股份</t>
  </si>
  <si>
    <t>王子新材</t>
  </si>
  <si>
    <t xml:space="preserve">         41.93亿</t>
  </si>
  <si>
    <t>国信证券</t>
  </si>
  <si>
    <t xml:space="preserve">       1083.32亿</t>
  </si>
  <si>
    <t>葵花药业</t>
  </si>
  <si>
    <t xml:space="preserve">         85.21亿</t>
  </si>
  <si>
    <t>中矿资源</t>
  </si>
  <si>
    <t xml:space="preserve">        190.32亿</t>
  </si>
  <si>
    <t>万达电影</t>
  </si>
  <si>
    <t xml:space="preserve">        320.11亿</t>
  </si>
  <si>
    <t>爱迪尔</t>
  </si>
  <si>
    <t xml:space="preserve">         18.48亿</t>
  </si>
  <si>
    <t>光华科技</t>
  </si>
  <si>
    <t xml:space="preserve">         93.74亿</t>
  </si>
  <si>
    <t>三圣股份</t>
  </si>
  <si>
    <t xml:space="preserve">         30.11亿</t>
  </si>
  <si>
    <t>富煌钢构</t>
  </si>
  <si>
    <t xml:space="preserve">         29.86亿</t>
  </si>
  <si>
    <t>木林森</t>
  </si>
  <si>
    <t xml:space="preserve">        232.57亿</t>
  </si>
  <si>
    <t>仙坛股份</t>
  </si>
  <si>
    <t xml:space="preserve">         57.91亿</t>
  </si>
  <si>
    <t>埃斯顿</t>
  </si>
  <si>
    <t xml:space="preserve">        251.64亿</t>
  </si>
  <si>
    <t>世龙实业</t>
  </si>
  <si>
    <t xml:space="preserve">         31.37亿</t>
  </si>
  <si>
    <t>国光股份</t>
  </si>
  <si>
    <t xml:space="preserve">         37.90亿</t>
  </si>
  <si>
    <t>龙津药业</t>
  </si>
  <si>
    <t xml:space="preserve">         28.48亿</t>
  </si>
  <si>
    <t>易尚展示</t>
  </si>
  <si>
    <t xml:space="preserve">         34.65亿</t>
  </si>
  <si>
    <t>昇兴股份</t>
  </si>
  <si>
    <t xml:space="preserve">         62.91亿</t>
  </si>
  <si>
    <t>永东股份</t>
  </si>
  <si>
    <t xml:space="preserve">         33.19亿</t>
  </si>
  <si>
    <t>奥赛康</t>
  </si>
  <si>
    <t xml:space="preserve">        107.02亿</t>
  </si>
  <si>
    <t>永兴材料</t>
  </si>
  <si>
    <t xml:space="preserve">        541.94亿</t>
  </si>
  <si>
    <t>南兴股份</t>
  </si>
  <si>
    <t xml:space="preserve">         43.25亿</t>
  </si>
  <si>
    <t>浙农股份</t>
  </si>
  <si>
    <t xml:space="preserve">         50.26亿</t>
  </si>
  <si>
    <t>天际股份</t>
  </si>
  <si>
    <t xml:space="preserve">        121.69亿</t>
  </si>
  <si>
    <t>凤形股份</t>
  </si>
  <si>
    <t xml:space="preserve">         29.16亿</t>
  </si>
  <si>
    <t>浙江建投</t>
  </si>
  <si>
    <t xml:space="preserve">         79.26亿</t>
  </si>
  <si>
    <t>金发拉比</t>
  </si>
  <si>
    <t xml:space="preserve">         40.57亿</t>
  </si>
  <si>
    <t>汇洁股份</t>
  </si>
  <si>
    <t xml:space="preserve">         35.88亿</t>
  </si>
  <si>
    <t>蓝黛科技</t>
  </si>
  <si>
    <t xml:space="preserve">         52.28亿</t>
  </si>
  <si>
    <t>*ST索菱</t>
  </si>
  <si>
    <t xml:space="preserve">         18.85亿</t>
  </si>
  <si>
    <t>先锋电子</t>
  </si>
  <si>
    <t xml:space="preserve">         19.53亿</t>
  </si>
  <si>
    <t>国恩股份</t>
  </si>
  <si>
    <t xml:space="preserve">         68.73亿</t>
  </si>
  <si>
    <t>普路通</t>
  </si>
  <si>
    <t xml:space="preserve">         22.59亿</t>
  </si>
  <si>
    <t>*ST科迪</t>
  </si>
  <si>
    <t xml:space="preserve">         25.62亿</t>
  </si>
  <si>
    <t>真视通</t>
  </si>
  <si>
    <t xml:space="preserve">         21.23亿</t>
  </si>
  <si>
    <t>众兴菌业</t>
  </si>
  <si>
    <t xml:space="preserve">         33.05亿</t>
  </si>
  <si>
    <t>康弘药业</t>
  </si>
  <si>
    <t xml:space="preserve">        174.61亿</t>
  </si>
  <si>
    <t>快意电梯</t>
  </si>
  <si>
    <t xml:space="preserve">         27.37亿</t>
  </si>
  <si>
    <t>文科园林</t>
  </si>
  <si>
    <t xml:space="preserve">         18.77亿</t>
  </si>
  <si>
    <t>ST柏龙</t>
  </si>
  <si>
    <t xml:space="preserve">         21.09亿</t>
  </si>
  <si>
    <t>久远银海</t>
  </si>
  <si>
    <t xml:space="preserve">         63.28亿</t>
  </si>
  <si>
    <t>中晟高科</t>
  </si>
  <si>
    <t>中坚科技</t>
  </si>
  <si>
    <t xml:space="preserve">         22.76亿</t>
  </si>
  <si>
    <t>三夫户外</t>
  </si>
  <si>
    <t xml:space="preserve">         28.37亿</t>
  </si>
  <si>
    <t>奇信股份</t>
  </si>
  <si>
    <t xml:space="preserve">         13.90亿</t>
  </si>
  <si>
    <t>可立克</t>
  </si>
  <si>
    <t xml:space="preserve">         68.20亿</t>
  </si>
  <si>
    <t>凯龙股份</t>
  </si>
  <si>
    <t xml:space="preserve">         37.71亿</t>
  </si>
  <si>
    <t>万里石</t>
  </si>
  <si>
    <t xml:space="preserve">         62.00亿</t>
  </si>
  <si>
    <t>银宝山新</t>
  </si>
  <si>
    <t xml:space="preserve">         32.66亿</t>
  </si>
  <si>
    <t>华源控股</t>
  </si>
  <si>
    <t xml:space="preserve">         18.39亿</t>
  </si>
  <si>
    <t>鹭燕医药</t>
  </si>
  <si>
    <t xml:space="preserve">         27.82亿</t>
  </si>
  <si>
    <t>建艺集团</t>
  </si>
  <si>
    <t xml:space="preserve">         17.29亿</t>
  </si>
  <si>
    <t>瑞尔特</t>
  </si>
  <si>
    <t xml:space="preserve">         39.74亿</t>
  </si>
  <si>
    <t>坚朗五金</t>
  </si>
  <si>
    <t xml:space="preserve">        514.46亿</t>
  </si>
  <si>
    <t>通宇通讯</t>
  </si>
  <si>
    <t xml:space="preserve">         53.65亿</t>
  </si>
  <si>
    <t>罗欣药业</t>
  </si>
  <si>
    <t xml:space="preserve">        139.66亿</t>
  </si>
  <si>
    <t>永和智控</t>
  </si>
  <si>
    <t xml:space="preserve">         22.50亿</t>
  </si>
  <si>
    <t>世嘉科技</t>
  </si>
  <si>
    <t xml:space="preserve">         21.10亿</t>
  </si>
  <si>
    <t>第一创业</t>
  </si>
  <si>
    <t xml:space="preserve">        298.79亿</t>
  </si>
  <si>
    <t>帝欧家居</t>
  </si>
  <si>
    <t>环球印务</t>
  </si>
  <si>
    <t xml:space="preserve">         27.06亿</t>
  </si>
  <si>
    <t>天顺股份</t>
  </si>
  <si>
    <t xml:space="preserve">         15.49亿</t>
  </si>
  <si>
    <t>微光股份</t>
  </si>
  <si>
    <t xml:space="preserve">         42.69亿</t>
  </si>
  <si>
    <t>洪汇新材</t>
  </si>
  <si>
    <t>吉宏股份</t>
  </si>
  <si>
    <t xml:space="preserve">         64.28亿</t>
  </si>
  <si>
    <t>丰元股份</t>
  </si>
  <si>
    <t xml:space="preserve">         61.05亿</t>
  </si>
  <si>
    <t>华锋股份</t>
  </si>
  <si>
    <t xml:space="preserve">         31.17亿</t>
  </si>
  <si>
    <t>江阴银行</t>
  </si>
  <si>
    <t xml:space="preserve">         81.88亿</t>
  </si>
  <si>
    <t>恒久科技</t>
  </si>
  <si>
    <t xml:space="preserve">         20.46亿</t>
  </si>
  <si>
    <t>红墙股份</t>
  </si>
  <si>
    <t xml:space="preserve">         20.63亿</t>
  </si>
  <si>
    <t>山东赫达</t>
  </si>
  <si>
    <t xml:space="preserve">        199.40亿</t>
  </si>
  <si>
    <t>郑中设计</t>
  </si>
  <si>
    <t xml:space="preserve">         23.09亿</t>
  </si>
  <si>
    <t>恩捷股份</t>
  </si>
  <si>
    <t xml:space="preserve">       2311.33亿</t>
  </si>
  <si>
    <t>路畅科技</t>
  </si>
  <si>
    <t xml:space="preserve">         29.66亿</t>
  </si>
  <si>
    <t>崇达技术</t>
  </si>
  <si>
    <t xml:space="preserve">        143.17亿</t>
  </si>
  <si>
    <t>和科达</t>
  </si>
  <si>
    <t xml:space="preserve">         18.49亿</t>
  </si>
  <si>
    <t>黄山胶囊</t>
  </si>
  <si>
    <t xml:space="preserve">         20.94亿</t>
  </si>
  <si>
    <t>富森美</t>
  </si>
  <si>
    <t xml:space="preserve">         95.20亿</t>
  </si>
  <si>
    <t>东方中科</t>
  </si>
  <si>
    <t xml:space="preserve">         61.73亿</t>
  </si>
  <si>
    <t>桂发祥</t>
  </si>
  <si>
    <t>凯莱英</t>
  </si>
  <si>
    <t xml:space="preserve">       1079.44亿</t>
  </si>
  <si>
    <t>中装建设</t>
  </si>
  <si>
    <t xml:space="preserve">         37.61亿</t>
  </si>
  <si>
    <t>凯中精密</t>
  </si>
  <si>
    <t xml:space="preserve">         31.46亿</t>
  </si>
  <si>
    <t>和胜股份</t>
  </si>
  <si>
    <t xml:space="preserve">         80.66亿</t>
  </si>
  <si>
    <t>纳尔股份</t>
  </si>
  <si>
    <t>易明医药</t>
  </si>
  <si>
    <t>高争民爆</t>
  </si>
  <si>
    <t xml:space="preserve">         27.41亿</t>
  </si>
  <si>
    <t>贝肯能源</t>
  </si>
  <si>
    <t xml:space="preserve">         15.88亿</t>
  </si>
  <si>
    <t>星网宇达</t>
  </si>
  <si>
    <t xml:space="preserve">         55.87亿</t>
  </si>
  <si>
    <t>名雕股份</t>
  </si>
  <si>
    <t xml:space="preserve">         13.17亿</t>
  </si>
  <si>
    <t>裕同科技</t>
  </si>
  <si>
    <t xml:space="preserve">        298.51亿</t>
  </si>
  <si>
    <t>比音勒芬</t>
  </si>
  <si>
    <t xml:space="preserve">        138.06亿</t>
  </si>
  <si>
    <t>弘亚数控</t>
  </si>
  <si>
    <t xml:space="preserve">         98.21亿</t>
  </si>
  <si>
    <t>同为股份</t>
  </si>
  <si>
    <t xml:space="preserve">         23.36亿</t>
  </si>
  <si>
    <t>新宏泽</t>
  </si>
  <si>
    <t xml:space="preserve">         14.06亿</t>
  </si>
  <si>
    <t>英维克</t>
  </si>
  <si>
    <t xml:space="preserve">        152.48亿</t>
  </si>
  <si>
    <t>道恩股份</t>
  </si>
  <si>
    <t xml:space="preserve">         63.14亿</t>
  </si>
  <si>
    <t>张家港行</t>
  </si>
  <si>
    <t xml:space="preserve">        103.78亿</t>
  </si>
  <si>
    <t>华统股份</t>
  </si>
  <si>
    <t xml:space="preserve">         48.61亿</t>
  </si>
  <si>
    <t>视源股份</t>
  </si>
  <si>
    <t xml:space="preserve">        486.31亿</t>
  </si>
  <si>
    <t>翔鹭钨业</t>
  </si>
  <si>
    <t xml:space="preserve">         26.13亿</t>
  </si>
  <si>
    <t>泰嘉股份</t>
  </si>
  <si>
    <t xml:space="preserve">         20.92亿</t>
  </si>
  <si>
    <t>同兴达</t>
  </si>
  <si>
    <t xml:space="preserve">         62.37亿</t>
  </si>
  <si>
    <t>英联股份</t>
  </si>
  <si>
    <t xml:space="preserve">         23.62亿</t>
  </si>
  <si>
    <t>盐津铺子</t>
  </si>
  <si>
    <t xml:space="preserve">        110.86亿</t>
  </si>
  <si>
    <t>高斯贝尔</t>
  </si>
  <si>
    <t xml:space="preserve">         14.78亿</t>
  </si>
  <si>
    <t>威星智能</t>
  </si>
  <si>
    <t xml:space="preserve">         16.64亿</t>
  </si>
  <si>
    <t>科达利</t>
  </si>
  <si>
    <t xml:space="preserve">        395.13亿</t>
  </si>
  <si>
    <t>麦格米特</t>
  </si>
  <si>
    <t xml:space="preserve">        172.21亿</t>
  </si>
  <si>
    <t>道道全</t>
  </si>
  <si>
    <t xml:space="preserve">         45.95亿</t>
  </si>
  <si>
    <t>皮阿诺</t>
  </si>
  <si>
    <t xml:space="preserve">         29.46亿</t>
  </si>
  <si>
    <t>捷荣技术</t>
  </si>
  <si>
    <t xml:space="preserve">         21.90亿</t>
  </si>
  <si>
    <t>美芝股份</t>
  </si>
  <si>
    <t xml:space="preserve">         14.99亿</t>
  </si>
  <si>
    <t>三晖电气</t>
  </si>
  <si>
    <t xml:space="preserve">         23.03亿</t>
  </si>
  <si>
    <t>力盛赛车</t>
  </si>
  <si>
    <t>洁美科技</t>
  </si>
  <si>
    <t xml:space="preserve">        131.37亿</t>
  </si>
  <si>
    <t>星帅尔</t>
  </si>
  <si>
    <t>瀛通通讯</t>
  </si>
  <si>
    <t xml:space="preserve">         19.05亿</t>
  </si>
  <si>
    <t>实丰文化</t>
  </si>
  <si>
    <t xml:space="preserve">         17.54亿</t>
  </si>
  <si>
    <t>今飞凯达</t>
  </si>
  <si>
    <t xml:space="preserve">         29.28亿</t>
  </si>
  <si>
    <t>盘龙药业</t>
  </si>
  <si>
    <t xml:space="preserve">         21.33亿</t>
  </si>
  <si>
    <t>钧达股份</t>
  </si>
  <si>
    <t xml:space="preserve">         78.87亿</t>
  </si>
  <si>
    <t>传艺科技</t>
  </si>
  <si>
    <t xml:space="preserve">         37.37亿</t>
  </si>
  <si>
    <t>周大生</t>
  </si>
  <si>
    <t xml:space="preserve">        203.90亿</t>
  </si>
  <si>
    <t>绿康生化</t>
  </si>
  <si>
    <t xml:space="preserve">         15.26亿</t>
  </si>
  <si>
    <t>金溢科技</t>
  </si>
  <si>
    <t xml:space="preserve">         27.31亿</t>
  </si>
  <si>
    <t>香山股份</t>
  </si>
  <si>
    <t xml:space="preserve">         48.66亿</t>
  </si>
  <si>
    <t>伟隆股份</t>
  </si>
  <si>
    <t>ST天圣</t>
  </si>
  <si>
    <t xml:space="preserve">         14.88亿</t>
  </si>
  <si>
    <t>新天药业</t>
  </si>
  <si>
    <t xml:space="preserve">         21.86亿</t>
  </si>
  <si>
    <t>安奈儿</t>
  </si>
  <si>
    <t xml:space="preserve">         15.29亿</t>
  </si>
  <si>
    <t>三利谱</t>
  </si>
  <si>
    <t xml:space="preserve">        102.33亿</t>
  </si>
  <si>
    <t>智能自控</t>
  </si>
  <si>
    <t xml:space="preserve">         22.11亿</t>
  </si>
  <si>
    <t>元隆雅图</t>
  </si>
  <si>
    <t xml:space="preserve">         38.77亿</t>
  </si>
  <si>
    <t>长缆科技</t>
  </si>
  <si>
    <t xml:space="preserve">         45.82亿</t>
  </si>
  <si>
    <t>卫光生物</t>
  </si>
  <si>
    <t xml:space="preserve">         70.29亿</t>
  </si>
  <si>
    <t>美格智能</t>
  </si>
  <si>
    <t xml:space="preserve">         90.79亿</t>
  </si>
  <si>
    <t>金龙羽</t>
  </si>
  <si>
    <t xml:space="preserve">         55.24亿</t>
  </si>
  <si>
    <t>中设股份</t>
  </si>
  <si>
    <t xml:space="preserve">         13.65亿</t>
  </si>
  <si>
    <t>凌霄泵业</t>
  </si>
  <si>
    <t xml:space="preserve">         84.88亿</t>
  </si>
  <si>
    <t>京泉华</t>
  </si>
  <si>
    <t xml:space="preserve">         42.97亿</t>
  </si>
  <si>
    <t>沃特股份</t>
  </si>
  <si>
    <t xml:space="preserve">         56.03亿</t>
  </si>
  <si>
    <t>绿茵生态</t>
  </si>
  <si>
    <t xml:space="preserve">         29.76亿</t>
  </si>
  <si>
    <t>惠威科技</t>
  </si>
  <si>
    <t xml:space="preserve">         18.81亿</t>
  </si>
  <si>
    <t>东方嘉盛</t>
  </si>
  <si>
    <t xml:space="preserve">         35.46亿</t>
  </si>
  <si>
    <t>弘宇股份</t>
  </si>
  <si>
    <t xml:space="preserve">         15.17亿</t>
  </si>
  <si>
    <t>中宠股份</t>
  </si>
  <si>
    <t xml:space="preserve">         92.79亿</t>
  </si>
  <si>
    <t>科力尔</t>
  </si>
  <si>
    <t xml:space="preserve">         57.22亿</t>
  </si>
  <si>
    <t>华通热力</t>
  </si>
  <si>
    <t xml:space="preserve">         17.58亿</t>
  </si>
  <si>
    <t>川恒股份</t>
  </si>
  <si>
    <t xml:space="preserve">        139.98亿</t>
  </si>
  <si>
    <t>中大力德</t>
  </si>
  <si>
    <t xml:space="preserve">         23.38亿</t>
  </si>
  <si>
    <t>意华股份</t>
  </si>
  <si>
    <t xml:space="preserve">         78.07亿</t>
  </si>
  <si>
    <t>赛隆药业</t>
  </si>
  <si>
    <t xml:space="preserve">         17.04亿</t>
  </si>
  <si>
    <t>英派斯</t>
  </si>
  <si>
    <t xml:space="preserve">         17.26亿</t>
  </si>
  <si>
    <t>哈三联</t>
  </si>
  <si>
    <t xml:space="preserve">         69.15亿</t>
  </si>
  <si>
    <t>大博医疗</t>
  </si>
  <si>
    <t xml:space="preserve">        196.29亿</t>
  </si>
  <si>
    <t>铭普光磁</t>
  </si>
  <si>
    <t xml:space="preserve">         31.02亿</t>
  </si>
  <si>
    <t>宇环数控</t>
  </si>
  <si>
    <t xml:space="preserve">         26.91亿</t>
  </si>
  <si>
    <t>金逸影视</t>
  </si>
  <si>
    <t xml:space="preserve">         25.59亿</t>
  </si>
  <si>
    <t>华阳集团</t>
  </si>
  <si>
    <t xml:space="preserve">        262.71亿</t>
  </si>
  <si>
    <t>华森制药</t>
  </si>
  <si>
    <t xml:space="preserve">         47.04亿</t>
  </si>
  <si>
    <t>德生科技</t>
  </si>
  <si>
    <t xml:space="preserve">         29.82亿</t>
  </si>
  <si>
    <t>集泰股份</t>
  </si>
  <si>
    <t xml:space="preserve">         25.83亿</t>
  </si>
  <si>
    <t>庄园牧场</t>
  </si>
  <si>
    <t xml:space="preserve">         22.51亿</t>
  </si>
  <si>
    <t>佛燃能源</t>
  </si>
  <si>
    <t xml:space="preserve">         97.17亿</t>
  </si>
  <si>
    <t>中新赛克</t>
  </si>
  <si>
    <t xml:space="preserve">         54.18亿</t>
  </si>
  <si>
    <t>奥士康</t>
  </si>
  <si>
    <t xml:space="preserve">        118.61亿</t>
  </si>
  <si>
    <t>中欣氟材</t>
  </si>
  <si>
    <t>深南电路</t>
  </si>
  <si>
    <t xml:space="preserve">        547.64亿</t>
  </si>
  <si>
    <t>金奥博</t>
  </si>
  <si>
    <t xml:space="preserve">         22.44亿</t>
  </si>
  <si>
    <t>蒙娜丽莎</t>
  </si>
  <si>
    <t xml:space="preserve">         91.57亿</t>
  </si>
  <si>
    <t>名臣健康</t>
  </si>
  <si>
    <t xml:space="preserve">         56.60亿</t>
  </si>
  <si>
    <t>德赛西威</t>
  </si>
  <si>
    <t xml:space="preserve">        688.55亿</t>
  </si>
  <si>
    <t>联诚精密</t>
  </si>
  <si>
    <t xml:space="preserve">         16.74亿</t>
  </si>
  <si>
    <t>伊戈尔</t>
  </si>
  <si>
    <t xml:space="preserve">         68.98亿</t>
  </si>
  <si>
    <t>润都股份</t>
  </si>
  <si>
    <t xml:space="preserve">         57.76亿</t>
  </si>
  <si>
    <t>盈趣科技</t>
  </si>
  <si>
    <t xml:space="preserve">        248.35亿</t>
  </si>
  <si>
    <t>华西证券</t>
  </si>
  <si>
    <t xml:space="preserve">        246.75亿</t>
  </si>
  <si>
    <t>泰永长征</t>
  </si>
  <si>
    <t>华夏航空</t>
  </si>
  <si>
    <t xml:space="preserve">        113.32亿</t>
  </si>
  <si>
    <t>润建股份</t>
  </si>
  <si>
    <t xml:space="preserve">         86.23亿</t>
  </si>
  <si>
    <t>宏川智慧</t>
  </si>
  <si>
    <t xml:space="preserve">         99.38亿</t>
  </si>
  <si>
    <t>锋龙股份</t>
  </si>
  <si>
    <t xml:space="preserve">         30.49亿</t>
  </si>
  <si>
    <t>明德生物</t>
  </si>
  <si>
    <t xml:space="preserve">         70.72亿</t>
  </si>
  <si>
    <t>新兴装备</t>
  </si>
  <si>
    <t xml:space="preserve">         41.38亿</t>
  </si>
  <si>
    <t>天奥电子</t>
  </si>
  <si>
    <t xml:space="preserve">         65.85亿</t>
  </si>
  <si>
    <t>郑州银行</t>
  </si>
  <si>
    <t xml:space="preserve">        195.20亿</t>
  </si>
  <si>
    <t>兴瑞科技</t>
  </si>
  <si>
    <t xml:space="preserve">         56.89亿</t>
  </si>
  <si>
    <t>鹏鼎控股</t>
  </si>
  <si>
    <t xml:space="preserve">        950.64亿</t>
  </si>
  <si>
    <t>长城证券</t>
  </si>
  <si>
    <t xml:space="preserve">        358.75亿</t>
  </si>
  <si>
    <t>昂利康</t>
  </si>
  <si>
    <t>新疆交建</t>
  </si>
  <si>
    <t xml:space="preserve">         73.99亿</t>
  </si>
  <si>
    <t>新农股份</t>
  </si>
  <si>
    <t xml:space="preserve">         24.99亿</t>
  </si>
  <si>
    <t>宇晶股份</t>
  </si>
  <si>
    <t xml:space="preserve">         36.59亿</t>
  </si>
  <si>
    <t>华林证券</t>
  </si>
  <si>
    <t xml:space="preserve">        283.50亿</t>
  </si>
  <si>
    <t>新乳业</t>
  </si>
  <si>
    <t xml:space="preserve">        129.31亿</t>
  </si>
  <si>
    <t>恒铭达</t>
  </si>
  <si>
    <t xml:space="preserve">         59.19亿</t>
  </si>
  <si>
    <t>青岛银行</t>
  </si>
  <si>
    <t xml:space="preserve">        131.56亿</t>
  </si>
  <si>
    <t>华阳国际</t>
  </si>
  <si>
    <t xml:space="preserve">         28.17亿</t>
  </si>
  <si>
    <t>奥美医疗</t>
  </si>
  <si>
    <t xml:space="preserve">         86.95亿</t>
  </si>
  <si>
    <t>金时科技</t>
  </si>
  <si>
    <t xml:space="preserve">         38.03亿</t>
  </si>
  <si>
    <t>亚世光电</t>
  </si>
  <si>
    <t>日丰股份</t>
  </si>
  <si>
    <t xml:space="preserve">         42.08亿</t>
  </si>
  <si>
    <t>鸿合科技</t>
  </si>
  <si>
    <t xml:space="preserve">         46.67亿</t>
  </si>
  <si>
    <t>西麦食品</t>
  </si>
  <si>
    <t>科瑞技术</t>
  </si>
  <si>
    <t xml:space="preserve">        107.90亿</t>
  </si>
  <si>
    <t>青农商行</t>
  </si>
  <si>
    <t xml:space="preserve">        213.89亿</t>
  </si>
  <si>
    <t>小熊电器</t>
  </si>
  <si>
    <t xml:space="preserve">         95.73亿</t>
  </si>
  <si>
    <t>青鸟消防</t>
  </si>
  <si>
    <t xml:space="preserve">        156.73亿</t>
  </si>
  <si>
    <t>瑞达期货</t>
  </si>
  <si>
    <t xml:space="preserve">        102.93亿</t>
  </si>
  <si>
    <t>五方光电</t>
  </si>
  <si>
    <t>豪尔赛</t>
  </si>
  <si>
    <t xml:space="preserve">         24.30亿</t>
  </si>
  <si>
    <t>祥鑫科技</t>
  </si>
  <si>
    <t xml:space="preserve">         44.59亿</t>
  </si>
  <si>
    <t>苏州银行</t>
  </si>
  <si>
    <t xml:space="preserve">        227.33亿</t>
  </si>
  <si>
    <t>广电计量</t>
  </si>
  <si>
    <t xml:space="preserve">        150.08亿</t>
  </si>
  <si>
    <t>新大正</t>
  </si>
  <si>
    <t xml:space="preserve">         61.48亿</t>
  </si>
  <si>
    <t>嘉美包装</t>
  </si>
  <si>
    <t xml:space="preserve">         53.20亿</t>
  </si>
  <si>
    <t>锐明技术</t>
  </si>
  <si>
    <t xml:space="preserve">         65.75亿</t>
  </si>
  <si>
    <t>和远气体</t>
  </si>
  <si>
    <t xml:space="preserve">         30.98亿</t>
  </si>
  <si>
    <t>科安达</t>
  </si>
  <si>
    <t xml:space="preserve">         31.93亿</t>
  </si>
  <si>
    <t>侨银股份</t>
  </si>
  <si>
    <t xml:space="preserve">         60.48亿</t>
  </si>
  <si>
    <t>博杰股份</t>
  </si>
  <si>
    <t xml:space="preserve">         87.60亿</t>
  </si>
  <si>
    <t>瑞玛工业</t>
  </si>
  <si>
    <t xml:space="preserve">         26.34亿</t>
  </si>
  <si>
    <t>天箭科技</t>
  </si>
  <si>
    <t xml:space="preserve">         61.58亿</t>
  </si>
  <si>
    <t>安宁股份</t>
  </si>
  <si>
    <t xml:space="preserve">        171.47亿</t>
  </si>
  <si>
    <t>雷赛智能</t>
  </si>
  <si>
    <t xml:space="preserve">         86.86亿</t>
  </si>
  <si>
    <t>华盛昌</t>
  </si>
  <si>
    <t>朝阳科技</t>
  </si>
  <si>
    <t xml:space="preserve">         22.28亿</t>
  </si>
  <si>
    <t>湘佳股份</t>
  </si>
  <si>
    <t xml:space="preserve">         42.20亿</t>
  </si>
  <si>
    <t>芯瑞达</t>
  </si>
  <si>
    <t>森麒麟</t>
  </si>
  <si>
    <t xml:space="preserve">        232.97亿</t>
  </si>
  <si>
    <t>北摩高科</t>
  </si>
  <si>
    <t xml:space="preserve">        296.75亿</t>
  </si>
  <si>
    <t>宇新股份</t>
  </si>
  <si>
    <t xml:space="preserve">         68.55亿</t>
  </si>
  <si>
    <t>京北方</t>
  </si>
  <si>
    <t xml:space="preserve">         64.10亿</t>
  </si>
  <si>
    <t>豪美新材</t>
  </si>
  <si>
    <t xml:space="preserve">         46.11亿</t>
  </si>
  <si>
    <t>中天精装</t>
  </si>
  <si>
    <t>盛视科技</t>
  </si>
  <si>
    <t xml:space="preserve">         74.32亿</t>
  </si>
  <si>
    <t>甘源食品</t>
  </si>
  <si>
    <t>宝明科技</t>
  </si>
  <si>
    <t xml:space="preserve">         27.46亿</t>
  </si>
  <si>
    <t>奥海科技</t>
  </si>
  <si>
    <t xml:space="preserve">         94.25亿</t>
  </si>
  <si>
    <t>天地在线</t>
  </si>
  <si>
    <t xml:space="preserve">         25.02亿</t>
  </si>
  <si>
    <t>顺博合金</t>
  </si>
  <si>
    <t>瑞鹄模具</t>
  </si>
  <si>
    <t xml:space="preserve">         31.14亿</t>
  </si>
  <si>
    <t>优彩资源</t>
  </si>
  <si>
    <t xml:space="preserve">         29.21亿</t>
  </si>
  <si>
    <t>天禾股份</t>
  </si>
  <si>
    <t xml:space="preserve">         22.07亿</t>
  </si>
  <si>
    <t>劲仔食品</t>
  </si>
  <si>
    <t xml:space="preserve">         39.88亿</t>
  </si>
  <si>
    <t>中岩大地</t>
  </si>
  <si>
    <t xml:space="preserve">         24.96亿</t>
  </si>
  <si>
    <t>壶化股份</t>
  </si>
  <si>
    <t xml:space="preserve">         24.48亿</t>
  </si>
  <si>
    <t>天元股份</t>
  </si>
  <si>
    <t xml:space="preserve">         20.13亿</t>
  </si>
  <si>
    <t>声迅股份</t>
  </si>
  <si>
    <t>竞业达</t>
  </si>
  <si>
    <t>百亚股份</t>
  </si>
  <si>
    <t xml:space="preserve">         72.08亿</t>
  </si>
  <si>
    <t>直真科技</t>
  </si>
  <si>
    <t xml:space="preserve">         18.73亿</t>
  </si>
  <si>
    <t>开普检测</t>
  </si>
  <si>
    <t xml:space="preserve">         22.52亿</t>
  </si>
  <si>
    <t>中天火箭</t>
  </si>
  <si>
    <t xml:space="preserve">        100.99亿</t>
  </si>
  <si>
    <t>若羽臣</t>
  </si>
  <si>
    <t xml:space="preserve">         24.32亿</t>
  </si>
  <si>
    <t>海象新材</t>
  </si>
  <si>
    <t xml:space="preserve">         34.70亿</t>
  </si>
  <si>
    <t>东鹏控股</t>
  </si>
  <si>
    <t xml:space="preserve">        139.78亿</t>
  </si>
  <si>
    <t>地铁设计</t>
  </si>
  <si>
    <t xml:space="preserve">         76.80亿</t>
  </si>
  <si>
    <t>日久光电</t>
  </si>
  <si>
    <t>欣贺股份</t>
  </si>
  <si>
    <t xml:space="preserve">         47.52亿</t>
  </si>
  <si>
    <t>大洋生物</t>
  </si>
  <si>
    <t>金富科技</t>
  </si>
  <si>
    <t xml:space="preserve">         27.61亿</t>
  </si>
  <si>
    <t>宸展光电</t>
  </si>
  <si>
    <t xml:space="preserve">         37.48亿</t>
  </si>
  <si>
    <t>立方制药</t>
  </si>
  <si>
    <t xml:space="preserve">         41.69亿</t>
  </si>
  <si>
    <t>兆威机电</t>
  </si>
  <si>
    <t>联泓新科</t>
  </si>
  <si>
    <t xml:space="preserve">        607.15亿</t>
  </si>
  <si>
    <t>彩虹集团</t>
  </si>
  <si>
    <t>思进智能</t>
  </si>
  <si>
    <t xml:space="preserve">         36.19亿</t>
  </si>
  <si>
    <t>中晶科技</t>
  </si>
  <si>
    <t xml:space="preserve">         81.22亿</t>
  </si>
  <si>
    <t>同兴环保</t>
  </si>
  <si>
    <t xml:space="preserve">         33.32亿</t>
  </si>
  <si>
    <t>振邦智能</t>
  </si>
  <si>
    <t xml:space="preserve">         47.22亿</t>
  </si>
  <si>
    <t>吉大正元</t>
  </si>
  <si>
    <t xml:space="preserve">         38.47亿</t>
  </si>
  <si>
    <t>祖名股份</t>
  </si>
  <si>
    <t xml:space="preserve">         32.03亿</t>
  </si>
  <si>
    <t>中瓷电子</t>
  </si>
  <si>
    <t xml:space="preserve">        122.09亿</t>
  </si>
  <si>
    <t>传智教育</t>
  </si>
  <si>
    <t xml:space="preserve">         85.28亿</t>
  </si>
  <si>
    <t>征和工业</t>
  </si>
  <si>
    <t xml:space="preserve">         22.69亿</t>
  </si>
  <si>
    <t>南网能源</t>
  </si>
  <si>
    <t xml:space="preserve">        309.85亿</t>
  </si>
  <si>
    <t>泰坦股份</t>
  </si>
  <si>
    <t xml:space="preserve">         26.18亿</t>
  </si>
  <si>
    <t>三和管桩</t>
  </si>
  <si>
    <t xml:space="preserve">         51.69亿</t>
  </si>
  <si>
    <t>鑫铂股份</t>
  </si>
  <si>
    <t xml:space="preserve">         60.71亿</t>
  </si>
  <si>
    <t>顺控发展</t>
  </si>
  <si>
    <t xml:space="preserve">        192.79亿</t>
  </si>
  <si>
    <t>楚天龙</t>
  </si>
  <si>
    <t xml:space="preserve">        115.84亿</t>
  </si>
  <si>
    <t>真爱美家</t>
  </si>
  <si>
    <t xml:space="preserve">         28.21亿</t>
  </si>
  <si>
    <t>中农联合</t>
  </si>
  <si>
    <t xml:space="preserve">         25.79亿</t>
  </si>
  <si>
    <t>华亚智能</t>
  </si>
  <si>
    <t xml:space="preserve">         65.54亿</t>
  </si>
  <si>
    <t>中国广核</t>
  </si>
  <si>
    <t xml:space="preserve">       1109.25亿</t>
  </si>
  <si>
    <t>特锐德</t>
  </si>
  <si>
    <t xml:space="preserve">        313.25亿</t>
  </si>
  <si>
    <t>神州泰岳</t>
  </si>
  <si>
    <t xml:space="preserve">        116.29亿</t>
  </si>
  <si>
    <t>乐普医疗</t>
  </si>
  <si>
    <t xml:space="preserve">        402.96亿</t>
  </si>
  <si>
    <t>南风股份</t>
  </si>
  <si>
    <t>探路者</t>
  </si>
  <si>
    <t xml:space="preserve">         83.42亿</t>
  </si>
  <si>
    <t>莱美药业</t>
  </si>
  <si>
    <t xml:space="preserve">         59.13亿</t>
  </si>
  <si>
    <t>汉威科技</t>
  </si>
  <si>
    <t xml:space="preserve">         84.37亿</t>
  </si>
  <si>
    <t>天海防务</t>
  </si>
  <si>
    <t xml:space="preserve">         83.64亿</t>
  </si>
  <si>
    <t>船舶</t>
  </si>
  <si>
    <t>安科生物</t>
  </si>
  <si>
    <t xml:space="preserve">        206.61亿</t>
  </si>
  <si>
    <t>豆神教育</t>
  </si>
  <si>
    <t xml:space="preserve">         33.95亿</t>
  </si>
  <si>
    <t>鼎汉技术</t>
  </si>
  <si>
    <t xml:space="preserve">         41.28亿</t>
  </si>
  <si>
    <t>华测检测</t>
  </si>
  <si>
    <t xml:space="preserve">        437.84亿</t>
  </si>
  <si>
    <t>新宁物流</t>
  </si>
  <si>
    <t xml:space="preserve">         19.43亿</t>
  </si>
  <si>
    <t>亿纬锂能</t>
  </si>
  <si>
    <t xml:space="preserve">       2432.63亿</t>
  </si>
  <si>
    <t>爱尔眼科</t>
  </si>
  <si>
    <t xml:space="preserve">       2554.93亿</t>
  </si>
  <si>
    <t>北陆药业</t>
  </si>
  <si>
    <t xml:space="preserve">         38.25亿</t>
  </si>
  <si>
    <t>网宿科技</t>
  </si>
  <si>
    <t xml:space="preserve">        154.91亿</t>
  </si>
  <si>
    <t>中元股份</t>
  </si>
  <si>
    <t>硅宝科技</t>
  </si>
  <si>
    <t xml:space="preserve">         94.18亿</t>
  </si>
  <si>
    <t>银江技术</t>
  </si>
  <si>
    <t xml:space="preserve">         52.07亿</t>
  </si>
  <si>
    <t>大禹节水</t>
  </si>
  <si>
    <t xml:space="preserve">         42.22亿</t>
  </si>
  <si>
    <t>吉峰科技</t>
  </si>
  <si>
    <t xml:space="preserve">         16.39亿</t>
  </si>
  <si>
    <t>*ST宝德</t>
  </si>
  <si>
    <t xml:space="preserve">         20.10亿</t>
  </si>
  <si>
    <t>机器人</t>
  </si>
  <si>
    <t xml:space="preserve">        156.96亿</t>
  </si>
  <si>
    <t>华星创业</t>
  </si>
  <si>
    <t xml:space="preserve">         18.13亿</t>
  </si>
  <si>
    <t>红日药业</t>
  </si>
  <si>
    <t xml:space="preserve">        125.57亿</t>
  </si>
  <si>
    <t>华谊兄弟</t>
  </si>
  <si>
    <t xml:space="preserve">        100.89亿</t>
  </si>
  <si>
    <t>*ST天龙</t>
  </si>
  <si>
    <t xml:space="preserve">         12.54亿</t>
  </si>
  <si>
    <t>阳普医疗</t>
  </si>
  <si>
    <t xml:space="preserve">         26.74亿</t>
  </si>
  <si>
    <t>宝通科技</t>
  </si>
  <si>
    <t xml:space="preserve">        112.37亿</t>
  </si>
  <si>
    <t>金龙机电</t>
  </si>
  <si>
    <t xml:space="preserve">         53.01亿</t>
  </si>
  <si>
    <t>同花顺</t>
  </si>
  <si>
    <t xml:space="preserve">        612.86亿</t>
  </si>
  <si>
    <t>钢研高纳</t>
  </si>
  <si>
    <t xml:space="preserve">        269.51亿</t>
  </si>
  <si>
    <t>中科电气</t>
  </si>
  <si>
    <t xml:space="preserve">        227.01亿</t>
  </si>
  <si>
    <t>超图软件</t>
  </si>
  <si>
    <t xml:space="preserve">        148.19亿</t>
  </si>
  <si>
    <t>新宙邦</t>
  </si>
  <si>
    <t xml:space="preserve">        504.21亿</t>
  </si>
  <si>
    <t>*ST数知</t>
  </si>
  <si>
    <t xml:space="preserve">         22.62亿</t>
  </si>
  <si>
    <t>上海凯宝</t>
  </si>
  <si>
    <t xml:space="preserve">         48.43亿</t>
  </si>
  <si>
    <t>九洲集团</t>
  </si>
  <si>
    <t xml:space="preserve">         64.52亿</t>
  </si>
  <si>
    <t>回天新材</t>
  </si>
  <si>
    <t xml:space="preserve">         82.52亿</t>
  </si>
  <si>
    <t>朗科科技</t>
  </si>
  <si>
    <t>星辉娱乐</t>
  </si>
  <si>
    <t xml:space="preserve">         44.42亿</t>
  </si>
  <si>
    <t>*ST赛为</t>
  </si>
  <si>
    <t xml:space="preserve">         24.00亿</t>
  </si>
  <si>
    <t>华力创通</t>
  </si>
  <si>
    <t xml:space="preserve">         62.65亿</t>
  </si>
  <si>
    <t>台基股份</t>
  </si>
  <si>
    <t xml:space="preserve">         60.08亿</t>
  </si>
  <si>
    <t>天源迪科</t>
  </si>
  <si>
    <t xml:space="preserve">         50.45亿</t>
  </si>
  <si>
    <t>合康新能</t>
  </si>
  <si>
    <t xml:space="preserve">         75.06亿</t>
  </si>
  <si>
    <t>福瑞股份</t>
  </si>
  <si>
    <t xml:space="preserve">         32.09亿</t>
  </si>
  <si>
    <t>世纪鼎利</t>
  </si>
  <si>
    <t xml:space="preserve">         25.37亿</t>
  </si>
  <si>
    <t>ST三五</t>
  </si>
  <si>
    <t xml:space="preserve">         16.24亿</t>
  </si>
  <si>
    <t>中青宝</t>
  </si>
  <si>
    <t xml:space="preserve">         90.85亿</t>
  </si>
  <si>
    <t>欧比特</t>
  </si>
  <si>
    <t xml:space="preserve">         68.18亿</t>
  </si>
  <si>
    <t>鼎龙股份</t>
  </si>
  <si>
    <t xml:space="preserve">        233.81亿</t>
  </si>
  <si>
    <t>万邦达</t>
  </si>
  <si>
    <t xml:space="preserve">        119.40亿</t>
  </si>
  <si>
    <t>中创环保</t>
  </si>
  <si>
    <t>万顺新材</t>
  </si>
  <si>
    <t xml:space="preserve">         62.69亿</t>
  </si>
  <si>
    <t>蓝色光标</t>
  </si>
  <si>
    <t xml:space="preserve">        171.38亿</t>
  </si>
  <si>
    <t>东方财富</t>
  </si>
  <si>
    <t xml:space="preserve">       3640.26亿</t>
  </si>
  <si>
    <t>旗天科技</t>
  </si>
  <si>
    <t xml:space="preserve">         46.00亿</t>
  </si>
  <si>
    <t>中能电气</t>
  </si>
  <si>
    <t xml:space="preserve">         41.52亿</t>
  </si>
  <si>
    <t>天龙集团</t>
  </si>
  <si>
    <t xml:space="preserve">         33.53亿</t>
  </si>
  <si>
    <t>*ST金刚</t>
  </si>
  <si>
    <t xml:space="preserve">         21.22亿</t>
  </si>
  <si>
    <t>海兰信</t>
  </si>
  <si>
    <t xml:space="preserve">        121.07亿</t>
  </si>
  <si>
    <t>三川智慧</t>
  </si>
  <si>
    <t xml:space="preserve">         48.88亿</t>
  </si>
  <si>
    <t>安诺其</t>
  </si>
  <si>
    <t xml:space="preserve">         43.80亿</t>
  </si>
  <si>
    <t>南都电源</t>
  </si>
  <si>
    <t xml:space="preserve">        110.31亿</t>
  </si>
  <si>
    <t>金利华电</t>
  </si>
  <si>
    <t xml:space="preserve">         30.53亿</t>
  </si>
  <si>
    <t>碧水源</t>
  </si>
  <si>
    <t xml:space="preserve">        223.74亿</t>
  </si>
  <si>
    <t>*ST嘉信</t>
  </si>
  <si>
    <t xml:space="preserve">         18.06亿</t>
  </si>
  <si>
    <t>三聚环保</t>
  </si>
  <si>
    <t xml:space="preserve">        171.53亿</t>
  </si>
  <si>
    <t>当升科技</t>
  </si>
  <si>
    <t xml:space="preserve">        426.09亿</t>
  </si>
  <si>
    <t>华平股份</t>
  </si>
  <si>
    <t>数字政通</t>
  </si>
  <si>
    <t xml:space="preserve">         63.74亿</t>
  </si>
  <si>
    <t>GQY视讯</t>
  </si>
  <si>
    <t xml:space="preserve">         24.59亿</t>
  </si>
  <si>
    <t>国民技术</t>
  </si>
  <si>
    <t xml:space="preserve">        145.74亿</t>
  </si>
  <si>
    <t>思创医惠</t>
  </si>
  <si>
    <t xml:space="preserve">         57.60亿</t>
  </si>
  <si>
    <t>数码视讯</t>
  </si>
  <si>
    <t xml:space="preserve">        125.32亿</t>
  </si>
  <si>
    <t>易成新能</t>
  </si>
  <si>
    <t xml:space="preserve">        128.42亿</t>
  </si>
  <si>
    <t>恒信东方</t>
  </si>
  <si>
    <t xml:space="preserve">         84.35亿</t>
  </si>
  <si>
    <t>奥克股份</t>
  </si>
  <si>
    <t xml:space="preserve">        120.72亿</t>
  </si>
  <si>
    <t>创世纪</t>
  </si>
  <si>
    <t xml:space="preserve">        233.54亿</t>
  </si>
  <si>
    <t>海默科技</t>
  </si>
  <si>
    <t xml:space="preserve">         22.47亿</t>
  </si>
  <si>
    <t>银之杰</t>
  </si>
  <si>
    <t xml:space="preserve">         95.96亿</t>
  </si>
  <si>
    <t>康芝药业</t>
  </si>
  <si>
    <t xml:space="preserve">         23.22亿</t>
  </si>
  <si>
    <t>荃银高科</t>
  </si>
  <si>
    <t xml:space="preserve">        140.00亿</t>
  </si>
  <si>
    <t>长信科技</t>
  </si>
  <si>
    <t xml:space="preserve">        305.63亿</t>
  </si>
  <si>
    <t>ST文化</t>
  </si>
  <si>
    <t xml:space="preserve">         21.79亿</t>
  </si>
  <si>
    <t>金通灵</t>
  </si>
  <si>
    <t>科新机电</t>
  </si>
  <si>
    <t xml:space="preserve">         30.96亿</t>
  </si>
  <si>
    <t>金刚玻璃</t>
  </si>
  <si>
    <t xml:space="preserve">         65.19亿</t>
  </si>
  <si>
    <t>国联水产</t>
  </si>
  <si>
    <t xml:space="preserve">         39.41亿</t>
  </si>
  <si>
    <t>华伍股份</t>
  </si>
  <si>
    <t xml:space="preserve">         57.41亿</t>
  </si>
  <si>
    <t>易联众</t>
  </si>
  <si>
    <t>智云股份</t>
  </si>
  <si>
    <t xml:space="preserve">         28.02亿</t>
  </si>
  <si>
    <t>高新兴</t>
  </si>
  <si>
    <t xml:space="preserve">         97.14亿</t>
  </si>
  <si>
    <t>精准信息</t>
  </si>
  <si>
    <t xml:space="preserve">         61.60亿</t>
  </si>
  <si>
    <t>双林股份</t>
  </si>
  <si>
    <t xml:space="preserve">         43.27亿</t>
  </si>
  <si>
    <t>振芯科技</t>
  </si>
  <si>
    <t xml:space="preserve">        167.32亿</t>
  </si>
  <si>
    <t>乾照光电</t>
  </si>
  <si>
    <t xml:space="preserve">         62.25亿</t>
  </si>
  <si>
    <t>达刚控股</t>
  </si>
  <si>
    <t xml:space="preserve">         31.79亿</t>
  </si>
  <si>
    <t>龙源技术</t>
  </si>
  <si>
    <t xml:space="preserve">         38.62亿</t>
  </si>
  <si>
    <t>西部牧业</t>
  </si>
  <si>
    <t xml:space="preserve">         23.52亿</t>
  </si>
  <si>
    <t>建新股份</t>
  </si>
  <si>
    <t xml:space="preserve">         31.53亿</t>
  </si>
  <si>
    <t>吉药控股</t>
  </si>
  <si>
    <t xml:space="preserve">         23.51亿</t>
  </si>
  <si>
    <t>新开源</t>
  </si>
  <si>
    <t xml:space="preserve">         89.58亿</t>
  </si>
  <si>
    <t>华仁药业</t>
  </si>
  <si>
    <t xml:space="preserve">         50.01亿</t>
  </si>
  <si>
    <t>向日葵</t>
  </si>
  <si>
    <t xml:space="preserve">         31.47亿</t>
  </si>
  <si>
    <t>万讯自控</t>
  </si>
  <si>
    <t xml:space="preserve">         35.15亿</t>
  </si>
  <si>
    <t>顺网科技</t>
  </si>
  <si>
    <t xml:space="preserve">        108.31亿</t>
  </si>
  <si>
    <t>中航电测</t>
  </si>
  <si>
    <t xml:space="preserve">        100.90亿</t>
  </si>
  <si>
    <t>长盈精密</t>
  </si>
  <si>
    <t xml:space="preserve">        205.26亿</t>
  </si>
  <si>
    <t>保力新</t>
  </si>
  <si>
    <t>嘉寓股份</t>
  </si>
  <si>
    <t xml:space="preserve">         34.40亿</t>
  </si>
  <si>
    <t>东方日升</t>
  </si>
  <si>
    <t xml:space="preserve">        324.49亿</t>
  </si>
  <si>
    <t>瑞普生物</t>
  </si>
  <si>
    <t xml:space="preserve">        108.28亿</t>
  </si>
  <si>
    <t>经纬辉开</t>
  </si>
  <si>
    <t xml:space="preserve">         39.02亿</t>
  </si>
  <si>
    <t>阳谷华泰</t>
  </si>
  <si>
    <t xml:space="preserve">         41.15亿</t>
  </si>
  <si>
    <t>智飞生物</t>
  </si>
  <si>
    <t xml:space="preserve">       2101.60亿</t>
  </si>
  <si>
    <t>亚光科技</t>
  </si>
  <si>
    <t xml:space="preserve">         94.42亿</t>
  </si>
  <si>
    <t>汇川技术</t>
  </si>
  <si>
    <t xml:space="preserve">       1732.49亿</t>
  </si>
  <si>
    <t>聆达股份</t>
  </si>
  <si>
    <t xml:space="preserve">         47.58亿</t>
  </si>
  <si>
    <t>锐奇股份</t>
  </si>
  <si>
    <t>银河磁体</t>
  </si>
  <si>
    <t xml:space="preserve">         73.81亿</t>
  </si>
  <si>
    <t>锦富技术</t>
  </si>
  <si>
    <t xml:space="preserve">         45.52亿</t>
  </si>
  <si>
    <t>泰胜风能</t>
  </si>
  <si>
    <t xml:space="preserve">         78.82亿</t>
  </si>
  <si>
    <t>新国都</t>
  </si>
  <si>
    <t xml:space="preserve">         49.80亿</t>
  </si>
  <si>
    <t>英唐智控</t>
  </si>
  <si>
    <t xml:space="preserve">         76.90亿</t>
  </si>
  <si>
    <t>青松股份</t>
  </si>
  <si>
    <t xml:space="preserve">         53.62亿</t>
  </si>
  <si>
    <t>华策影视</t>
  </si>
  <si>
    <t xml:space="preserve">        112.92亿</t>
  </si>
  <si>
    <t>大富科技</t>
  </si>
  <si>
    <t xml:space="preserve">         88.26亿</t>
  </si>
  <si>
    <t>宝利国际</t>
  </si>
  <si>
    <t xml:space="preserve">         24.79亿</t>
  </si>
  <si>
    <t>信维通信</t>
  </si>
  <si>
    <t xml:space="preserve">        245.09亿</t>
  </si>
  <si>
    <t>先河环保</t>
  </si>
  <si>
    <t xml:space="preserve">         37.14亿</t>
  </si>
  <si>
    <t>晨光生物</t>
  </si>
  <si>
    <t xml:space="preserve">         79.17亿</t>
  </si>
  <si>
    <t>晓程科技</t>
  </si>
  <si>
    <t xml:space="preserve">         39.46亿</t>
  </si>
  <si>
    <t>中环装备</t>
  </si>
  <si>
    <t>和顺电气</t>
  </si>
  <si>
    <t>沃森生物</t>
  </si>
  <si>
    <t xml:space="preserve">        986.71亿</t>
  </si>
  <si>
    <t>盈康生命</t>
  </si>
  <si>
    <t xml:space="preserve">        100.82亿</t>
  </si>
  <si>
    <t>宋城演艺</t>
  </si>
  <si>
    <t xml:space="preserve">        374.42亿</t>
  </si>
  <si>
    <t>中金环境</t>
  </si>
  <si>
    <t xml:space="preserve">         59.82亿</t>
  </si>
  <si>
    <t>汤臣倍健</t>
  </si>
  <si>
    <t xml:space="preserve">        412.15亿</t>
  </si>
  <si>
    <t>香雪制药</t>
  </si>
  <si>
    <t xml:space="preserve">         42.00亿</t>
  </si>
  <si>
    <t>天舟文化</t>
  </si>
  <si>
    <t xml:space="preserve">         37.66亿</t>
  </si>
  <si>
    <t>睿智医药</t>
  </si>
  <si>
    <t xml:space="preserve">         71.07亿</t>
  </si>
  <si>
    <t>世纪瑞尔</t>
  </si>
  <si>
    <t xml:space="preserve">         26.68亿</t>
  </si>
  <si>
    <t>昌红科技</t>
  </si>
  <si>
    <t xml:space="preserve">        189.94亿</t>
  </si>
  <si>
    <t>科融环境</t>
  </si>
  <si>
    <t xml:space="preserve">         33.22亿</t>
  </si>
  <si>
    <t>科泰电源</t>
  </si>
  <si>
    <t xml:space="preserve">         40.32亿</t>
  </si>
  <si>
    <t>瑞凌股份</t>
  </si>
  <si>
    <t xml:space="preserve">         29.18亿</t>
  </si>
  <si>
    <t>安居宝</t>
  </si>
  <si>
    <t xml:space="preserve">         37.38亿</t>
  </si>
  <si>
    <t>恒泰艾普</t>
  </si>
  <si>
    <t xml:space="preserve">         32.97亿</t>
  </si>
  <si>
    <t>振东制药</t>
  </si>
  <si>
    <t xml:space="preserve">         73.36亿</t>
  </si>
  <si>
    <t>新研股份</t>
  </si>
  <si>
    <t>秀强股份</t>
  </si>
  <si>
    <t xml:space="preserve">         51.43亿</t>
  </si>
  <si>
    <t>华中数控</t>
  </si>
  <si>
    <t xml:space="preserve">         51.48亿</t>
  </si>
  <si>
    <t>雷曼光电</t>
  </si>
  <si>
    <t xml:space="preserve">         43.37亿</t>
  </si>
  <si>
    <t>先锋新材</t>
  </si>
  <si>
    <t xml:space="preserve">         17.21亿</t>
  </si>
  <si>
    <t>通源石油</t>
  </si>
  <si>
    <t xml:space="preserve">         24.21亿</t>
  </si>
  <si>
    <t>天瑞仪器</t>
  </si>
  <si>
    <t>东方国信</t>
  </si>
  <si>
    <t xml:space="preserve">        124.92亿</t>
  </si>
  <si>
    <t>迪威迅</t>
  </si>
  <si>
    <t xml:space="preserve">         19.74亿</t>
  </si>
  <si>
    <t>万达信息</t>
  </si>
  <si>
    <t xml:space="preserve">        137.76亿</t>
  </si>
  <si>
    <t>天晟新材</t>
  </si>
  <si>
    <t xml:space="preserve">         23.54亿</t>
  </si>
  <si>
    <t>汉得信息</t>
  </si>
  <si>
    <t xml:space="preserve">         71.70亿</t>
  </si>
  <si>
    <t>东富龙</t>
  </si>
  <si>
    <t xml:space="preserve">        324.98亿</t>
  </si>
  <si>
    <t>中电环保</t>
  </si>
  <si>
    <t xml:space="preserve">         35.19亿</t>
  </si>
  <si>
    <t>福能东方</t>
  </si>
  <si>
    <t xml:space="preserve">         53.49亿</t>
  </si>
  <si>
    <t>元力股份</t>
  </si>
  <si>
    <t xml:space="preserve">         53.67亿</t>
  </si>
  <si>
    <t>朗源股份</t>
  </si>
  <si>
    <t>派生科技</t>
  </si>
  <si>
    <t xml:space="preserve">         25.44亿</t>
  </si>
  <si>
    <t>中海达</t>
  </si>
  <si>
    <t xml:space="preserve">         65.49亿</t>
  </si>
  <si>
    <t>*ST腾邦</t>
  </si>
  <si>
    <t xml:space="preserve">         16.52亿</t>
  </si>
  <si>
    <t>四方达</t>
  </si>
  <si>
    <t xml:space="preserve">         61.87亿</t>
  </si>
  <si>
    <t>华峰超纤</t>
  </si>
  <si>
    <t>佐力药业</t>
  </si>
  <si>
    <t xml:space="preserve">         48.99亿</t>
  </si>
  <si>
    <t>捷成股份</t>
  </si>
  <si>
    <t xml:space="preserve">        130.81亿</t>
  </si>
  <si>
    <t>东软载波</t>
  </si>
  <si>
    <t xml:space="preserve">         91.50亿</t>
  </si>
  <si>
    <t>力源信息</t>
  </si>
  <si>
    <t xml:space="preserve">         78.15亿</t>
  </si>
  <si>
    <t>通裕重工</t>
  </si>
  <si>
    <t xml:space="preserve">        149.64亿</t>
  </si>
  <si>
    <t>永清环保</t>
  </si>
  <si>
    <t xml:space="preserve">         51.50亿</t>
  </si>
  <si>
    <t>美亚柏科</t>
  </si>
  <si>
    <t xml:space="preserve">        130.35亿</t>
  </si>
  <si>
    <t>神农科技</t>
  </si>
  <si>
    <t xml:space="preserve">         48.03亿</t>
  </si>
  <si>
    <t>维尔利</t>
  </si>
  <si>
    <t>潜能恒信</t>
  </si>
  <si>
    <t xml:space="preserve">         77.89亿</t>
  </si>
  <si>
    <t>科德教育</t>
  </si>
  <si>
    <t xml:space="preserve">         24.49亿</t>
  </si>
  <si>
    <t>佳士科技</t>
  </si>
  <si>
    <t>福安药业</t>
  </si>
  <si>
    <t xml:space="preserve">         49.37亿</t>
  </si>
  <si>
    <t>长荣股份</t>
  </si>
  <si>
    <t>长海股份</t>
  </si>
  <si>
    <t xml:space="preserve">         75.73亿</t>
  </si>
  <si>
    <t>节能铁汉</t>
  </si>
  <si>
    <t xml:space="preserve">         79.32亿</t>
  </si>
  <si>
    <t>纳川股份</t>
  </si>
  <si>
    <t>翰宇药业</t>
  </si>
  <si>
    <t xml:space="preserve">         76.93亿</t>
  </si>
  <si>
    <t>高盟新材</t>
  </si>
  <si>
    <t xml:space="preserve">         42.17亿</t>
  </si>
  <si>
    <t>海伦哲</t>
  </si>
  <si>
    <t>*ST 聚龙</t>
  </si>
  <si>
    <t xml:space="preserve">         24.01亿</t>
  </si>
  <si>
    <t>聚光科技</t>
  </si>
  <si>
    <t xml:space="preserve">        126.25亿</t>
  </si>
  <si>
    <t>舒泰神</t>
  </si>
  <si>
    <t xml:space="preserve">         83.16亿</t>
  </si>
  <si>
    <t>天喻信息</t>
  </si>
  <si>
    <t xml:space="preserve">         54.27亿</t>
  </si>
  <si>
    <t>理邦仪器</t>
  </si>
  <si>
    <t xml:space="preserve">         71.20亿</t>
  </si>
  <si>
    <t>欣旺达</t>
  </si>
  <si>
    <t xml:space="preserve">        830.80亿</t>
  </si>
  <si>
    <t>青岛中程</t>
  </si>
  <si>
    <t xml:space="preserve">         95.56亿</t>
  </si>
  <si>
    <t>天泽信息</t>
  </si>
  <si>
    <t>森远股份</t>
  </si>
  <si>
    <t xml:space="preserve">         17.43亿</t>
  </si>
  <si>
    <t>亿通科技</t>
  </si>
  <si>
    <t xml:space="preserve">         41.89亿</t>
  </si>
  <si>
    <t>易华录</t>
  </si>
  <si>
    <t xml:space="preserve">        222.31亿</t>
  </si>
  <si>
    <t>佳讯飞鸿</t>
  </si>
  <si>
    <t xml:space="preserve">         39.72亿</t>
  </si>
  <si>
    <t>日科化学</t>
  </si>
  <si>
    <t xml:space="preserve">         35.03亿</t>
  </si>
  <si>
    <t>电科院</t>
  </si>
  <si>
    <t xml:space="preserve">         84.93亿</t>
  </si>
  <si>
    <t>东方电热</t>
  </si>
  <si>
    <t xml:space="preserve">         83.59亿</t>
  </si>
  <si>
    <t>安利股份</t>
  </si>
  <si>
    <t>鸿利智汇</t>
  </si>
  <si>
    <t xml:space="preserve">        102.79亿</t>
  </si>
  <si>
    <t>金运激光</t>
  </si>
  <si>
    <t xml:space="preserve">         23.72亿</t>
  </si>
  <si>
    <t>银禧科技</t>
  </si>
  <si>
    <t xml:space="preserve">         36.29亿</t>
  </si>
  <si>
    <t>科大智能</t>
  </si>
  <si>
    <t xml:space="preserve">        106.97亿</t>
  </si>
  <si>
    <t>北京君正</t>
  </si>
  <si>
    <t xml:space="preserve">        635.19亿</t>
  </si>
  <si>
    <t>正海磁材</t>
  </si>
  <si>
    <t xml:space="preserve">        110.07亿</t>
  </si>
  <si>
    <t>金力泰</t>
  </si>
  <si>
    <t xml:space="preserve">         77.34亿</t>
  </si>
  <si>
    <t>上海钢联</t>
  </si>
  <si>
    <t xml:space="preserve">         76.43亿</t>
  </si>
  <si>
    <t>光韵达</t>
  </si>
  <si>
    <t xml:space="preserve">         49.19亿</t>
  </si>
  <si>
    <t>富瑞特装</t>
  </si>
  <si>
    <t xml:space="preserve">         53.28亿</t>
  </si>
  <si>
    <t>拓尔思</t>
  </si>
  <si>
    <t xml:space="preserve">         67.62亿</t>
  </si>
  <si>
    <t>永利股份</t>
  </si>
  <si>
    <t xml:space="preserve">         36.32亿</t>
  </si>
  <si>
    <t>银信科技</t>
  </si>
  <si>
    <t xml:space="preserve">         36.83亿</t>
  </si>
  <si>
    <t>洲明科技</t>
  </si>
  <si>
    <t xml:space="preserve">        100.66亿</t>
  </si>
  <si>
    <t>金城医药</t>
  </si>
  <si>
    <t xml:space="preserve">        135.59亿</t>
  </si>
  <si>
    <t>开尔新材</t>
  </si>
  <si>
    <t xml:space="preserve">         43.68亿</t>
  </si>
  <si>
    <t>方直科技</t>
  </si>
  <si>
    <t>上海新阳</t>
  </si>
  <si>
    <t xml:space="preserve">        135.16亿</t>
  </si>
  <si>
    <t>美晨生态</t>
  </si>
  <si>
    <t xml:space="preserve">         36.33亿</t>
  </si>
  <si>
    <t>冠昊生物</t>
  </si>
  <si>
    <t xml:space="preserve">         45.00亿</t>
  </si>
  <si>
    <t>东宝生物</t>
  </si>
  <si>
    <t xml:space="preserve">         37.16亿</t>
  </si>
  <si>
    <t>飞力达</t>
  </si>
  <si>
    <t xml:space="preserve">         29.09亿</t>
  </si>
  <si>
    <t>瑞丰光电</t>
  </si>
  <si>
    <t>佳云科技</t>
  </si>
  <si>
    <t xml:space="preserve">         27.16亿</t>
  </si>
  <si>
    <t>瑞丰高材</t>
  </si>
  <si>
    <t xml:space="preserve">         33.25亿</t>
  </si>
  <si>
    <t>迪安诊断</t>
  </si>
  <si>
    <t xml:space="preserve">        203.51亿</t>
  </si>
  <si>
    <t>天玑科技</t>
  </si>
  <si>
    <t xml:space="preserve">         27.55亿</t>
  </si>
  <si>
    <t>宝莱特</t>
  </si>
  <si>
    <t xml:space="preserve">         25.32亿</t>
  </si>
  <si>
    <t>融捷健康</t>
  </si>
  <si>
    <t xml:space="preserve">         27.42亿</t>
  </si>
  <si>
    <t>新开普</t>
  </si>
  <si>
    <t>依米康</t>
  </si>
  <si>
    <t xml:space="preserve">         29.49亿</t>
  </si>
  <si>
    <t>初灵信息</t>
  </si>
  <si>
    <t xml:space="preserve">         27.17亿</t>
  </si>
  <si>
    <t>光线传媒</t>
  </si>
  <si>
    <t xml:space="preserve">        294.53亿</t>
  </si>
  <si>
    <t>金信诺</t>
  </si>
  <si>
    <t xml:space="preserve">         58.75亿</t>
  </si>
  <si>
    <t>卫宁健康</t>
  </si>
  <si>
    <t xml:space="preserve">        320.51亿</t>
  </si>
  <si>
    <t>仟源医药</t>
  </si>
  <si>
    <t xml:space="preserve">         15.09亿</t>
  </si>
  <si>
    <t>常山药业</t>
  </si>
  <si>
    <t xml:space="preserve">         67.13亿</t>
  </si>
  <si>
    <t>*ST星星</t>
  </si>
  <si>
    <t xml:space="preserve">         32.38亿</t>
  </si>
  <si>
    <t>开山股份</t>
  </si>
  <si>
    <t>精锻科技</t>
  </si>
  <si>
    <t xml:space="preserve">         76.12亿</t>
  </si>
  <si>
    <t>新天科技</t>
  </si>
  <si>
    <t xml:space="preserve">         58.67亿</t>
  </si>
  <si>
    <t>新莱应材</t>
  </si>
  <si>
    <t xml:space="preserve">        105.67亿</t>
  </si>
  <si>
    <t>雅本化学</t>
  </si>
  <si>
    <t xml:space="preserve">         64.83亿</t>
  </si>
  <si>
    <t>巴安水务</t>
  </si>
  <si>
    <t>隆华科技</t>
  </si>
  <si>
    <t xml:space="preserve">        111.26亿</t>
  </si>
  <si>
    <t>佳创视讯</t>
  </si>
  <si>
    <t xml:space="preserve">         44.53亿</t>
  </si>
  <si>
    <t>通光线缆</t>
  </si>
  <si>
    <t xml:space="preserve">         41.50亿</t>
  </si>
  <si>
    <t>兴源环境</t>
  </si>
  <si>
    <t xml:space="preserve">         57.34亿</t>
  </si>
  <si>
    <t>尔康制药</t>
  </si>
  <si>
    <t xml:space="preserve">         87.04亿</t>
  </si>
  <si>
    <t>佳沃食品</t>
  </si>
  <si>
    <t xml:space="preserve">         36.04亿</t>
  </si>
  <si>
    <t>ST联建</t>
  </si>
  <si>
    <t xml:space="preserve">         24.31亿</t>
  </si>
  <si>
    <t>中威电子</t>
  </si>
  <si>
    <t xml:space="preserve">         20.44亿</t>
  </si>
  <si>
    <t>华宇软件</t>
  </si>
  <si>
    <t xml:space="preserve">         95.92亿</t>
  </si>
  <si>
    <t>开能健康</t>
  </si>
  <si>
    <t xml:space="preserve">         38.04亿</t>
  </si>
  <si>
    <t>和佳医疗</t>
  </si>
  <si>
    <t xml:space="preserve">         37.80亿</t>
  </si>
  <si>
    <t>阳光电源</t>
  </si>
  <si>
    <t xml:space="preserve">       2250.40亿</t>
  </si>
  <si>
    <t>梅安森</t>
  </si>
  <si>
    <t xml:space="preserve">         21.80亿</t>
  </si>
  <si>
    <t>三丰智能</t>
  </si>
  <si>
    <t xml:space="preserve">         59.03亿</t>
  </si>
  <si>
    <t>海联讯</t>
  </si>
  <si>
    <t xml:space="preserve">         29.31亿</t>
  </si>
  <si>
    <t>*ST华昌</t>
  </si>
  <si>
    <t xml:space="preserve">         28.90亿</t>
  </si>
  <si>
    <t>和晶科技</t>
  </si>
  <si>
    <t>紫天科技</t>
  </si>
  <si>
    <t xml:space="preserve">         53.21亿</t>
  </si>
  <si>
    <t>金明精机</t>
  </si>
  <si>
    <t>三盛教育</t>
  </si>
  <si>
    <t xml:space="preserve">         15.16亿</t>
  </si>
  <si>
    <t>温州宏丰</t>
  </si>
  <si>
    <t xml:space="preserve">         32.61亿</t>
  </si>
  <si>
    <t>苏交科</t>
  </si>
  <si>
    <t xml:space="preserve">         79.68亿</t>
  </si>
  <si>
    <t>国瓷材料</t>
  </si>
  <si>
    <t xml:space="preserve">        445.79亿</t>
  </si>
  <si>
    <t>安科瑞</t>
  </si>
  <si>
    <t xml:space="preserve">         72.82亿</t>
  </si>
  <si>
    <t>飞利信</t>
  </si>
  <si>
    <t xml:space="preserve">         73.92亿</t>
  </si>
  <si>
    <t>朗玛信息</t>
  </si>
  <si>
    <t xml:space="preserve">         40.49亿</t>
  </si>
  <si>
    <t>利德曼</t>
  </si>
  <si>
    <t>荣科科技</t>
  </si>
  <si>
    <t xml:space="preserve">         40.14亿</t>
  </si>
  <si>
    <t>华录百纳</t>
  </si>
  <si>
    <t xml:space="preserve">         48.89亿</t>
  </si>
  <si>
    <t>吴通控股</t>
  </si>
  <si>
    <t>蓝英装备</t>
  </si>
  <si>
    <t xml:space="preserve">         38.97亿</t>
  </si>
  <si>
    <t>博雅生物</t>
  </si>
  <si>
    <t xml:space="preserve">        183.99亿</t>
  </si>
  <si>
    <t>三六五网</t>
  </si>
  <si>
    <t>利亚德</t>
  </si>
  <si>
    <t xml:space="preserve">        264.46亿</t>
  </si>
  <si>
    <t>蓝盾股份</t>
  </si>
  <si>
    <t xml:space="preserve">         44.99亿</t>
  </si>
  <si>
    <t>三诺生物</t>
  </si>
  <si>
    <t xml:space="preserve">        166.55亿</t>
  </si>
  <si>
    <t>富春股份</t>
  </si>
  <si>
    <t xml:space="preserve">         37.53亿</t>
  </si>
  <si>
    <t>海峡创新</t>
  </si>
  <si>
    <t>长方集团</t>
  </si>
  <si>
    <t xml:space="preserve">         29.55亿</t>
  </si>
  <si>
    <t>同有科技</t>
  </si>
  <si>
    <t xml:space="preserve">         48.94亿</t>
  </si>
  <si>
    <t>聚飞光电</t>
  </si>
  <si>
    <t xml:space="preserve">         84.45亿</t>
  </si>
  <si>
    <t>云意电气</t>
  </si>
  <si>
    <t xml:space="preserve">         63.39亿</t>
  </si>
  <si>
    <t>裕兴股份</t>
  </si>
  <si>
    <t>远方信息</t>
  </si>
  <si>
    <t xml:space="preserve">         27.35亿</t>
  </si>
  <si>
    <t>慈星股份</t>
  </si>
  <si>
    <t>中际旭创</t>
  </si>
  <si>
    <t xml:space="preserve">        270.43亿</t>
  </si>
  <si>
    <t>吉艾科技</t>
  </si>
  <si>
    <t xml:space="preserve">         28.44亿</t>
  </si>
  <si>
    <t>宜通世纪</t>
  </si>
  <si>
    <t xml:space="preserve">         44.35亿</t>
  </si>
  <si>
    <t>任子行</t>
  </si>
  <si>
    <t xml:space="preserve">         50.25亿</t>
  </si>
  <si>
    <t>*ST邦讯</t>
  </si>
  <si>
    <t xml:space="preserve">          9.28亿</t>
  </si>
  <si>
    <t>ST天山</t>
  </si>
  <si>
    <t xml:space="preserve">         28.86亿</t>
  </si>
  <si>
    <t>戴维医疗</t>
  </si>
  <si>
    <t xml:space="preserve">         35.25亿</t>
  </si>
  <si>
    <t>掌趣科技</t>
  </si>
  <si>
    <t xml:space="preserve">        118.02亿</t>
  </si>
  <si>
    <t>晶盛机电</t>
  </si>
  <si>
    <t xml:space="preserve">        926.12亿</t>
  </si>
  <si>
    <t>珈伟新能</t>
  </si>
  <si>
    <t xml:space="preserve">         79.87亿</t>
  </si>
  <si>
    <t>博晖创新</t>
  </si>
  <si>
    <t xml:space="preserve">         69.84亿</t>
  </si>
  <si>
    <t>麦捷科技</t>
  </si>
  <si>
    <t xml:space="preserve">        139.91亿</t>
  </si>
  <si>
    <t>海达股份</t>
  </si>
  <si>
    <t xml:space="preserve">         87.48亿</t>
  </si>
  <si>
    <t>同大股份</t>
  </si>
  <si>
    <t xml:space="preserve">         17.01亿</t>
  </si>
  <si>
    <t>硕贝德</t>
  </si>
  <si>
    <t xml:space="preserve">         59.62亿</t>
  </si>
  <si>
    <t>华灿光电</t>
  </si>
  <si>
    <t xml:space="preserve">        157.63亿</t>
  </si>
  <si>
    <t>旋极信息</t>
  </si>
  <si>
    <t xml:space="preserve">         67.20亿</t>
  </si>
  <si>
    <t>*ST德威</t>
  </si>
  <si>
    <t xml:space="preserve">         26.35亿</t>
  </si>
  <si>
    <t>凯利泰</t>
  </si>
  <si>
    <t xml:space="preserve">         75.62亿</t>
  </si>
  <si>
    <t>中颖电子</t>
  </si>
  <si>
    <t xml:space="preserve">        211.07亿</t>
  </si>
  <si>
    <t>宜安科技</t>
  </si>
  <si>
    <t xml:space="preserve">         54.06亿</t>
  </si>
  <si>
    <t>海伦钢琴</t>
  </si>
  <si>
    <t>华虹计通</t>
  </si>
  <si>
    <t xml:space="preserve">         17.00亿</t>
  </si>
  <si>
    <t>苏大维格</t>
  </si>
  <si>
    <t xml:space="preserve">         88.36亿</t>
  </si>
  <si>
    <t>天壕环境</t>
  </si>
  <si>
    <t xml:space="preserve">        109.15亿</t>
  </si>
  <si>
    <t>兆日科技</t>
  </si>
  <si>
    <t xml:space="preserve">         25.60亿</t>
  </si>
  <si>
    <t>津膜科技</t>
  </si>
  <si>
    <t xml:space="preserve">         29.36亿</t>
  </si>
  <si>
    <t>迪森股份</t>
  </si>
  <si>
    <t xml:space="preserve">         21.48亿</t>
  </si>
  <si>
    <t>新文化</t>
  </si>
  <si>
    <t xml:space="preserve">         26.77亿</t>
  </si>
  <si>
    <t>银邦股份</t>
  </si>
  <si>
    <t xml:space="preserve">         43.23亿</t>
  </si>
  <si>
    <t>开元教育</t>
  </si>
  <si>
    <t xml:space="preserve">         20.54亿</t>
  </si>
  <si>
    <t>润和软件</t>
  </si>
  <si>
    <t xml:space="preserve">        212.08亿</t>
  </si>
  <si>
    <t>科恒股份</t>
  </si>
  <si>
    <t xml:space="preserve">         45.70亿</t>
  </si>
  <si>
    <t>麦克奥迪</t>
  </si>
  <si>
    <t xml:space="preserve">         54.33亿</t>
  </si>
  <si>
    <t>天银机电</t>
  </si>
  <si>
    <t xml:space="preserve">         60.97亿</t>
  </si>
  <si>
    <t>联创股份</t>
  </si>
  <si>
    <t xml:space="preserve">        259.76亿</t>
  </si>
  <si>
    <t>立方数科</t>
  </si>
  <si>
    <t xml:space="preserve">         36.90亿</t>
  </si>
  <si>
    <t>华民股份</t>
  </si>
  <si>
    <t xml:space="preserve">         24.09亿</t>
  </si>
  <si>
    <t>南大光电</t>
  </si>
  <si>
    <t xml:space="preserve">        236.76亿</t>
  </si>
  <si>
    <t>泰格医药</t>
  </si>
  <si>
    <t xml:space="preserve">       1064.82亿</t>
  </si>
  <si>
    <t>长亮科技</t>
  </si>
  <si>
    <t xml:space="preserve">         96.54亿</t>
  </si>
  <si>
    <t>金卡智能</t>
  </si>
  <si>
    <t xml:space="preserve">         48.31亿</t>
  </si>
  <si>
    <t>华鹏飞</t>
  </si>
  <si>
    <t xml:space="preserve">         49.63亿</t>
  </si>
  <si>
    <t>永贵电器</t>
  </si>
  <si>
    <t xml:space="preserve">         51.29亿</t>
  </si>
  <si>
    <t>北信源</t>
  </si>
  <si>
    <t xml:space="preserve">        105.98亿</t>
  </si>
  <si>
    <t>东土科技</t>
  </si>
  <si>
    <t>东华测试</t>
  </si>
  <si>
    <t xml:space="preserve">         60.03亿</t>
  </si>
  <si>
    <t>蒙草生态</t>
  </si>
  <si>
    <t xml:space="preserve">         71.87亿</t>
  </si>
  <si>
    <t>ST光一</t>
  </si>
  <si>
    <t xml:space="preserve">         13.83亿</t>
  </si>
  <si>
    <t>我武生物</t>
  </si>
  <si>
    <t xml:space="preserve">        293.73亿</t>
  </si>
  <si>
    <t>楚天科技</t>
  </si>
  <si>
    <t xml:space="preserve">        130.12亿</t>
  </si>
  <si>
    <t>全通教育</t>
  </si>
  <si>
    <t xml:space="preserve">         33.90亿</t>
  </si>
  <si>
    <t>炬华科技</t>
  </si>
  <si>
    <t xml:space="preserve">         64.91亿</t>
  </si>
  <si>
    <t>博腾股份</t>
  </si>
  <si>
    <t xml:space="preserve">        469.71亿</t>
  </si>
  <si>
    <t>中文在线</t>
  </si>
  <si>
    <t xml:space="preserve">         69.46亿</t>
  </si>
  <si>
    <t>恒华科技</t>
  </si>
  <si>
    <t xml:space="preserve">         85.96亿</t>
  </si>
  <si>
    <t>创意信息</t>
  </si>
  <si>
    <t xml:space="preserve">         84.57亿</t>
  </si>
  <si>
    <t>ST网力</t>
  </si>
  <si>
    <t>汇金股份</t>
  </si>
  <si>
    <t xml:space="preserve">         53.57亿</t>
  </si>
  <si>
    <t>绿盟科技</t>
  </si>
  <si>
    <t xml:space="preserve">        130.29亿</t>
  </si>
  <si>
    <t>ST安控</t>
  </si>
  <si>
    <t xml:space="preserve">         25.46亿</t>
  </si>
  <si>
    <t>汇中股份</t>
  </si>
  <si>
    <t xml:space="preserve">         28.00亿</t>
  </si>
  <si>
    <t>扬杰科技</t>
  </si>
  <si>
    <t xml:space="preserve">        291.81亿</t>
  </si>
  <si>
    <t>中铁装配</t>
  </si>
  <si>
    <t xml:space="preserve">         29.04亿</t>
  </si>
  <si>
    <t>鹏翎股份</t>
  </si>
  <si>
    <t xml:space="preserve">         32.50亿</t>
  </si>
  <si>
    <t>易事特</t>
  </si>
  <si>
    <t xml:space="preserve">        268.99亿</t>
  </si>
  <si>
    <t>赢时胜</t>
  </si>
  <si>
    <t xml:space="preserve">         77.99亿</t>
  </si>
  <si>
    <t>鼎捷软件</t>
  </si>
  <si>
    <t>东方通</t>
  </si>
  <si>
    <t xml:space="preserve">        145.92亿</t>
  </si>
  <si>
    <t>安硕信息</t>
  </si>
  <si>
    <t xml:space="preserve">         22.73亿</t>
  </si>
  <si>
    <t>溢多利</t>
  </si>
  <si>
    <t xml:space="preserve">         53.91亿</t>
  </si>
  <si>
    <t>斯莱克</t>
  </si>
  <si>
    <t xml:space="preserve">        155.50亿</t>
  </si>
  <si>
    <t>光环新网</t>
  </si>
  <si>
    <t xml:space="preserve">        226.07亿</t>
  </si>
  <si>
    <t>三联虹普</t>
  </si>
  <si>
    <t xml:space="preserve">         69.65亿</t>
  </si>
  <si>
    <t>雪浪环境</t>
  </si>
  <si>
    <t xml:space="preserve">         27.58亿</t>
  </si>
  <si>
    <t>飞天诚信</t>
  </si>
  <si>
    <t>富邦股份</t>
  </si>
  <si>
    <t xml:space="preserve">         18.05亿</t>
  </si>
  <si>
    <t>节能国祯</t>
  </si>
  <si>
    <t>艾比森</t>
  </si>
  <si>
    <t xml:space="preserve">         28.42亿</t>
  </si>
  <si>
    <t>天华超净</t>
  </si>
  <si>
    <t xml:space="preserve">        569.47亿</t>
  </si>
  <si>
    <t>康跃科技</t>
  </si>
  <si>
    <t xml:space="preserve">         66.25亿</t>
  </si>
  <si>
    <t>腾信股份</t>
  </si>
  <si>
    <t>中来股份</t>
  </si>
  <si>
    <t xml:space="preserve">        243.10亿</t>
  </si>
  <si>
    <t>天孚通信</t>
  </si>
  <si>
    <t xml:space="preserve">        113.87亿</t>
  </si>
  <si>
    <t>菲利华</t>
  </si>
  <si>
    <t xml:space="preserve">        215.04亿</t>
  </si>
  <si>
    <t>迪瑞医疗</t>
  </si>
  <si>
    <t xml:space="preserve">         46.12亿</t>
  </si>
  <si>
    <t>天和防务</t>
  </si>
  <si>
    <t xml:space="preserve">         78.01亿</t>
  </si>
  <si>
    <t>飞凯材料</t>
  </si>
  <si>
    <t xml:space="preserve">         99.55亿</t>
  </si>
  <si>
    <t>天利科技</t>
  </si>
  <si>
    <t>劲拓股份</t>
  </si>
  <si>
    <t xml:space="preserve">         62.55亿</t>
  </si>
  <si>
    <t>花园生物</t>
  </si>
  <si>
    <t>宝色股份</t>
  </si>
  <si>
    <t xml:space="preserve">         70.26亿</t>
  </si>
  <si>
    <t>汉宇集团</t>
  </si>
  <si>
    <t xml:space="preserve">         37.63亿</t>
  </si>
  <si>
    <t>博济医药</t>
  </si>
  <si>
    <t xml:space="preserve">         41.06亿</t>
  </si>
  <si>
    <t>科隆股份</t>
  </si>
  <si>
    <t xml:space="preserve">         23.25亿</t>
  </si>
  <si>
    <t>九强生物</t>
  </si>
  <si>
    <t xml:space="preserve">         89.53亿</t>
  </si>
  <si>
    <t>凯发电气</t>
  </si>
  <si>
    <t>三环集团</t>
  </si>
  <si>
    <t xml:space="preserve">        784.54亿</t>
  </si>
  <si>
    <t>道氏技术</t>
  </si>
  <si>
    <t xml:space="preserve">        151.33亿</t>
  </si>
  <si>
    <t>正业科技</t>
  </si>
  <si>
    <t xml:space="preserve">         50.50亿</t>
  </si>
  <si>
    <t>金盾股份</t>
  </si>
  <si>
    <t xml:space="preserve">         31.87亿</t>
  </si>
  <si>
    <t>迦南科技</t>
  </si>
  <si>
    <t xml:space="preserve">         22.48亿</t>
  </si>
  <si>
    <t>芒果超媒</t>
  </si>
  <si>
    <t xml:space="preserve">        864.65亿</t>
  </si>
  <si>
    <t>中光防雷</t>
  </si>
  <si>
    <t xml:space="preserve">         36.84亿</t>
  </si>
  <si>
    <t>伊之密</t>
  </si>
  <si>
    <t xml:space="preserve">         89.04亿</t>
  </si>
  <si>
    <t>苏试试验</t>
  </si>
  <si>
    <t xml:space="preserve">         75.96亿</t>
  </si>
  <si>
    <t>南华仪器</t>
  </si>
  <si>
    <t xml:space="preserve">         16.51亿</t>
  </si>
  <si>
    <t>昆仑万维</t>
  </si>
  <si>
    <t xml:space="preserve">        272.78亿</t>
  </si>
  <si>
    <t>浩丰科技</t>
  </si>
  <si>
    <t xml:space="preserve">         25.74亿</t>
  </si>
  <si>
    <t>五洋停车</t>
  </si>
  <si>
    <t xml:space="preserve">         42.76亿</t>
  </si>
  <si>
    <t>力星股份</t>
  </si>
  <si>
    <t xml:space="preserve">         59.31亿</t>
  </si>
  <si>
    <t>博世科</t>
  </si>
  <si>
    <t xml:space="preserve">         43.77亿</t>
  </si>
  <si>
    <t>昇辉科技</t>
  </si>
  <si>
    <t xml:space="preserve">         71.92亿</t>
  </si>
  <si>
    <t>航新科技</t>
  </si>
  <si>
    <t xml:space="preserve">         35.86亿</t>
  </si>
  <si>
    <t>中建环能</t>
  </si>
  <si>
    <t>唐德影视</t>
  </si>
  <si>
    <t xml:space="preserve">         27.75亿</t>
  </si>
  <si>
    <t>红相股份</t>
  </si>
  <si>
    <t xml:space="preserve">         50.18亿</t>
  </si>
  <si>
    <t>立中集团</t>
  </si>
  <si>
    <t xml:space="preserve">        119.87亿</t>
  </si>
  <si>
    <t>强力新材</t>
  </si>
  <si>
    <t xml:space="preserve">         64.25亿</t>
  </si>
  <si>
    <t>诚益通</t>
  </si>
  <si>
    <t xml:space="preserve">         28.18亿</t>
  </si>
  <si>
    <t>富临精工</t>
  </si>
  <si>
    <t xml:space="preserve">        254.76亿</t>
  </si>
  <si>
    <t>蓝思科技</t>
  </si>
  <si>
    <t xml:space="preserve">       1148.87亿</t>
  </si>
  <si>
    <t>金石亚药</t>
  </si>
  <si>
    <t>中泰股份</t>
  </si>
  <si>
    <t xml:space="preserve">         93.00亿</t>
  </si>
  <si>
    <t>广生堂</t>
  </si>
  <si>
    <t>清水源</t>
  </si>
  <si>
    <t xml:space="preserve">         92.46亿</t>
  </si>
  <si>
    <t>鹏辉能源</t>
  </si>
  <si>
    <t xml:space="preserve">        226.26亿</t>
  </si>
  <si>
    <t>美康生物</t>
  </si>
  <si>
    <t xml:space="preserve">         73.38亿</t>
  </si>
  <si>
    <t>运达科技</t>
  </si>
  <si>
    <t xml:space="preserve">         44.57亿</t>
  </si>
  <si>
    <t>鲍斯股份</t>
  </si>
  <si>
    <t xml:space="preserve">         67.95亿</t>
  </si>
  <si>
    <t>普丽盛</t>
  </si>
  <si>
    <t xml:space="preserve">         38.66亿</t>
  </si>
  <si>
    <t>金雷股份</t>
  </si>
  <si>
    <t xml:space="preserve">        183.57亿</t>
  </si>
  <si>
    <t>双杰电气</t>
  </si>
  <si>
    <t xml:space="preserve">         56.93亿</t>
  </si>
  <si>
    <t>康斯特</t>
  </si>
  <si>
    <t xml:space="preserve">         30.93亿</t>
  </si>
  <si>
    <t>*ST乐材</t>
  </si>
  <si>
    <t xml:space="preserve">         18.03亿</t>
  </si>
  <si>
    <t>全信股份</t>
  </si>
  <si>
    <t xml:space="preserve">         77.66亿</t>
  </si>
  <si>
    <t>浩云科技</t>
  </si>
  <si>
    <t xml:space="preserve">         46.18亿</t>
  </si>
  <si>
    <t>汉邦高科</t>
  </si>
  <si>
    <t xml:space="preserve">         21.00亿</t>
  </si>
  <si>
    <t>先导智能</t>
  </si>
  <si>
    <t xml:space="preserve">       1241.00亿</t>
  </si>
  <si>
    <t>创业慧康</t>
  </si>
  <si>
    <t xml:space="preserve">        144.13亿</t>
  </si>
  <si>
    <t>山河药辅</t>
  </si>
  <si>
    <t xml:space="preserve">         29.89亿</t>
  </si>
  <si>
    <t>三鑫医疗</t>
  </si>
  <si>
    <t xml:space="preserve">         48.47亿</t>
  </si>
  <si>
    <t>深信服</t>
  </si>
  <si>
    <t xml:space="preserve">        841.69亿</t>
  </si>
  <si>
    <t>康拓红外</t>
  </si>
  <si>
    <t xml:space="preserve">         75.94亿</t>
  </si>
  <si>
    <t>赛微电子</t>
  </si>
  <si>
    <t xml:space="preserve">        185.63亿</t>
  </si>
  <si>
    <t>赢合科技</t>
  </si>
  <si>
    <t xml:space="preserve">        222.99亿</t>
  </si>
  <si>
    <t>全志科技</t>
  </si>
  <si>
    <t xml:space="preserve">        225.35亿</t>
  </si>
  <si>
    <t>汤姆猫</t>
  </si>
  <si>
    <t xml:space="preserve">        158.21亿</t>
  </si>
  <si>
    <t>惠伦晶体</t>
  </si>
  <si>
    <t xml:space="preserve">         59.53亿</t>
  </si>
  <si>
    <t>田中精机</t>
  </si>
  <si>
    <t xml:space="preserve">         26.32亿</t>
  </si>
  <si>
    <t>华铭智能</t>
  </si>
  <si>
    <t xml:space="preserve">         22.63亿</t>
  </si>
  <si>
    <t>迈克生物</t>
  </si>
  <si>
    <t xml:space="preserve">        161.81亿</t>
  </si>
  <si>
    <t>星徽股份</t>
  </si>
  <si>
    <t xml:space="preserve">         28.39亿</t>
  </si>
  <si>
    <t>高伟达</t>
  </si>
  <si>
    <t xml:space="preserve">         47.89亿</t>
  </si>
  <si>
    <t>赛摩智能</t>
  </si>
  <si>
    <t xml:space="preserve">         33.58亿</t>
  </si>
  <si>
    <t>迅游科技</t>
  </si>
  <si>
    <t xml:space="preserve">         30.56亿</t>
  </si>
  <si>
    <t>四方精创</t>
  </si>
  <si>
    <t xml:space="preserve">         49.52亿</t>
  </si>
  <si>
    <t>信息发展</t>
  </si>
  <si>
    <t xml:space="preserve">         29.48亿</t>
  </si>
  <si>
    <t>中密控股</t>
  </si>
  <si>
    <t xml:space="preserve">         89.76亿</t>
  </si>
  <si>
    <t>厚普股份</t>
  </si>
  <si>
    <t xml:space="preserve">        105.33亿</t>
  </si>
  <si>
    <t>新元科技</t>
  </si>
  <si>
    <t xml:space="preserve">         49.67亿</t>
  </si>
  <si>
    <t>德尔股份</t>
  </si>
  <si>
    <t>景嘉微</t>
  </si>
  <si>
    <t xml:space="preserve">        587.14亿</t>
  </si>
  <si>
    <t>香农芯创</t>
  </si>
  <si>
    <t xml:space="preserve">        100.13亿</t>
  </si>
  <si>
    <t>胜宏科技</t>
  </si>
  <si>
    <t xml:space="preserve">        232.41亿</t>
  </si>
  <si>
    <t>合纵科技</t>
  </si>
  <si>
    <t xml:space="preserve">        101.14亿</t>
  </si>
  <si>
    <t>杭州高新</t>
  </si>
  <si>
    <t xml:space="preserve">         13.02亿</t>
  </si>
  <si>
    <t>神思电子</t>
  </si>
  <si>
    <t xml:space="preserve">         25.82亿</t>
  </si>
  <si>
    <t>光力科技</t>
  </si>
  <si>
    <t xml:space="preserve">         90.95亿</t>
  </si>
  <si>
    <t>濮阳惠成</t>
  </si>
  <si>
    <t xml:space="preserve">         69.61亿</t>
  </si>
  <si>
    <t>万孚生物</t>
  </si>
  <si>
    <t xml:space="preserve">        157.42亿</t>
  </si>
  <si>
    <t>首华燃气</t>
  </si>
  <si>
    <t xml:space="preserve">         51.91亿</t>
  </si>
  <si>
    <t>蓝海华腾</t>
  </si>
  <si>
    <t xml:space="preserve">         37.34亿</t>
  </si>
  <si>
    <t>赛升药业</t>
  </si>
  <si>
    <t xml:space="preserve">         57.56亿</t>
  </si>
  <si>
    <t>东杰智能</t>
  </si>
  <si>
    <t>蓝晓科技</t>
  </si>
  <si>
    <t xml:space="preserve">        195.10亿</t>
  </si>
  <si>
    <t>恒锋工具</t>
  </si>
  <si>
    <t xml:space="preserve">         64.13亿</t>
  </si>
  <si>
    <t>中飞股份</t>
  </si>
  <si>
    <t xml:space="preserve">         37.43亿</t>
  </si>
  <si>
    <t>华自科技</t>
  </si>
  <si>
    <t xml:space="preserve">         82.53亿</t>
  </si>
  <si>
    <t>通合科技</t>
  </si>
  <si>
    <t xml:space="preserve">         37.12亿</t>
  </si>
  <si>
    <t>华图山鼎</t>
  </si>
  <si>
    <t>润欣科技</t>
  </si>
  <si>
    <t xml:space="preserve">         36.64亿</t>
  </si>
  <si>
    <t>盛天网络</t>
  </si>
  <si>
    <t xml:space="preserve">         46.44亿</t>
  </si>
  <si>
    <t>*ST美尚</t>
  </si>
  <si>
    <t xml:space="preserve">         18.34亿</t>
  </si>
  <si>
    <t>中科创达</t>
  </si>
  <si>
    <t xml:space="preserve">        656.71亿</t>
  </si>
  <si>
    <t>富祥药业</t>
  </si>
  <si>
    <t xml:space="preserve">         84.43亿</t>
  </si>
  <si>
    <t>温氏股份</t>
  </si>
  <si>
    <t xml:space="preserve">       1089.33亿</t>
  </si>
  <si>
    <t>高澜股份</t>
  </si>
  <si>
    <t xml:space="preserve">         57.43亿</t>
  </si>
  <si>
    <t>启迪设计</t>
  </si>
  <si>
    <t>海顺新材</t>
  </si>
  <si>
    <t>新易盛</t>
  </si>
  <si>
    <t xml:space="preserve">        154.41亿</t>
  </si>
  <si>
    <t>昊志机电</t>
  </si>
  <si>
    <t xml:space="preserve">         52.52亿</t>
  </si>
  <si>
    <t>天邑股份</t>
  </si>
  <si>
    <t xml:space="preserve">         51.28亿</t>
  </si>
  <si>
    <t>川金诺</t>
  </si>
  <si>
    <t xml:space="preserve">         54.50亿</t>
  </si>
  <si>
    <t>名家汇</t>
  </si>
  <si>
    <t xml:space="preserve">         52.34亿</t>
  </si>
  <si>
    <t>苏奥传感</t>
  </si>
  <si>
    <t xml:space="preserve">         77.57亿</t>
  </si>
  <si>
    <t>维宏股份</t>
  </si>
  <si>
    <t xml:space="preserve">         41.08亿</t>
  </si>
  <si>
    <t>新美星</t>
  </si>
  <si>
    <t xml:space="preserve">         18.50亿</t>
  </si>
  <si>
    <t>金冠股份</t>
  </si>
  <si>
    <t xml:space="preserve">         63.64亿</t>
  </si>
  <si>
    <t>雪榕生物</t>
  </si>
  <si>
    <t xml:space="preserve">         32.88亿</t>
  </si>
  <si>
    <t>中亚股份</t>
  </si>
  <si>
    <t xml:space="preserve">         42.81亿</t>
  </si>
  <si>
    <t>恒实科技</t>
  </si>
  <si>
    <t xml:space="preserve">         40.47亿</t>
  </si>
  <si>
    <t>友讯达</t>
  </si>
  <si>
    <t>三德科技</t>
  </si>
  <si>
    <t xml:space="preserve">         24.60亿</t>
  </si>
  <si>
    <t>久之洋</t>
  </si>
  <si>
    <t xml:space="preserve">         59.99亿</t>
  </si>
  <si>
    <t>海波重科</t>
  </si>
  <si>
    <t xml:space="preserve">         26.37亿</t>
  </si>
  <si>
    <t>盛讯达</t>
  </si>
  <si>
    <t xml:space="preserve">         43.98亿</t>
  </si>
  <si>
    <t>新光药业</t>
  </si>
  <si>
    <t>科大国创</t>
  </si>
  <si>
    <t>爱司凯</t>
  </si>
  <si>
    <t xml:space="preserve">         19.45亿</t>
  </si>
  <si>
    <t>世名科技</t>
  </si>
  <si>
    <t xml:space="preserve">         46.22亿</t>
  </si>
  <si>
    <t>辰安科技</t>
  </si>
  <si>
    <t xml:space="preserve">         51.41亿</t>
  </si>
  <si>
    <t>博思软件</t>
  </si>
  <si>
    <t xml:space="preserve">         87.63亿</t>
  </si>
  <si>
    <t>中潜股份</t>
  </si>
  <si>
    <t xml:space="preserve">         43.91亿</t>
  </si>
  <si>
    <t>中船应急</t>
  </si>
  <si>
    <t xml:space="preserve">         93.43亿</t>
  </si>
  <si>
    <t>幸福蓝海</t>
  </si>
  <si>
    <t xml:space="preserve">         20.75亿</t>
  </si>
  <si>
    <t>健帆生物</t>
  </si>
  <si>
    <t xml:space="preserve">        432.55亿</t>
  </si>
  <si>
    <t>*ST达志</t>
  </si>
  <si>
    <t xml:space="preserve">         58.18亿</t>
  </si>
  <si>
    <t>优博讯</t>
  </si>
  <si>
    <t>今天国际</t>
  </si>
  <si>
    <t>冰川网络</t>
  </si>
  <si>
    <t xml:space="preserve">         29.29亿</t>
  </si>
  <si>
    <t>陇神戎发</t>
  </si>
  <si>
    <t xml:space="preserve">         17.56亿</t>
  </si>
  <si>
    <t>达威股份</t>
  </si>
  <si>
    <t xml:space="preserve">         15.51亿</t>
  </si>
  <si>
    <t>农尚环境</t>
  </si>
  <si>
    <t xml:space="preserve">         67.19亿</t>
  </si>
  <si>
    <t>广信材料</t>
  </si>
  <si>
    <t>同益股份</t>
  </si>
  <si>
    <t xml:space="preserve">         39.05亿</t>
  </si>
  <si>
    <t>横河精密</t>
  </si>
  <si>
    <t xml:space="preserve">         17.22亿</t>
  </si>
  <si>
    <t>深冷股份</t>
  </si>
  <si>
    <t xml:space="preserve">         40.06亿</t>
  </si>
  <si>
    <t>先进数通</t>
  </si>
  <si>
    <t xml:space="preserve">         39.75亿</t>
  </si>
  <si>
    <t>新晨科技</t>
  </si>
  <si>
    <t>朗科智能</t>
  </si>
  <si>
    <t xml:space="preserve">         40.31亿</t>
  </si>
  <si>
    <t>联得装备</t>
  </si>
  <si>
    <t xml:space="preserve">         42.52亿</t>
  </si>
  <si>
    <t>雄帝科技</t>
  </si>
  <si>
    <t>川环科技</t>
  </si>
  <si>
    <t xml:space="preserve">         27.44亿</t>
  </si>
  <si>
    <t>博创科技</t>
  </si>
  <si>
    <t>优德精密</t>
  </si>
  <si>
    <t>和仁科技</t>
  </si>
  <si>
    <t xml:space="preserve">         32.49亿</t>
  </si>
  <si>
    <t>古鳌科技</t>
  </si>
  <si>
    <t xml:space="preserve">         49.92亿</t>
  </si>
  <si>
    <t>万集科技</t>
  </si>
  <si>
    <t xml:space="preserve">         55.14亿</t>
  </si>
  <si>
    <t>集智股份</t>
  </si>
  <si>
    <t xml:space="preserve">         16.45亿</t>
  </si>
  <si>
    <t>三超新材</t>
  </si>
  <si>
    <t>路通视信</t>
  </si>
  <si>
    <t>丝路视觉</t>
  </si>
  <si>
    <t>理工光科</t>
  </si>
  <si>
    <t xml:space="preserve">         15.74亿</t>
  </si>
  <si>
    <t>贝达药业</t>
  </si>
  <si>
    <t xml:space="preserve">        370.16亿</t>
  </si>
  <si>
    <t>佳发教育</t>
  </si>
  <si>
    <t xml:space="preserve">         33.20亿</t>
  </si>
  <si>
    <t>中富通</t>
  </si>
  <si>
    <t xml:space="preserve">         30.68亿</t>
  </si>
  <si>
    <t>汇金科技</t>
  </si>
  <si>
    <t xml:space="preserve">         35.04亿</t>
  </si>
  <si>
    <t>乐心医疗</t>
  </si>
  <si>
    <t xml:space="preserve">         27.67亿</t>
  </si>
  <si>
    <t>神宇股份</t>
  </si>
  <si>
    <t xml:space="preserve">         27.33亿</t>
  </si>
  <si>
    <t>筑博设计</t>
  </si>
  <si>
    <t xml:space="preserve">         21.77亿</t>
  </si>
  <si>
    <t>科信技术</t>
  </si>
  <si>
    <t>激智科技</t>
  </si>
  <si>
    <t xml:space="preserve">         61.52亿</t>
  </si>
  <si>
    <t>精测电子</t>
  </si>
  <si>
    <t xml:space="preserve">        160.13亿</t>
  </si>
  <si>
    <t>星源材质</t>
  </si>
  <si>
    <t xml:space="preserve">        351.16亿</t>
  </si>
  <si>
    <t>天能重工</t>
  </si>
  <si>
    <t xml:space="preserve">        124.21亿</t>
  </si>
  <si>
    <t>太辰光</t>
  </si>
  <si>
    <t xml:space="preserve">         40.18亿</t>
  </si>
  <si>
    <t>平治信息</t>
  </si>
  <si>
    <t xml:space="preserve">         54.82亿</t>
  </si>
  <si>
    <t>安车检测</t>
  </si>
  <si>
    <t xml:space="preserve">         47.10亿</t>
  </si>
  <si>
    <t>兴齐眼药</t>
  </si>
  <si>
    <t xml:space="preserve">        119.46亿</t>
  </si>
  <si>
    <t>中旗股份</t>
  </si>
  <si>
    <t xml:space="preserve">         45.44亿</t>
  </si>
  <si>
    <t>容大感光</t>
  </si>
  <si>
    <t xml:space="preserve">         74.19亿</t>
  </si>
  <si>
    <t>开润股份</t>
  </si>
  <si>
    <t xml:space="preserve">         55.18亿</t>
  </si>
  <si>
    <t>会畅通讯</t>
  </si>
  <si>
    <t xml:space="preserve">         53.80亿</t>
  </si>
  <si>
    <t>数字认证</t>
  </si>
  <si>
    <t xml:space="preserve">         70.81亿</t>
  </si>
  <si>
    <t>贝斯特</t>
  </si>
  <si>
    <t xml:space="preserve">         46.88亿</t>
  </si>
  <si>
    <t>晨曦航空</t>
  </si>
  <si>
    <t xml:space="preserve">         86.75亿</t>
  </si>
  <si>
    <t>英飞特</t>
  </si>
  <si>
    <t xml:space="preserve">         80.67亿</t>
  </si>
  <si>
    <t>赛托生物</t>
  </si>
  <si>
    <t>海辰药业</t>
  </si>
  <si>
    <t>奥联电子</t>
  </si>
  <si>
    <t>美联新材</t>
  </si>
  <si>
    <t xml:space="preserve">         67.76亿</t>
  </si>
  <si>
    <t>天铁股份</t>
  </si>
  <si>
    <t xml:space="preserve">        116.35亿</t>
  </si>
  <si>
    <t>熙菱信息</t>
  </si>
  <si>
    <t>江龙船艇</t>
  </si>
  <si>
    <t xml:space="preserve">         51.05亿</t>
  </si>
  <si>
    <t>移为通信</t>
  </si>
  <si>
    <t>万里马</t>
  </si>
  <si>
    <t xml:space="preserve">         21.56亿</t>
  </si>
  <si>
    <t>华凯创意</t>
  </si>
  <si>
    <t xml:space="preserve">         58.30亿</t>
  </si>
  <si>
    <t>新雷能</t>
  </si>
  <si>
    <t xml:space="preserve">        142.23亿</t>
  </si>
  <si>
    <t>朗进科技</t>
  </si>
  <si>
    <t xml:space="preserve">         17.34亿</t>
  </si>
  <si>
    <t>欧普康视</t>
  </si>
  <si>
    <t xml:space="preserve">        523.40亿</t>
  </si>
  <si>
    <t>利安隆</t>
  </si>
  <si>
    <t xml:space="preserve">         87.27亿</t>
  </si>
  <si>
    <t>吉大通信</t>
  </si>
  <si>
    <t xml:space="preserve">         21.96亿</t>
  </si>
  <si>
    <t>诚迈科技</t>
  </si>
  <si>
    <t xml:space="preserve">        115.86亿</t>
  </si>
  <si>
    <t>雄塑科技</t>
  </si>
  <si>
    <t xml:space="preserve">         40.11亿</t>
  </si>
  <si>
    <t>国瑞科技</t>
  </si>
  <si>
    <t xml:space="preserve">         32.28亿</t>
  </si>
  <si>
    <t>康泰生物</t>
  </si>
  <si>
    <t xml:space="preserve">        774.42亿</t>
  </si>
  <si>
    <t>飞荣达</t>
  </si>
  <si>
    <t xml:space="preserve">        115.05亿</t>
  </si>
  <si>
    <t>立昂技术</t>
  </si>
  <si>
    <t xml:space="preserve">         31.75亿</t>
  </si>
  <si>
    <t>长川科技</t>
  </si>
  <si>
    <t xml:space="preserve">        318.36亿</t>
  </si>
  <si>
    <t>恒锋信息</t>
  </si>
  <si>
    <t xml:space="preserve">         24.11亿</t>
  </si>
  <si>
    <t>金太阳</t>
  </si>
  <si>
    <t xml:space="preserve">         19.65亿</t>
  </si>
  <si>
    <t>拓斯达</t>
  </si>
  <si>
    <t xml:space="preserve">         70.06亿</t>
  </si>
  <si>
    <t>思特奇</t>
  </si>
  <si>
    <t>汇纳科技</t>
  </si>
  <si>
    <t>晨化股份</t>
  </si>
  <si>
    <t xml:space="preserve">         36.87亿</t>
  </si>
  <si>
    <t>美力科技</t>
  </si>
  <si>
    <t xml:space="preserve">         21.46亿</t>
  </si>
  <si>
    <t>宣亚国际</t>
  </si>
  <si>
    <t>富瀚微</t>
  </si>
  <si>
    <t xml:space="preserve">        182.35亿</t>
  </si>
  <si>
    <t>百川畅银</t>
  </si>
  <si>
    <t xml:space="preserve">         86.51亿</t>
  </si>
  <si>
    <t>欣天科技</t>
  </si>
  <si>
    <t xml:space="preserve">         26.09亿</t>
  </si>
  <si>
    <t>尚品宅配</t>
  </si>
  <si>
    <t xml:space="preserve">         90.30亿</t>
  </si>
  <si>
    <t>安靠智电</t>
  </si>
  <si>
    <t xml:space="preserve">        128.05亿</t>
  </si>
  <si>
    <t>寒锐钴业</t>
  </si>
  <si>
    <t xml:space="preserve">        245.74亿</t>
  </si>
  <si>
    <t>金银河</t>
  </si>
  <si>
    <t xml:space="preserve">         79.00亿</t>
  </si>
  <si>
    <t>光库科技</t>
  </si>
  <si>
    <t xml:space="preserve">         86.26亿</t>
  </si>
  <si>
    <t>维业股份</t>
  </si>
  <si>
    <t>博士眼镜</t>
  </si>
  <si>
    <t xml:space="preserve">         36.07亿</t>
  </si>
  <si>
    <t>捷捷微电</t>
  </si>
  <si>
    <t xml:space="preserve">        237.15亿</t>
  </si>
  <si>
    <t>万兴科技</t>
  </si>
  <si>
    <t xml:space="preserve">         60.39亿</t>
  </si>
  <si>
    <t>三雄极光</t>
  </si>
  <si>
    <t xml:space="preserve">         41.13亿</t>
  </si>
  <si>
    <t>华瑞股份</t>
  </si>
  <si>
    <t>华测导航</t>
  </si>
  <si>
    <t xml:space="preserve">        169.99亿</t>
  </si>
  <si>
    <t>亿联网络</t>
  </si>
  <si>
    <t xml:space="preserve">        714.09亿</t>
  </si>
  <si>
    <t>新劲刚</t>
  </si>
  <si>
    <t>普利制药</t>
  </si>
  <si>
    <t xml:space="preserve">        239.27亿</t>
  </si>
  <si>
    <t>久吾高科</t>
  </si>
  <si>
    <t xml:space="preserve">         53.40亿</t>
  </si>
  <si>
    <t>光莆股份</t>
  </si>
  <si>
    <t>开立医疗</t>
  </si>
  <si>
    <t>彩讯股份</t>
  </si>
  <si>
    <t xml:space="preserve">         79.83亿</t>
  </si>
  <si>
    <t>中达安</t>
  </si>
  <si>
    <t>同和药业</t>
  </si>
  <si>
    <t xml:space="preserve">         34.79亿</t>
  </si>
  <si>
    <t>扬帆新材</t>
  </si>
  <si>
    <t xml:space="preserve">         19.98亿</t>
  </si>
  <si>
    <t>广和通</t>
  </si>
  <si>
    <t xml:space="preserve">        223.81亿</t>
  </si>
  <si>
    <t>凯普生物</t>
  </si>
  <si>
    <t xml:space="preserve">         83.11亿</t>
  </si>
  <si>
    <t>德艺文创</t>
  </si>
  <si>
    <t xml:space="preserve">         17.87亿</t>
  </si>
  <si>
    <t>正丹股份</t>
  </si>
  <si>
    <t xml:space="preserve">         33.64亿</t>
  </si>
  <si>
    <t>透景生命</t>
  </si>
  <si>
    <t xml:space="preserve">         47.44亿</t>
  </si>
  <si>
    <t>万通智控</t>
  </si>
  <si>
    <t xml:space="preserve">         32.89亿</t>
  </si>
  <si>
    <t>南京聚隆</t>
  </si>
  <si>
    <t xml:space="preserve">         21.30亿</t>
  </si>
  <si>
    <t>正元智慧</t>
  </si>
  <si>
    <t xml:space="preserve">         28.11亿</t>
  </si>
  <si>
    <t>超频三</t>
  </si>
  <si>
    <t xml:space="preserve">         38.58亿</t>
  </si>
  <si>
    <t>星云股份</t>
  </si>
  <si>
    <t xml:space="preserve">         91.48亿</t>
  </si>
  <si>
    <t>杭州园林</t>
  </si>
  <si>
    <t xml:space="preserve">         20.70亿</t>
  </si>
  <si>
    <t>太龙股份</t>
  </si>
  <si>
    <t xml:space="preserve">         31.26亿</t>
  </si>
  <si>
    <t>金陵体育</t>
  </si>
  <si>
    <t>雷迪克</t>
  </si>
  <si>
    <t xml:space="preserve">         23.55亿</t>
  </si>
  <si>
    <t>正海生物</t>
  </si>
  <si>
    <t xml:space="preserve">         80.64亿</t>
  </si>
  <si>
    <t>世纪天鸿</t>
  </si>
  <si>
    <t xml:space="preserve">         14.33亿</t>
  </si>
  <si>
    <t>晶瑞电材</t>
  </si>
  <si>
    <t xml:space="preserve">        145.35亿</t>
  </si>
  <si>
    <t>民德电子</t>
  </si>
  <si>
    <t xml:space="preserve">         57.13亿</t>
  </si>
  <si>
    <t>弘信电子</t>
  </si>
  <si>
    <t xml:space="preserve">         79.09亿</t>
  </si>
  <si>
    <t>延江股份</t>
  </si>
  <si>
    <t xml:space="preserve">         23.67亿</t>
  </si>
  <si>
    <t>中孚信息</t>
  </si>
  <si>
    <t>江苏雷利</t>
  </si>
  <si>
    <t xml:space="preserve">         92.90亿</t>
  </si>
  <si>
    <t>圣邦股份</t>
  </si>
  <si>
    <t xml:space="preserve">        785.95亿</t>
  </si>
  <si>
    <t>科锐国际</t>
  </si>
  <si>
    <t xml:space="preserve">        121.44亿</t>
  </si>
  <si>
    <t>科蓝软件</t>
  </si>
  <si>
    <t xml:space="preserve">         78.46亿</t>
  </si>
  <si>
    <t>鹏鹞环保</t>
  </si>
  <si>
    <t xml:space="preserve">         46.21亿</t>
  </si>
  <si>
    <t>飞鹿股份</t>
  </si>
  <si>
    <t xml:space="preserve">         16.13亿</t>
  </si>
  <si>
    <t>江丰电子</t>
  </si>
  <si>
    <t xml:space="preserve">        100.38亿</t>
  </si>
  <si>
    <t>必创科技</t>
  </si>
  <si>
    <t xml:space="preserve">         49.01亿</t>
  </si>
  <si>
    <t>杰恩设计</t>
  </si>
  <si>
    <t xml:space="preserve">         16.50亿</t>
  </si>
  <si>
    <t>沪宁股份</t>
  </si>
  <si>
    <t xml:space="preserve">         20.43亿</t>
  </si>
  <si>
    <t>大烨智能</t>
  </si>
  <si>
    <t xml:space="preserve">         36.76亿</t>
  </si>
  <si>
    <t>富满微</t>
  </si>
  <si>
    <t>国科微</t>
  </si>
  <si>
    <t xml:space="preserve">        406.32亿</t>
  </si>
  <si>
    <t>佩蒂股份</t>
  </si>
  <si>
    <t xml:space="preserve">         46.07亿</t>
  </si>
  <si>
    <t>宇信科技</t>
  </si>
  <si>
    <t xml:space="preserve">        133.03亿</t>
  </si>
  <si>
    <t>建科院</t>
  </si>
  <si>
    <t xml:space="preserve">         21.43亿</t>
  </si>
  <si>
    <t>华大基因</t>
  </si>
  <si>
    <t xml:space="preserve">        375.63亿</t>
  </si>
  <si>
    <t>英科医疗</t>
  </si>
  <si>
    <t xml:space="preserve">        302.98亿</t>
  </si>
  <si>
    <t>中科信息</t>
  </si>
  <si>
    <t xml:space="preserve">         31.59亿</t>
  </si>
  <si>
    <t>电连技术</t>
  </si>
  <si>
    <t xml:space="preserve">        230.99亿</t>
  </si>
  <si>
    <t>隆盛科技</t>
  </si>
  <si>
    <t xml:space="preserve">         64.29亿</t>
  </si>
  <si>
    <t>英搏尔</t>
  </si>
  <si>
    <t xml:space="preserve">         91.32亿</t>
  </si>
  <si>
    <t>朗新科技</t>
  </si>
  <si>
    <t xml:space="preserve">        400.21亿</t>
  </si>
  <si>
    <t>海特生物</t>
  </si>
  <si>
    <t>中石科技</t>
  </si>
  <si>
    <t xml:space="preserve">         58.21亿</t>
  </si>
  <si>
    <t>艾德生物</t>
  </si>
  <si>
    <t xml:space="preserve">        177.64亿</t>
  </si>
  <si>
    <t>智动力</t>
  </si>
  <si>
    <t>赛意信息</t>
  </si>
  <si>
    <t xml:space="preserve">        101.22亿</t>
  </si>
  <si>
    <t>创业黑马</t>
  </si>
  <si>
    <t xml:space="preserve">         45.09亿</t>
  </si>
  <si>
    <t>澄天伟业</t>
  </si>
  <si>
    <t xml:space="preserve">         25.28亿</t>
  </si>
  <si>
    <t>双一科技</t>
  </si>
  <si>
    <t>联合光电</t>
  </si>
  <si>
    <t xml:space="preserve">         54.07亿</t>
  </si>
  <si>
    <t>中环环保</t>
  </si>
  <si>
    <t xml:space="preserve">         33.48亿</t>
  </si>
  <si>
    <t>盛弘股份</t>
  </si>
  <si>
    <t xml:space="preserve">         93.98亿</t>
  </si>
  <si>
    <t>蠡湖股份</t>
  </si>
  <si>
    <t xml:space="preserve">         28.14亿</t>
  </si>
  <si>
    <t>兆丰股份</t>
  </si>
  <si>
    <t xml:space="preserve">         36.57亿</t>
  </si>
  <si>
    <t>爱乐达</t>
  </si>
  <si>
    <t xml:space="preserve">        130.65亿</t>
  </si>
  <si>
    <t>电工合金</t>
  </si>
  <si>
    <t xml:space="preserve">         42.23亿</t>
  </si>
  <si>
    <t>万马科技</t>
  </si>
  <si>
    <t xml:space="preserve">         35.74亿</t>
  </si>
  <si>
    <t>光威复材</t>
  </si>
  <si>
    <t xml:space="preserve">        421.42亿</t>
  </si>
  <si>
    <t>岱勒新材</t>
  </si>
  <si>
    <t>森霸传感</t>
  </si>
  <si>
    <t>天宇股份</t>
  </si>
  <si>
    <t xml:space="preserve">        176.46亿</t>
  </si>
  <si>
    <t>创源股份</t>
  </si>
  <si>
    <t xml:space="preserve">         20.53亿</t>
  </si>
  <si>
    <t>九典制药</t>
  </si>
  <si>
    <t>阿石创</t>
  </si>
  <si>
    <t xml:space="preserve">         46.51亿</t>
  </si>
  <si>
    <t>威唐工业</t>
  </si>
  <si>
    <t xml:space="preserve">         32.98亿</t>
  </si>
  <si>
    <t>聚灿光电</t>
  </si>
  <si>
    <t xml:space="preserve">         97.31亿</t>
  </si>
  <si>
    <t>精研科技</t>
  </si>
  <si>
    <t xml:space="preserve">         74.17亿</t>
  </si>
  <si>
    <t>万隆光电</t>
  </si>
  <si>
    <t xml:space="preserve">         41.17亿</t>
  </si>
  <si>
    <t>广哈通信</t>
  </si>
  <si>
    <t xml:space="preserve">         30.03亿</t>
  </si>
  <si>
    <t>永福股份</t>
  </si>
  <si>
    <t xml:space="preserve">        111.25亿</t>
  </si>
  <si>
    <t>英可瑞</t>
  </si>
  <si>
    <t>凯伦股份</t>
  </si>
  <si>
    <t xml:space="preserve">         74.28亿</t>
  </si>
  <si>
    <t>国立科技</t>
  </si>
  <si>
    <t>华信新材</t>
  </si>
  <si>
    <t xml:space="preserve">         15.71亿</t>
  </si>
  <si>
    <t>长盛轴承</t>
  </si>
  <si>
    <t xml:space="preserve">         64.05亿</t>
  </si>
  <si>
    <t>安达维尔</t>
  </si>
  <si>
    <t>海川智能</t>
  </si>
  <si>
    <t>怡达股份</t>
  </si>
  <si>
    <t xml:space="preserve">         48.85亿</t>
  </si>
  <si>
    <t>新余国科</t>
  </si>
  <si>
    <t xml:space="preserve">         74.75亿</t>
  </si>
  <si>
    <t>一品红</t>
  </si>
  <si>
    <t xml:space="preserve">         97.53亿</t>
  </si>
  <si>
    <t>捷佳伟创</t>
  </si>
  <si>
    <t xml:space="preserve">        384.02亿</t>
  </si>
  <si>
    <t>药石科技</t>
  </si>
  <si>
    <t xml:space="preserve">        284.47亿</t>
  </si>
  <si>
    <t>宏达电子</t>
  </si>
  <si>
    <t xml:space="preserve">        348.09亿</t>
  </si>
  <si>
    <t>润禾材料</t>
  </si>
  <si>
    <t xml:space="preserve">         41.11亿</t>
  </si>
  <si>
    <t>乐歌股份</t>
  </si>
  <si>
    <t xml:space="preserve">         71.58亿</t>
  </si>
  <si>
    <t>科创信息</t>
  </si>
  <si>
    <t>科创新源</t>
  </si>
  <si>
    <t xml:space="preserve">         46.97亿</t>
  </si>
  <si>
    <t>设研院</t>
  </si>
  <si>
    <t xml:space="preserve">         32.02亿</t>
  </si>
  <si>
    <t>西菱动力</t>
  </si>
  <si>
    <t xml:space="preserve">         39.27亿</t>
  </si>
  <si>
    <t>光弘科技</t>
  </si>
  <si>
    <t xml:space="preserve">        106.74亿</t>
  </si>
  <si>
    <t>百邦科技</t>
  </si>
  <si>
    <t xml:space="preserve">         16.73亿</t>
  </si>
  <si>
    <t>科顺股份</t>
  </si>
  <si>
    <t xml:space="preserve">        166.04亿</t>
  </si>
  <si>
    <t>奥飞数据</t>
  </si>
  <si>
    <t xml:space="preserve">         79.57亿</t>
  </si>
  <si>
    <t>明阳电路</t>
  </si>
  <si>
    <t xml:space="preserve">         56.72亿</t>
  </si>
  <si>
    <t>水羊股份</t>
  </si>
  <si>
    <t xml:space="preserve">         68.48亿</t>
  </si>
  <si>
    <t>华宝股份</t>
  </si>
  <si>
    <t xml:space="preserve">        334.98亿</t>
  </si>
  <si>
    <t>越博动力</t>
  </si>
  <si>
    <t xml:space="preserve">         27.30亿</t>
  </si>
  <si>
    <t>天地数码</t>
  </si>
  <si>
    <t xml:space="preserve">         15.28亿</t>
  </si>
  <si>
    <t>欣锐科技</t>
  </si>
  <si>
    <t xml:space="preserve">         82.36亿</t>
  </si>
  <si>
    <t>汉嘉设计</t>
  </si>
  <si>
    <t xml:space="preserve">         32.01亿</t>
  </si>
  <si>
    <t>锐科激光</t>
  </si>
  <si>
    <t xml:space="preserve">        279.36亿</t>
  </si>
  <si>
    <t>金力永磁</t>
  </si>
  <si>
    <t xml:space="preserve">        302.85亿</t>
  </si>
  <si>
    <t>顶固集创</t>
  </si>
  <si>
    <t>宁德时代</t>
  </si>
  <si>
    <t xml:space="preserve">      14894.14亿</t>
  </si>
  <si>
    <t>迈为股份</t>
  </si>
  <si>
    <t xml:space="preserve">        677.89亿</t>
  </si>
  <si>
    <t>隆利科技</t>
  </si>
  <si>
    <t xml:space="preserve">         51.71亿</t>
  </si>
  <si>
    <t>爱朋医疗</t>
  </si>
  <si>
    <t xml:space="preserve">         22.29亿</t>
  </si>
  <si>
    <t>华致酒行</t>
  </si>
  <si>
    <t xml:space="preserve">        188.77亿</t>
  </si>
  <si>
    <t>金马游乐</t>
  </si>
  <si>
    <t xml:space="preserve">         27.53亿</t>
  </si>
  <si>
    <t>罗博特科</t>
  </si>
  <si>
    <t xml:space="preserve">         64.81亿</t>
  </si>
  <si>
    <t>七彩化学</t>
  </si>
  <si>
    <t>康龙化成</t>
  </si>
  <si>
    <t xml:space="preserve">       1200.57亿</t>
  </si>
  <si>
    <t>迈瑞医疗</t>
  </si>
  <si>
    <t xml:space="preserve">       4596.53亿</t>
  </si>
  <si>
    <t>立华股份</t>
  </si>
  <si>
    <t xml:space="preserve">        119.02亿</t>
  </si>
  <si>
    <t>上海瀚讯</t>
  </si>
  <si>
    <t xml:space="preserve">        101.91亿</t>
  </si>
  <si>
    <t>锦浪科技</t>
  </si>
  <si>
    <t xml:space="preserve">        601.62亿</t>
  </si>
  <si>
    <t>新诺威</t>
  </si>
  <si>
    <t xml:space="preserve">         72.02亿</t>
  </si>
  <si>
    <t>每日互动</t>
  </si>
  <si>
    <t>震安科技</t>
  </si>
  <si>
    <t xml:space="preserve">        175.21亿</t>
  </si>
  <si>
    <t>迪普科技</t>
  </si>
  <si>
    <t xml:space="preserve">        196.25亿</t>
  </si>
  <si>
    <t>德方纳米</t>
  </si>
  <si>
    <t xml:space="preserve">        484.14亿</t>
  </si>
  <si>
    <t>新媒股份</t>
  </si>
  <si>
    <t xml:space="preserve">        148.27亿</t>
  </si>
  <si>
    <t>智莱科技</t>
  </si>
  <si>
    <t xml:space="preserve">         28.83亿</t>
  </si>
  <si>
    <t>运达股份</t>
  </si>
  <si>
    <t xml:space="preserve">        186.78亿</t>
  </si>
  <si>
    <t>拉卡拉</t>
  </si>
  <si>
    <t xml:space="preserve">        203.29亿</t>
  </si>
  <si>
    <t>倍杰特</t>
  </si>
  <si>
    <t xml:space="preserve">         80.44亿</t>
  </si>
  <si>
    <t>三角防务</t>
  </si>
  <si>
    <t xml:space="preserve">        255.78亿</t>
  </si>
  <si>
    <t>帝尔激光</t>
  </si>
  <si>
    <t xml:space="preserve">        218.52亿</t>
  </si>
  <si>
    <t>中简科技</t>
  </si>
  <si>
    <t xml:space="preserve">        264.61亿</t>
  </si>
  <si>
    <t>新城市</t>
  </si>
  <si>
    <t xml:space="preserve">         23.69亿</t>
  </si>
  <si>
    <t>惠城环保</t>
  </si>
  <si>
    <t xml:space="preserve">         16.56亿</t>
  </si>
  <si>
    <t>德恩精工</t>
  </si>
  <si>
    <t xml:space="preserve">         25.42亿</t>
  </si>
  <si>
    <t>因赛集团</t>
  </si>
  <si>
    <t xml:space="preserve">         26.05亿</t>
  </si>
  <si>
    <t>卓胜微</t>
  </si>
  <si>
    <t xml:space="preserve">       1001.88亿</t>
  </si>
  <si>
    <t>三只松鼠</t>
  </si>
  <si>
    <t xml:space="preserve">        147.93亿</t>
  </si>
  <si>
    <t>值得买</t>
  </si>
  <si>
    <t xml:space="preserve">         66.69亿</t>
  </si>
  <si>
    <t>国林科技</t>
  </si>
  <si>
    <t xml:space="preserve">         39.03亿</t>
  </si>
  <si>
    <t>海能实业</t>
  </si>
  <si>
    <t xml:space="preserve">         43.13亿</t>
  </si>
  <si>
    <t>中信出版</t>
  </si>
  <si>
    <t xml:space="preserve">         50.62亿</t>
  </si>
  <si>
    <t>唐源电气</t>
  </si>
  <si>
    <t>宇瞳光学</t>
  </si>
  <si>
    <t xml:space="preserve">         92.71亿</t>
  </si>
  <si>
    <t>仙乐健康</t>
  </si>
  <si>
    <t xml:space="preserve">         84.12亿</t>
  </si>
  <si>
    <t>壹网壹创</t>
  </si>
  <si>
    <t>佳禾智能</t>
  </si>
  <si>
    <t xml:space="preserve">         52.08亿</t>
  </si>
  <si>
    <t>*ST米奥</t>
  </si>
  <si>
    <t xml:space="preserve">         21.63亿</t>
  </si>
  <si>
    <t>贝斯美</t>
  </si>
  <si>
    <t>钢研纳克</t>
  </si>
  <si>
    <t xml:space="preserve">         40.26亿</t>
  </si>
  <si>
    <t>锦鸡股份</t>
  </si>
  <si>
    <t xml:space="preserve">         40.35亿</t>
  </si>
  <si>
    <t>左江科技</t>
  </si>
  <si>
    <t xml:space="preserve">         58.93亿</t>
  </si>
  <si>
    <t>力合科技</t>
  </si>
  <si>
    <t xml:space="preserve">         60.55亿</t>
  </si>
  <si>
    <t>泰和科技</t>
  </si>
  <si>
    <t xml:space="preserve">         47.00亿</t>
  </si>
  <si>
    <t>矩子科技</t>
  </si>
  <si>
    <t xml:space="preserve">         68.64亿</t>
  </si>
  <si>
    <t>指南针</t>
  </si>
  <si>
    <t xml:space="preserve">        138.31亿</t>
  </si>
  <si>
    <t>电声股份</t>
  </si>
  <si>
    <t xml:space="preserve">         49.86亿</t>
  </si>
  <si>
    <t>斯迪克</t>
  </si>
  <si>
    <t xml:space="preserve">        100.11亿</t>
  </si>
  <si>
    <t>天迈科技</t>
  </si>
  <si>
    <t xml:space="preserve">         16.62亿</t>
  </si>
  <si>
    <t>久量股份</t>
  </si>
  <si>
    <t>华辰装备</t>
  </si>
  <si>
    <t xml:space="preserve">         91.15亿</t>
  </si>
  <si>
    <t>中科海讯</t>
  </si>
  <si>
    <t xml:space="preserve">         31.40亿</t>
  </si>
  <si>
    <t>铂科新材</t>
  </si>
  <si>
    <t xml:space="preserve">        106.89亿</t>
  </si>
  <si>
    <t>易天股份</t>
  </si>
  <si>
    <t xml:space="preserve">         34.98亿</t>
  </si>
  <si>
    <t>泰林生物</t>
  </si>
  <si>
    <t xml:space="preserve">         39.43亿</t>
  </si>
  <si>
    <t>中富电路</t>
  </si>
  <si>
    <t xml:space="preserve">         48.64亿</t>
  </si>
  <si>
    <t>玉禾田</t>
  </si>
  <si>
    <t xml:space="preserve">         84.95亿</t>
  </si>
  <si>
    <t>艾可蓝</t>
  </si>
  <si>
    <t xml:space="preserve">         43.08亿</t>
  </si>
  <si>
    <t>双飞股份</t>
  </si>
  <si>
    <t xml:space="preserve">         29.43亿</t>
  </si>
  <si>
    <t>耐普矿机</t>
  </si>
  <si>
    <t>聚杰微纤</t>
  </si>
  <si>
    <t xml:space="preserve">         26.72亿</t>
  </si>
  <si>
    <t>英杰电气</t>
  </si>
  <si>
    <t xml:space="preserve">         90.08亿</t>
  </si>
  <si>
    <t>东岳硅材</t>
  </si>
  <si>
    <t xml:space="preserve">        258.96亿</t>
  </si>
  <si>
    <t>贝仕达克</t>
  </si>
  <si>
    <t>建科机械</t>
  </si>
  <si>
    <t xml:space="preserve">         22.92亿</t>
  </si>
  <si>
    <t>北鼎股份</t>
  </si>
  <si>
    <t>阿尔特</t>
  </si>
  <si>
    <t xml:space="preserve">        103.51亿</t>
  </si>
  <si>
    <t>测绘股份</t>
  </si>
  <si>
    <t xml:space="preserve">         23.81亿</t>
  </si>
  <si>
    <t>上能电气</t>
  </si>
  <si>
    <t xml:space="preserve">        135.95亿</t>
  </si>
  <si>
    <t>锐新科技</t>
  </si>
  <si>
    <t xml:space="preserve">         29.95亿</t>
  </si>
  <si>
    <t>金丹科技</t>
  </si>
  <si>
    <t xml:space="preserve">         81.19亿</t>
  </si>
  <si>
    <t>金现代</t>
  </si>
  <si>
    <t xml:space="preserve">         55.83亿</t>
  </si>
  <si>
    <t>派瑞股份</t>
  </si>
  <si>
    <t xml:space="preserve">         68.26亿</t>
  </si>
  <si>
    <t>新产业</t>
  </si>
  <si>
    <t xml:space="preserve">        367.21亿</t>
  </si>
  <si>
    <t>浩洋股份</t>
  </si>
  <si>
    <t xml:space="preserve">         73.95亿</t>
  </si>
  <si>
    <t>龙磁科技</t>
  </si>
  <si>
    <t xml:space="preserve">         55.91亿</t>
  </si>
  <si>
    <t>佰奥智能</t>
  </si>
  <si>
    <t>浙矿股份</t>
  </si>
  <si>
    <t xml:space="preserve">         44.34亿</t>
  </si>
  <si>
    <t>浙江力诺</t>
  </si>
  <si>
    <t xml:space="preserve">         23.94亿</t>
  </si>
  <si>
    <t>博汇股份</t>
  </si>
  <si>
    <t xml:space="preserve">         27.68亿</t>
  </si>
  <si>
    <t>酷特智能</t>
  </si>
  <si>
    <t xml:space="preserve">         28.10亿</t>
  </si>
  <si>
    <t>康华生物</t>
  </si>
  <si>
    <t xml:space="preserve">        149.35亿</t>
  </si>
  <si>
    <t>帝科股份</t>
  </si>
  <si>
    <t xml:space="preserve">         84.55亿</t>
  </si>
  <si>
    <t>胜蓝股份</t>
  </si>
  <si>
    <t>山水比德</t>
  </si>
  <si>
    <t xml:space="preserve">         25.91亿</t>
  </si>
  <si>
    <t>捷安高科</t>
  </si>
  <si>
    <t xml:space="preserve">         19.51亿</t>
  </si>
  <si>
    <t>首都在线</t>
  </si>
  <si>
    <t xml:space="preserve">         55.86亿</t>
  </si>
  <si>
    <t>中船汉光</t>
  </si>
  <si>
    <t xml:space="preserve">         44.64亿</t>
  </si>
  <si>
    <t>美瑞新材</t>
  </si>
  <si>
    <t>锦盛新材</t>
  </si>
  <si>
    <t xml:space="preserve">         18.93亿</t>
  </si>
  <si>
    <t>新强联</t>
  </si>
  <si>
    <t xml:space="preserve">        427.44亿</t>
  </si>
  <si>
    <t>交大思诺</t>
  </si>
  <si>
    <t xml:space="preserve">         25.23亿</t>
  </si>
  <si>
    <t>四会富仕</t>
  </si>
  <si>
    <t xml:space="preserve">         57.54亿</t>
  </si>
  <si>
    <t>申昊科技</t>
  </si>
  <si>
    <t xml:space="preserve">         61.92亿</t>
  </si>
  <si>
    <t>中兰环保</t>
  </si>
  <si>
    <t xml:space="preserve">         32.25亿</t>
  </si>
  <si>
    <t>图南股份</t>
  </si>
  <si>
    <t xml:space="preserve">        126.32亿</t>
  </si>
  <si>
    <t>科思股份</t>
  </si>
  <si>
    <t>协创数据</t>
  </si>
  <si>
    <t xml:space="preserve">         55.56亿</t>
  </si>
  <si>
    <t>科拓生物</t>
  </si>
  <si>
    <t xml:space="preserve">         46.03亿</t>
  </si>
  <si>
    <t>*ST西域</t>
  </si>
  <si>
    <t>锋尚文化</t>
  </si>
  <si>
    <t xml:space="preserve">         66.90亿</t>
  </si>
  <si>
    <t>美畅股份</t>
  </si>
  <si>
    <t xml:space="preserve">        326.45亿</t>
  </si>
  <si>
    <t>蓝盾光电</t>
  </si>
  <si>
    <t>卡倍亿</t>
  </si>
  <si>
    <t xml:space="preserve">         55.27亿</t>
  </si>
  <si>
    <t>南大环境</t>
  </si>
  <si>
    <t xml:space="preserve">         42.68亿</t>
  </si>
  <si>
    <t>大宏立</t>
  </si>
  <si>
    <t>安克创新</t>
  </si>
  <si>
    <t xml:space="preserve">        409.80亿</t>
  </si>
  <si>
    <t>圣元环保</t>
  </si>
  <si>
    <t xml:space="preserve">         76.09亿</t>
  </si>
  <si>
    <t>杰美特</t>
  </si>
  <si>
    <t xml:space="preserve">         32.47亿</t>
  </si>
  <si>
    <t>康泰医学</t>
  </si>
  <si>
    <t xml:space="preserve">        141.31亿</t>
  </si>
  <si>
    <t>欧陆通</t>
  </si>
  <si>
    <t xml:space="preserve">         85.51亿</t>
  </si>
  <si>
    <t>回盛生物</t>
  </si>
  <si>
    <t>天阳科技</t>
  </si>
  <si>
    <t xml:space="preserve">         70.08亿</t>
  </si>
  <si>
    <t>海晨股份</t>
  </si>
  <si>
    <t xml:space="preserve">         71.68亿</t>
  </si>
  <si>
    <t>捷强装备</t>
  </si>
  <si>
    <t xml:space="preserve">         50.98亿</t>
  </si>
  <si>
    <t>蒙泰高新</t>
  </si>
  <si>
    <t xml:space="preserve">         29.57亿</t>
  </si>
  <si>
    <t>金春股份</t>
  </si>
  <si>
    <t xml:space="preserve">         30.92亿</t>
  </si>
  <si>
    <t>维康药业</t>
  </si>
  <si>
    <t xml:space="preserve">         33.56亿</t>
  </si>
  <si>
    <t>大叶股份</t>
  </si>
  <si>
    <t>迦南智能</t>
  </si>
  <si>
    <t xml:space="preserve">         42.65亿</t>
  </si>
  <si>
    <t>盛德鑫泰</t>
  </si>
  <si>
    <t>万胜智能</t>
  </si>
  <si>
    <t xml:space="preserve">         44.32亿</t>
  </si>
  <si>
    <t>龙利得</t>
  </si>
  <si>
    <t xml:space="preserve">         29.17亿</t>
  </si>
  <si>
    <t>狄耐克</t>
  </si>
  <si>
    <t xml:space="preserve">         33.97亿</t>
  </si>
  <si>
    <t>海昌新材</t>
  </si>
  <si>
    <t xml:space="preserve">         32.32亿</t>
  </si>
  <si>
    <t>华业香料</t>
  </si>
  <si>
    <t xml:space="preserve">         20.09亿</t>
  </si>
  <si>
    <t>谱尼测试</t>
  </si>
  <si>
    <t xml:space="preserve">         94.38亿</t>
  </si>
  <si>
    <t>稳健医疗</t>
  </si>
  <si>
    <t xml:space="preserve">        342.17亿</t>
  </si>
  <si>
    <t>爱克股份</t>
  </si>
  <si>
    <t>翔丰华</t>
  </si>
  <si>
    <t xml:space="preserve">         64.67亿</t>
  </si>
  <si>
    <t>惠云钛业</t>
  </si>
  <si>
    <t>品渥食品</t>
  </si>
  <si>
    <t xml:space="preserve">         41.67亿</t>
  </si>
  <si>
    <t>松原股份</t>
  </si>
  <si>
    <t xml:space="preserve">         57.00亿</t>
  </si>
  <si>
    <t>火星人</t>
  </si>
  <si>
    <t xml:space="preserve">        213.84亿</t>
  </si>
  <si>
    <t>铜牛信息</t>
  </si>
  <si>
    <t xml:space="preserve">         50.20亿</t>
  </si>
  <si>
    <t>爱美客</t>
  </si>
  <si>
    <t xml:space="preserve">       1224.40亿</t>
  </si>
  <si>
    <t>山科智能</t>
  </si>
  <si>
    <t xml:space="preserve">         23.07亿</t>
  </si>
  <si>
    <t>熊猫乳品</t>
  </si>
  <si>
    <t xml:space="preserve">         36.26亿</t>
  </si>
  <si>
    <t>上海凯鑫</t>
  </si>
  <si>
    <t xml:space="preserve">         20.42亿</t>
  </si>
  <si>
    <t>广联航空</t>
  </si>
  <si>
    <t xml:space="preserve">         82.46亿</t>
  </si>
  <si>
    <t>中胤时尚</t>
  </si>
  <si>
    <t xml:space="preserve">         29.59亿</t>
  </si>
  <si>
    <t>国安达</t>
  </si>
  <si>
    <t xml:space="preserve">         35.58亿</t>
  </si>
  <si>
    <t>科翔股份</t>
  </si>
  <si>
    <t>宝丽迪</t>
  </si>
  <si>
    <t xml:space="preserve">         36.56亿</t>
  </si>
  <si>
    <t>日月明</t>
  </si>
  <si>
    <t xml:space="preserve">         25.58亿</t>
  </si>
  <si>
    <t>康平科技</t>
  </si>
  <si>
    <t xml:space="preserve">         24.67亿</t>
  </si>
  <si>
    <t>仲景食品</t>
  </si>
  <si>
    <t>汇创达</t>
  </si>
  <si>
    <t xml:space="preserve">         42.11亿</t>
  </si>
  <si>
    <t>瑞丰新材</t>
  </si>
  <si>
    <t xml:space="preserve">        120.51亿</t>
  </si>
  <si>
    <t>亿田智能</t>
  </si>
  <si>
    <t xml:space="preserve">         73.73亿</t>
  </si>
  <si>
    <t>凯龙高科</t>
  </si>
  <si>
    <t xml:space="preserve">         32.39亿</t>
  </si>
  <si>
    <t>兆龙互连</t>
  </si>
  <si>
    <t xml:space="preserve">         38.93亿</t>
  </si>
  <si>
    <t>海融科技</t>
  </si>
  <si>
    <t xml:space="preserve">         53.95亿</t>
  </si>
  <si>
    <t>朗特智能</t>
  </si>
  <si>
    <t xml:space="preserve">         41.82亿</t>
  </si>
  <si>
    <t>特发服务</t>
  </si>
  <si>
    <t xml:space="preserve">         38.82亿</t>
  </si>
  <si>
    <t>南山智尚</t>
  </si>
  <si>
    <t xml:space="preserve">         35.53亿</t>
  </si>
  <si>
    <t>中伟股份</t>
  </si>
  <si>
    <t xml:space="preserve">       1036.88亿</t>
  </si>
  <si>
    <t>润阳科技</t>
  </si>
  <si>
    <t>南凌科技</t>
  </si>
  <si>
    <t xml:space="preserve">         29.00亿</t>
  </si>
  <si>
    <t>天秦装备</t>
  </si>
  <si>
    <t xml:space="preserve">         48.71亿</t>
  </si>
  <si>
    <t>研奥股份</t>
  </si>
  <si>
    <t xml:space="preserve">         24.37亿</t>
  </si>
  <si>
    <t>法本信息</t>
  </si>
  <si>
    <t>博俊科技</t>
  </si>
  <si>
    <t xml:space="preserve">         38.39亿</t>
  </si>
  <si>
    <t>江天化学</t>
  </si>
  <si>
    <t>华安鑫创</t>
  </si>
  <si>
    <t xml:space="preserve">         40.56亿</t>
  </si>
  <si>
    <t>华骐环保</t>
  </si>
  <si>
    <t xml:space="preserve">         24.29亿</t>
  </si>
  <si>
    <t>屹通新材</t>
  </si>
  <si>
    <t>通用电梯</t>
  </si>
  <si>
    <t xml:space="preserve">         28.27亿</t>
  </si>
  <si>
    <t>三友联众</t>
  </si>
  <si>
    <t xml:space="preserve">         51.38亿</t>
  </si>
  <si>
    <t>中辰股份</t>
  </si>
  <si>
    <t xml:space="preserve">         58.92亿</t>
  </si>
  <si>
    <t>盈建科</t>
  </si>
  <si>
    <t xml:space="preserve">         32.81亿</t>
  </si>
  <si>
    <t>中英科技</t>
  </si>
  <si>
    <t xml:space="preserve">         31.64亿</t>
  </si>
  <si>
    <t>药易购</t>
  </si>
  <si>
    <t xml:space="preserve">         41.90亿</t>
  </si>
  <si>
    <t>信测标准</t>
  </si>
  <si>
    <t xml:space="preserve">         28.46亿</t>
  </si>
  <si>
    <t>秋田微</t>
  </si>
  <si>
    <t xml:space="preserve">         43.50亿</t>
  </si>
  <si>
    <t>南极光</t>
  </si>
  <si>
    <t xml:space="preserve">         46.13亿</t>
  </si>
  <si>
    <t>创识科技</t>
  </si>
  <si>
    <t>易瑞生物</t>
  </si>
  <si>
    <t xml:space="preserve">        106.15亿</t>
  </si>
  <si>
    <t>春晖智控</t>
  </si>
  <si>
    <t xml:space="preserve">         37.23亿</t>
  </si>
  <si>
    <t>曼卡龙</t>
  </si>
  <si>
    <t>恒而达</t>
  </si>
  <si>
    <t xml:space="preserve">         59.97亿</t>
  </si>
  <si>
    <t>德必集团</t>
  </si>
  <si>
    <t xml:space="preserve">         27.10亿</t>
  </si>
  <si>
    <t>冠中生态</t>
  </si>
  <si>
    <t xml:space="preserve">         31.42亿</t>
  </si>
  <si>
    <t>奥雅设计</t>
  </si>
  <si>
    <t xml:space="preserve">         30.89亿</t>
  </si>
  <si>
    <t>德固特</t>
  </si>
  <si>
    <t xml:space="preserve">         39.31亿</t>
  </si>
  <si>
    <t>博硕科技</t>
  </si>
  <si>
    <t xml:space="preserve">         73.20亿</t>
  </si>
  <si>
    <t>恒辉安防</t>
  </si>
  <si>
    <t xml:space="preserve">         33.57亿</t>
  </si>
  <si>
    <t>震裕科技</t>
  </si>
  <si>
    <t xml:space="preserve">        144.50亿</t>
  </si>
  <si>
    <t>嘉亨家化</t>
  </si>
  <si>
    <t xml:space="preserve">         34.63亿</t>
  </si>
  <si>
    <t>英力股份</t>
  </si>
  <si>
    <t xml:space="preserve">         32.41亿</t>
  </si>
  <si>
    <t>贝泰妮</t>
  </si>
  <si>
    <t xml:space="preserve">        886.98亿</t>
  </si>
  <si>
    <t>建工修复</t>
  </si>
  <si>
    <t xml:space="preserve">         39.82亿</t>
  </si>
  <si>
    <t>线上线下</t>
  </si>
  <si>
    <t xml:space="preserve">         39.40亿</t>
  </si>
  <si>
    <t>通业科技</t>
  </si>
  <si>
    <t>深水海纳</t>
  </si>
  <si>
    <t xml:space="preserve">         40.28亿</t>
  </si>
  <si>
    <t>中金辐照</t>
  </si>
  <si>
    <t xml:space="preserve">         53.14亿</t>
  </si>
  <si>
    <t>中洲特材</t>
  </si>
  <si>
    <t>本川智能</t>
  </si>
  <si>
    <t xml:space="preserve">         35.20亿</t>
  </si>
  <si>
    <t>恒宇信通</t>
  </si>
  <si>
    <t>共同药业</t>
  </si>
  <si>
    <t xml:space="preserve">         48.74亿</t>
  </si>
  <si>
    <t>晓鸣股份</t>
  </si>
  <si>
    <t xml:space="preserve">         48.51亿</t>
  </si>
  <si>
    <t>格林精密</t>
  </si>
  <si>
    <t xml:space="preserve">         57.21亿</t>
  </si>
  <si>
    <t>恒帅股份</t>
  </si>
  <si>
    <t xml:space="preserve">        105.03亿</t>
  </si>
  <si>
    <t>华绿生物</t>
  </si>
  <si>
    <t xml:space="preserve">         32.90亿</t>
  </si>
  <si>
    <t>博亚精工</t>
  </si>
  <si>
    <t xml:space="preserve">         35.36亿</t>
  </si>
  <si>
    <t>万辰生物</t>
  </si>
  <si>
    <t xml:space="preserve">         23.98亿</t>
  </si>
  <si>
    <t>立高食品</t>
  </si>
  <si>
    <t xml:space="preserve">        245.53亿</t>
  </si>
  <si>
    <t>商络电子</t>
  </si>
  <si>
    <t xml:space="preserve">         75.56亿</t>
  </si>
  <si>
    <t>达瑞电子</t>
  </si>
  <si>
    <t xml:space="preserve">         83.40亿</t>
  </si>
  <si>
    <t>深圳瑞捷</t>
  </si>
  <si>
    <t xml:space="preserve">         37.98亿</t>
  </si>
  <si>
    <t>东箭科技</t>
  </si>
  <si>
    <t xml:space="preserve">         99.08亿</t>
  </si>
  <si>
    <t>华利集团</t>
  </si>
  <si>
    <t xml:space="preserve">       1108.65亿</t>
  </si>
  <si>
    <t>祥源新材</t>
  </si>
  <si>
    <t>中红医疗</t>
  </si>
  <si>
    <t xml:space="preserve">        126.72亿</t>
  </si>
  <si>
    <t>苏文电能</t>
  </si>
  <si>
    <t xml:space="preserve">         98.76亿</t>
  </si>
  <si>
    <t>尤安设计</t>
  </si>
  <si>
    <t xml:space="preserve">         63.42亿</t>
  </si>
  <si>
    <t>金沃股份</t>
  </si>
  <si>
    <t xml:space="preserve">         22.35亿</t>
  </si>
  <si>
    <t>致远新能</t>
  </si>
  <si>
    <t xml:space="preserve">         53.87亿</t>
  </si>
  <si>
    <t>志特新材</t>
  </si>
  <si>
    <t>川网传媒</t>
  </si>
  <si>
    <t xml:space="preserve">         47.28亿</t>
  </si>
  <si>
    <t>津荣天宇</t>
  </si>
  <si>
    <t xml:space="preserve">         29.64亿</t>
  </si>
  <si>
    <t>蕾奥规划</t>
  </si>
  <si>
    <t>同飞股份</t>
  </si>
  <si>
    <t xml:space="preserve">         69.67亿</t>
  </si>
  <si>
    <t>创益通</t>
  </si>
  <si>
    <t xml:space="preserve">         31.55亿</t>
  </si>
  <si>
    <t>泰福泵业</t>
  </si>
  <si>
    <t xml:space="preserve">         23.28亿</t>
  </si>
  <si>
    <t>玉马遮阳</t>
  </si>
  <si>
    <t>久祺股份</t>
  </si>
  <si>
    <t xml:space="preserve">        103.88亿</t>
  </si>
  <si>
    <t>奇德新材</t>
  </si>
  <si>
    <t>普联软件</t>
  </si>
  <si>
    <t xml:space="preserve">         50.44亿</t>
  </si>
  <si>
    <t>欢乐家</t>
  </si>
  <si>
    <t xml:space="preserve">         76.59亿</t>
  </si>
  <si>
    <t>宁波方正</t>
  </si>
  <si>
    <t xml:space="preserve">         47.26亿</t>
  </si>
  <si>
    <t>金龙鱼</t>
  </si>
  <si>
    <t xml:space="preserve">       3503.97亿</t>
  </si>
  <si>
    <t>肇民科技</t>
  </si>
  <si>
    <t xml:space="preserve">         37.35亿</t>
  </si>
  <si>
    <t>凯淳股份</t>
  </si>
  <si>
    <t xml:space="preserve">         27.27亿</t>
  </si>
  <si>
    <t>崧盛股份</t>
  </si>
  <si>
    <t>江苏博云</t>
  </si>
  <si>
    <t xml:space="preserve">         31.39亿</t>
  </si>
  <si>
    <t>嘉益股份</t>
  </si>
  <si>
    <t>超捷股份</t>
  </si>
  <si>
    <t>迈拓股份</t>
  </si>
  <si>
    <t xml:space="preserve">         37.05亿</t>
  </si>
  <si>
    <t>德迈仕</t>
  </si>
  <si>
    <t xml:space="preserve">         39.07亿</t>
  </si>
  <si>
    <t>宏昌科技</t>
  </si>
  <si>
    <t xml:space="preserve">         28.15亿</t>
  </si>
  <si>
    <t>可靠股份</t>
  </si>
  <si>
    <t xml:space="preserve">         52.55亿</t>
  </si>
  <si>
    <t>晶雪节能</t>
  </si>
  <si>
    <t xml:space="preserve">         24.19亿</t>
  </si>
  <si>
    <t>华立科技</t>
  </si>
  <si>
    <t xml:space="preserve">         52.22亿</t>
  </si>
  <si>
    <t>扬电科技</t>
  </si>
  <si>
    <t xml:space="preserve">         43.34亿</t>
  </si>
  <si>
    <t>利和兴</t>
  </si>
  <si>
    <t xml:space="preserve">         44.96亿</t>
  </si>
  <si>
    <t>百洋医药</t>
  </si>
  <si>
    <t xml:space="preserve">        144.40亿</t>
  </si>
  <si>
    <t>雷尔伟</t>
  </si>
  <si>
    <t>漱玉平民</t>
  </si>
  <si>
    <t xml:space="preserve">        119.70亿</t>
  </si>
  <si>
    <t>申菱环境</t>
  </si>
  <si>
    <t>宁波色母</t>
  </si>
  <si>
    <t xml:space="preserve">         34.49亿</t>
  </si>
  <si>
    <t>密封科技</t>
  </si>
  <si>
    <t xml:space="preserve">         51.80亿</t>
  </si>
  <si>
    <t>英诺激光</t>
  </si>
  <si>
    <t xml:space="preserve">         67.51亿</t>
  </si>
  <si>
    <t>海泰科</t>
  </si>
  <si>
    <t xml:space="preserve">         31.21亿</t>
  </si>
  <si>
    <t>江南奕帆</t>
  </si>
  <si>
    <t xml:space="preserve">         30.25亿</t>
  </si>
  <si>
    <t>霍普股份</t>
  </si>
  <si>
    <t xml:space="preserve">         19.73亿</t>
  </si>
  <si>
    <t>读客文化</t>
  </si>
  <si>
    <t xml:space="preserve">         71.76亿</t>
  </si>
  <si>
    <t>浩通科技</t>
  </si>
  <si>
    <t xml:space="preserve">         82.56亿</t>
  </si>
  <si>
    <t>华蓝集团</t>
  </si>
  <si>
    <t>东亚机械</t>
  </si>
  <si>
    <t xml:space="preserve">         57.59亿</t>
  </si>
  <si>
    <t>怡合达</t>
  </si>
  <si>
    <t xml:space="preserve">        400.01亿</t>
  </si>
  <si>
    <t>仕净科技</t>
  </si>
  <si>
    <t xml:space="preserve">         45.33亿</t>
  </si>
  <si>
    <t>中熔电气</t>
  </si>
  <si>
    <t xml:space="preserve">        122.29亿</t>
  </si>
  <si>
    <t>新柴股份</t>
  </si>
  <si>
    <t>迈普医学</t>
  </si>
  <si>
    <t xml:space="preserve">         42.21亿</t>
  </si>
  <si>
    <t>润丰股份</t>
  </si>
  <si>
    <t xml:space="preserve">        149.03亿</t>
  </si>
  <si>
    <t>双乐股份</t>
  </si>
  <si>
    <t xml:space="preserve">         33.13亿</t>
  </si>
  <si>
    <t>保立佳</t>
  </si>
  <si>
    <t xml:space="preserve">         23.34亿</t>
  </si>
  <si>
    <t>深水规院</t>
  </si>
  <si>
    <t xml:space="preserve">         26.65亿</t>
  </si>
  <si>
    <t>中集车辆</t>
  </si>
  <si>
    <t xml:space="preserve">        196.82亿</t>
  </si>
  <si>
    <t>中环海陆</t>
  </si>
  <si>
    <t xml:space="preserve">         52.12亿</t>
  </si>
  <si>
    <t>金百泽</t>
  </si>
  <si>
    <t>安联锐视</t>
  </si>
  <si>
    <t xml:space="preserve">         32.70亿</t>
  </si>
  <si>
    <t>绿岛风</t>
  </si>
  <si>
    <t xml:space="preserve">         22.22亿</t>
  </si>
  <si>
    <t>天禄科技</t>
  </si>
  <si>
    <t>能辉科技</t>
  </si>
  <si>
    <t>义翘神州</t>
  </si>
  <si>
    <t xml:space="preserve">        250.92亿</t>
  </si>
  <si>
    <t>金鹰重工</t>
  </si>
  <si>
    <t xml:space="preserve">         78.35亿</t>
  </si>
  <si>
    <t>超越科技</t>
  </si>
  <si>
    <t>雷电微力</t>
  </si>
  <si>
    <t xml:space="preserve">        278.78亿</t>
  </si>
  <si>
    <t>信濠光电</t>
  </si>
  <si>
    <t xml:space="preserve">        103.95亿</t>
  </si>
  <si>
    <t>果麦文化</t>
  </si>
  <si>
    <t xml:space="preserve">         21.73亿</t>
  </si>
  <si>
    <t>远信工业</t>
  </si>
  <si>
    <t>张小泉</t>
  </si>
  <si>
    <t xml:space="preserve">         39.12亿</t>
  </si>
  <si>
    <t>森赫股份</t>
  </si>
  <si>
    <t>汇隆新材</t>
  </si>
  <si>
    <t xml:space="preserve">         22.88亿</t>
  </si>
  <si>
    <t>中粮工科</t>
  </si>
  <si>
    <t xml:space="preserve">         63.57亿</t>
  </si>
  <si>
    <t>金三江</t>
  </si>
  <si>
    <t xml:space="preserve">         27.36亿</t>
  </si>
  <si>
    <t>兰卫医学</t>
  </si>
  <si>
    <t xml:space="preserve">         87.15亿</t>
  </si>
  <si>
    <t>匠心家居</t>
  </si>
  <si>
    <t>上海艾录</t>
  </si>
  <si>
    <t xml:space="preserve">         70.75亿</t>
  </si>
  <si>
    <t>海锅股份</t>
  </si>
  <si>
    <t xml:space="preserve">         41.30亿</t>
  </si>
  <si>
    <t>本立科技</t>
  </si>
  <si>
    <t xml:space="preserve">         37.91亿</t>
  </si>
  <si>
    <t>万事利</t>
  </si>
  <si>
    <t xml:space="preserve">         37.00亿</t>
  </si>
  <si>
    <t>显盈科技</t>
  </si>
  <si>
    <t xml:space="preserve">         28.33亿</t>
  </si>
  <si>
    <t>大地海洋</t>
  </si>
  <si>
    <t xml:space="preserve">         24.44亿</t>
  </si>
  <si>
    <t>凯盛新材</t>
  </si>
  <si>
    <t xml:space="preserve">        279.73亿</t>
  </si>
  <si>
    <t>开勒股份</t>
  </si>
  <si>
    <t xml:space="preserve">         24.40亿</t>
  </si>
  <si>
    <t>力量钻石</t>
  </si>
  <si>
    <t xml:space="preserve">        185.22亿</t>
  </si>
  <si>
    <t>中捷精工</t>
  </si>
  <si>
    <t xml:space="preserve">         49.72亿</t>
  </si>
  <si>
    <t>君亭酒店</t>
  </si>
  <si>
    <t>多瑞医药</t>
  </si>
  <si>
    <t xml:space="preserve">         31.03亿</t>
  </si>
  <si>
    <t>新瀚新材</t>
  </si>
  <si>
    <t xml:space="preserve">         30.07亿</t>
  </si>
  <si>
    <t>星华反光</t>
  </si>
  <si>
    <t xml:space="preserve">         36.49亿</t>
  </si>
  <si>
    <t>孩子王</t>
  </si>
  <si>
    <t xml:space="preserve">        179.96亿</t>
  </si>
  <si>
    <t>邵阳液压</t>
  </si>
  <si>
    <t xml:space="preserve">         33.86亿</t>
  </si>
  <si>
    <t>百普赛斯</t>
  </si>
  <si>
    <t xml:space="preserve">        164.78亿</t>
  </si>
  <si>
    <t>严牌股份</t>
  </si>
  <si>
    <t xml:space="preserve">         41.29亿</t>
  </si>
  <si>
    <t>久盛电气</t>
  </si>
  <si>
    <t xml:space="preserve">         51.24亿</t>
  </si>
  <si>
    <t>百胜智能</t>
  </si>
  <si>
    <t xml:space="preserve">         34.51亿</t>
  </si>
  <si>
    <t>亚康股份</t>
  </si>
  <si>
    <t xml:space="preserve">         28.32亿</t>
  </si>
  <si>
    <t>鸿富瀚</t>
  </si>
  <si>
    <t>可孚医疗</t>
  </si>
  <si>
    <t xml:space="preserve">        148.91亿</t>
  </si>
  <si>
    <t>戎美股份</t>
  </si>
  <si>
    <t>拓新药业</t>
  </si>
  <si>
    <t xml:space="preserve">        114.90亿</t>
  </si>
  <si>
    <t>华润材料</t>
  </si>
  <si>
    <t xml:space="preserve">        210.96亿</t>
  </si>
  <si>
    <t>深城交</t>
  </si>
  <si>
    <t xml:space="preserve">         50.78亿</t>
  </si>
  <si>
    <t>争光股份</t>
  </si>
  <si>
    <t xml:space="preserve">         56.00亿</t>
  </si>
  <si>
    <t>华兰股份</t>
  </si>
  <si>
    <t xml:space="preserve">         70.44亿</t>
  </si>
  <si>
    <t>金埔园林</t>
  </si>
  <si>
    <t xml:space="preserve">         33.89亿</t>
  </si>
  <si>
    <t>C恒光</t>
  </si>
  <si>
    <t xml:space="preserve">         60.80亿</t>
  </si>
  <si>
    <t>强瑞技术</t>
  </si>
  <si>
    <t>瑞纳智能</t>
  </si>
  <si>
    <t xml:space="preserve">         59.49亿</t>
  </si>
  <si>
    <t>隆华新材</t>
  </si>
  <si>
    <t xml:space="preserve">         96.32亿</t>
  </si>
  <si>
    <t>零点有数</t>
  </si>
  <si>
    <t xml:space="preserve">         29.71亿</t>
  </si>
  <si>
    <t>天亿马</t>
  </si>
  <si>
    <t xml:space="preserve">         32.84亿</t>
  </si>
  <si>
    <t>C万祥</t>
  </si>
  <si>
    <t xml:space="preserve">        146.52亿</t>
  </si>
  <si>
    <t>N鸥玛</t>
  </si>
  <si>
    <t>力诺特玻</t>
  </si>
  <si>
    <t xml:space="preserve">         62.61亿</t>
  </si>
  <si>
    <t>*ST盈方</t>
  </si>
  <si>
    <t xml:space="preserve">          0.00亿</t>
  </si>
  <si>
    <t>长江材料</t>
  </si>
  <si>
    <t>三羊马</t>
  </si>
  <si>
    <t>*ST德奥</t>
  </si>
  <si>
    <t>慈铭体检</t>
  </si>
  <si>
    <t>宏良股份</t>
  </si>
  <si>
    <t>天常股份</t>
  </si>
  <si>
    <t>雅创电子</t>
  </si>
  <si>
    <t>洁雅股份</t>
  </si>
  <si>
    <t>粤万年青</t>
  </si>
  <si>
    <t>正强股份</t>
  </si>
  <si>
    <t>达嘉维康</t>
  </si>
  <si>
    <t>金钟股份</t>
  </si>
  <si>
    <t>海力风电</t>
  </si>
  <si>
    <t>泽宇智能</t>
  </si>
  <si>
    <t>喜悦智行</t>
  </si>
  <si>
    <t>迈赫股份</t>
  </si>
  <si>
    <t>观想科技</t>
  </si>
  <si>
    <t>浦发银行</t>
  </si>
  <si>
    <t xml:space="preserve">       2538.96亿</t>
  </si>
  <si>
    <t>白云机场</t>
  </si>
  <si>
    <t xml:space="preserve">        283.30亿</t>
  </si>
  <si>
    <t>东风汽车</t>
  </si>
  <si>
    <t xml:space="preserve">        139.40亿</t>
  </si>
  <si>
    <t>中国国贸</t>
  </si>
  <si>
    <t xml:space="preserve">        144.85亿</t>
  </si>
  <si>
    <t>首创环保</t>
  </si>
  <si>
    <t xml:space="preserve">        236.37亿</t>
  </si>
  <si>
    <t>上海机场</t>
  </si>
  <si>
    <t xml:space="preserve">        930.91亿</t>
  </si>
  <si>
    <t>包钢股份</t>
  </si>
  <si>
    <t xml:space="preserve">       1148.74亿</t>
  </si>
  <si>
    <t>华能国际</t>
  </si>
  <si>
    <t xml:space="preserve">        655.46亿</t>
  </si>
  <si>
    <t>皖通高速</t>
  </si>
  <si>
    <t xml:space="preserve">         75.88亿</t>
  </si>
  <si>
    <t>华夏银行</t>
  </si>
  <si>
    <t xml:space="preserve">        866.30亿</t>
  </si>
  <si>
    <t>民生银行</t>
  </si>
  <si>
    <t xml:space="preserve">       1390.12亿</t>
  </si>
  <si>
    <t>日照港</t>
  </si>
  <si>
    <t xml:space="preserve">         81.81亿</t>
  </si>
  <si>
    <t>上港集团</t>
  </si>
  <si>
    <t xml:space="preserve">       1098.75亿</t>
  </si>
  <si>
    <t>宝钢股份</t>
  </si>
  <si>
    <t xml:space="preserve">       1454.13亿</t>
  </si>
  <si>
    <t>中原高速</t>
  </si>
  <si>
    <t xml:space="preserve">         71.24亿</t>
  </si>
  <si>
    <t>上海电力</t>
  </si>
  <si>
    <t xml:space="preserve">        230.31亿</t>
  </si>
  <si>
    <t>山东钢铁</t>
  </si>
  <si>
    <t xml:space="preserve">        186.09亿</t>
  </si>
  <si>
    <t>浙能电力</t>
  </si>
  <si>
    <t xml:space="preserve">        503.23亿</t>
  </si>
  <si>
    <t>华能水电</t>
  </si>
  <si>
    <t xml:space="preserve">       1105.20亿</t>
  </si>
  <si>
    <t>中远海能</t>
  </si>
  <si>
    <t xml:space="preserve">        195.87亿</t>
  </si>
  <si>
    <t>华电国际</t>
  </si>
  <si>
    <t xml:space="preserve">        289.42亿</t>
  </si>
  <si>
    <t>中国石化</t>
  </si>
  <si>
    <t xml:space="preserve">       3994.31亿</t>
  </si>
  <si>
    <t>南方航空</t>
  </si>
  <si>
    <t xml:space="preserve">        852.91亿</t>
  </si>
  <si>
    <t>中信证券</t>
  </si>
  <si>
    <t xml:space="preserve">       2587.57亿</t>
  </si>
  <si>
    <t>三一重工</t>
  </si>
  <si>
    <t xml:space="preserve">       1859.80亿</t>
  </si>
  <si>
    <t>浙江新能</t>
  </si>
  <si>
    <t xml:space="preserve">        348.82亿</t>
  </si>
  <si>
    <t>福建高速</t>
  </si>
  <si>
    <t xml:space="preserve">         73.28亿</t>
  </si>
  <si>
    <t>楚天高速</t>
  </si>
  <si>
    <t xml:space="preserve">         47.66亿</t>
  </si>
  <si>
    <t>招商银行</t>
  </si>
  <si>
    <t xml:space="preserve">      10795.13亿</t>
  </si>
  <si>
    <t>歌华有线</t>
  </si>
  <si>
    <t xml:space="preserve">        109.95亿</t>
  </si>
  <si>
    <t>中直股份</t>
  </si>
  <si>
    <t xml:space="preserve">        437.98亿</t>
  </si>
  <si>
    <t>四川路桥</t>
  </si>
  <si>
    <t xml:space="preserve">        515.27亿</t>
  </si>
  <si>
    <t>保利发展</t>
  </si>
  <si>
    <t xml:space="preserve">       1797.91亿</t>
  </si>
  <si>
    <t>中国联通</t>
  </si>
  <si>
    <t xml:space="preserve">       1230.36亿</t>
  </si>
  <si>
    <t>宁波联合</t>
  </si>
  <si>
    <t xml:space="preserve">         20.33亿</t>
  </si>
  <si>
    <t>浙江广厦</t>
  </si>
  <si>
    <t xml:space="preserve">         35.37亿</t>
  </si>
  <si>
    <t>九鼎投资</t>
  </si>
  <si>
    <t xml:space="preserve">         73.27亿</t>
  </si>
  <si>
    <t>黄山旅游</t>
  </si>
  <si>
    <t xml:space="preserve">         69.29亿</t>
  </si>
  <si>
    <t>万东医疗</t>
  </si>
  <si>
    <t xml:space="preserve">        121.74亿</t>
  </si>
  <si>
    <t>中国医药</t>
  </si>
  <si>
    <t xml:space="preserve">        117.96亿</t>
  </si>
  <si>
    <t>厦门象屿</t>
  </si>
  <si>
    <t xml:space="preserve">        181.87亿</t>
  </si>
  <si>
    <t>五矿发展</t>
  </si>
  <si>
    <t xml:space="preserve">         91.33亿</t>
  </si>
  <si>
    <t>古越龙山</t>
  </si>
  <si>
    <t>海信视像</t>
  </si>
  <si>
    <t xml:space="preserve">        181.88亿</t>
  </si>
  <si>
    <t>国投资本</t>
  </si>
  <si>
    <t xml:space="preserve">        530.73亿</t>
  </si>
  <si>
    <t>华润双鹤</t>
  </si>
  <si>
    <t xml:space="preserve">        123.31亿</t>
  </si>
  <si>
    <t>皖维高新</t>
  </si>
  <si>
    <t xml:space="preserve">        124.03亿</t>
  </si>
  <si>
    <t>南京高科</t>
  </si>
  <si>
    <t xml:space="preserve">        114.57亿</t>
  </si>
  <si>
    <t>宇通客车</t>
  </si>
  <si>
    <t xml:space="preserve">        252.54亿</t>
  </si>
  <si>
    <t>冠城大通</t>
  </si>
  <si>
    <t xml:space="preserve">         57.74亿</t>
  </si>
  <si>
    <t>浙江富润</t>
  </si>
  <si>
    <t xml:space="preserve">         37.58亿</t>
  </si>
  <si>
    <t>凤凰光学</t>
  </si>
  <si>
    <t xml:space="preserve">        149.80亿</t>
  </si>
  <si>
    <t>中船科技</t>
  </si>
  <si>
    <t xml:space="preserve">        106.76亿</t>
  </si>
  <si>
    <t>上海梅林</t>
  </si>
  <si>
    <t xml:space="preserve">         74.74亿</t>
  </si>
  <si>
    <t>新疆天业</t>
  </si>
  <si>
    <t xml:space="preserve">        133.10亿</t>
  </si>
  <si>
    <t>康欣新材</t>
  </si>
  <si>
    <t xml:space="preserve">         48.27亿</t>
  </si>
  <si>
    <t>宋都股份</t>
  </si>
  <si>
    <t xml:space="preserve">         30.69亿</t>
  </si>
  <si>
    <t>*ST澄星</t>
  </si>
  <si>
    <t>人福医药</t>
  </si>
  <si>
    <t xml:space="preserve">        355.36亿</t>
  </si>
  <si>
    <t>金花股份</t>
  </si>
  <si>
    <t xml:space="preserve">         25.31亿</t>
  </si>
  <si>
    <t>东风科技</t>
  </si>
  <si>
    <t xml:space="preserve">         62.94亿</t>
  </si>
  <si>
    <t>海泰发展</t>
  </si>
  <si>
    <t xml:space="preserve">         18.61亿</t>
  </si>
  <si>
    <t>*ST博信</t>
  </si>
  <si>
    <t xml:space="preserve">         12.40亿</t>
  </si>
  <si>
    <t>*ST中葡</t>
  </si>
  <si>
    <t>同仁堂</t>
  </si>
  <si>
    <t xml:space="preserve">        459.17亿</t>
  </si>
  <si>
    <t>中视传媒</t>
  </si>
  <si>
    <t xml:space="preserve">         39.69亿</t>
  </si>
  <si>
    <t>特变电工</t>
  </si>
  <si>
    <t xml:space="preserve">        876.86亿</t>
  </si>
  <si>
    <t>*ST济堂</t>
  </si>
  <si>
    <t>*ST明科</t>
  </si>
  <si>
    <t xml:space="preserve">         14.43亿</t>
  </si>
  <si>
    <t>*ST易见</t>
  </si>
  <si>
    <t xml:space="preserve">         30.08亿</t>
  </si>
  <si>
    <t>大名城</t>
  </si>
  <si>
    <t xml:space="preserve">         89.85亿</t>
  </si>
  <si>
    <t>湘财股份</t>
  </si>
  <si>
    <t xml:space="preserve">        285.78亿</t>
  </si>
  <si>
    <t>云天化</t>
  </si>
  <si>
    <t xml:space="preserve">        418.93亿</t>
  </si>
  <si>
    <t>开创国际</t>
  </si>
  <si>
    <t xml:space="preserve">         24.84亿</t>
  </si>
  <si>
    <t>广州发展</t>
  </si>
  <si>
    <t xml:space="preserve">        184.84亿</t>
  </si>
  <si>
    <t>林海股份</t>
  </si>
  <si>
    <t xml:space="preserve">         16.78亿</t>
  </si>
  <si>
    <t>同方股份</t>
  </si>
  <si>
    <t xml:space="preserve">        188.62亿</t>
  </si>
  <si>
    <t>明星电力</t>
  </si>
  <si>
    <t xml:space="preserve">         28.28亿</t>
  </si>
  <si>
    <t>青山纸业</t>
  </si>
  <si>
    <t xml:space="preserve">         63.18亿</t>
  </si>
  <si>
    <t>上汽集团</t>
  </si>
  <si>
    <t xml:space="preserve">       2416.14亿</t>
  </si>
  <si>
    <t>永鼎股份</t>
  </si>
  <si>
    <t>重庆路桥</t>
  </si>
  <si>
    <t xml:space="preserve">         34.29亿</t>
  </si>
  <si>
    <t>美尔雅</t>
  </si>
  <si>
    <t>亚盛集团</t>
  </si>
  <si>
    <t>国金证券</t>
  </si>
  <si>
    <t xml:space="preserve">        323.61亿</t>
  </si>
  <si>
    <t>诺德股份</t>
  </si>
  <si>
    <t xml:space="preserve">        270.79亿</t>
  </si>
  <si>
    <t>北方稀土</t>
  </si>
  <si>
    <t xml:space="preserve">       1725.34亿</t>
  </si>
  <si>
    <t>*ST天成</t>
  </si>
  <si>
    <t xml:space="preserve">         21.18亿</t>
  </si>
  <si>
    <t>浙江东日</t>
  </si>
  <si>
    <t xml:space="preserve">         25.84亿</t>
  </si>
  <si>
    <t>东睦股份</t>
  </si>
  <si>
    <t xml:space="preserve">         73.23亿</t>
  </si>
  <si>
    <t>中国东航</t>
  </si>
  <si>
    <t xml:space="preserve">        661.60亿</t>
  </si>
  <si>
    <t>三峡水利</t>
  </si>
  <si>
    <t xml:space="preserve">        193.70亿</t>
  </si>
  <si>
    <t>西宁特钢</t>
  </si>
  <si>
    <t xml:space="preserve">         41.07亿</t>
  </si>
  <si>
    <t>中国卫星</t>
  </si>
  <si>
    <t xml:space="preserve">        313.71亿</t>
  </si>
  <si>
    <t>长江投资</t>
  </si>
  <si>
    <t xml:space="preserve">         26.08亿</t>
  </si>
  <si>
    <t>浙江东方</t>
  </si>
  <si>
    <t xml:space="preserve">        125.41亿</t>
  </si>
  <si>
    <t>郑州煤电</t>
  </si>
  <si>
    <t xml:space="preserve">         59.46亿</t>
  </si>
  <si>
    <t>ST宏图</t>
  </si>
  <si>
    <t xml:space="preserve">         18.30亿</t>
  </si>
  <si>
    <t>兰花科创</t>
  </si>
  <si>
    <t xml:space="preserve">        107.16亿</t>
  </si>
  <si>
    <t>铁龙物流</t>
  </si>
  <si>
    <t xml:space="preserve">         63.71亿</t>
  </si>
  <si>
    <t>杭钢股份</t>
  </si>
  <si>
    <t xml:space="preserve">        171.22亿</t>
  </si>
  <si>
    <t>金健米业</t>
  </si>
  <si>
    <t xml:space="preserve">         54.68亿</t>
  </si>
  <si>
    <t>弘业股份</t>
  </si>
  <si>
    <t xml:space="preserve">         16.29亿</t>
  </si>
  <si>
    <t>太极集团</t>
  </si>
  <si>
    <t xml:space="preserve">         86.87亿</t>
  </si>
  <si>
    <t>波导股份</t>
  </si>
  <si>
    <t>国网信通</t>
  </si>
  <si>
    <t xml:space="preserve">        211.82亿</t>
  </si>
  <si>
    <t>重庆啤酒</t>
  </si>
  <si>
    <t xml:space="preserve">        793.71亿</t>
  </si>
  <si>
    <t>东湖高新</t>
  </si>
  <si>
    <t xml:space="preserve">         41.92亿</t>
  </si>
  <si>
    <t>乐凯胶片</t>
  </si>
  <si>
    <t>当代文体</t>
  </si>
  <si>
    <t xml:space="preserve">         38.94亿</t>
  </si>
  <si>
    <t>浪莎股份</t>
  </si>
  <si>
    <t xml:space="preserve">         14.86亿</t>
  </si>
  <si>
    <t>中青旅</t>
  </si>
  <si>
    <t xml:space="preserve">         74.56亿</t>
  </si>
  <si>
    <t>ST西源</t>
  </si>
  <si>
    <t xml:space="preserve">         14.63亿</t>
  </si>
  <si>
    <t>兴发集团</t>
  </si>
  <si>
    <t xml:space="preserve">        445.13亿</t>
  </si>
  <si>
    <t>金发科技</t>
  </si>
  <si>
    <t xml:space="preserve">        337.66亿</t>
  </si>
  <si>
    <t>*ST新亿</t>
  </si>
  <si>
    <t xml:space="preserve">         21.92亿</t>
  </si>
  <si>
    <t>*ST环球</t>
  </si>
  <si>
    <t xml:space="preserve">         11.28亿</t>
  </si>
  <si>
    <t>长春一东</t>
  </si>
  <si>
    <t xml:space="preserve">         18.52亿</t>
  </si>
  <si>
    <t>廊坊发展</t>
  </si>
  <si>
    <t>中国船舶</t>
  </si>
  <si>
    <t xml:space="preserve">       1023.29亿</t>
  </si>
  <si>
    <t>航天机电</t>
  </si>
  <si>
    <t xml:space="preserve">        180.14亿</t>
  </si>
  <si>
    <t>维科技术</t>
  </si>
  <si>
    <t xml:space="preserve">         42.04亿</t>
  </si>
  <si>
    <t>建发股份</t>
  </si>
  <si>
    <t xml:space="preserve">        240.24亿</t>
  </si>
  <si>
    <t>华创阳安</t>
  </si>
  <si>
    <t xml:space="preserve">        163.87亿</t>
  </si>
  <si>
    <t>华升股份</t>
  </si>
  <si>
    <t>永泰能源</t>
  </si>
  <si>
    <t xml:space="preserve">        402.14亿</t>
  </si>
  <si>
    <t>中体产业</t>
  </si>
  <si>
    <t>大龙地产</t>
  </si>
  <si>
    <t xml:space="preserve">         19.75亿</t>
  </si>
  <si>
    <t>巨化股份</t>
  </si>
  <si>
    <t xml:space="preserve">        338.82亿</t>
  </si>
  <si>
    <t>天坛生物</t>
  </si>
  <si>
    <t xml:space="preserve">        417.72亿</t>
  </si>
  <si>
    <t>香江控股</t>
  </si>
  <si>
    <t>中闽能源</t>
  </si>
  <si>
    <t xml:space="preserve">        166.32亿</t>
  </si>
  <si>
    <t>新日恒力</t>
  </si>
  <si>
    <t xml:space="preserve">         63.08亿</t>
  </si>
  <si>
    <t>福田汽车</t>
  </si>
  <si>
    <t xml:space="preserve">        236.05亿</t>
  </si>
  <si>
    <t>联美控股</t>
  </si>
  <si>
    <t>武汉控股</t>
  </si>
  <si>
    <t xml:space="preserve">         45.55亿</t>
  </si>
  <si>
    <t>太原重工</t>
  </si>
  <si>
    <t xml:space="preserve">         97.66亿</t>
  </si>
  <si>
    <t>上海建工</t>
  </si>
  <si>
    <t xml:space="preserve">        275.15亿</t>
  </si>
  <si>
    <t>上海贝岭</t>
  </si>
  <si>
    <t xml:space="preserve">        197.95亿</t>
  </si>
  <si>
    <t>黄河旋风</t>
  </si>
  <si>
    <t xml:space="preserve">        162.10亿</t>
  </si>
  <si>
    <t>卧龙地产</t>
  </si>
  <si>
    <t xml:space="preserve">         39.16亿</t>
  </si>
  <si>
    <t>中国巨石</t>
  </si>
  <si>
    <t xml:space="preserve">        692.54亿</t>
  </si>
  <si>
    <t>雅戈尔</t>
  </si>
  <si>
    <t xml:space="preserve">        307.37亿</t>
  </si>
  <si>
    <t>东安动力</t>
  </si>
  <si>
    <t xml:space="preserve">         37.89亿</t>
  </si>
  <si>
    <t>安通控股</t>
  </si>
  <si>
    <t xml:space="preserve">        167.59亿</t>
  </si>
  <si>
    <t>瑞茂通</t>
  </si>
  <si>
    <t xml:space="preserve">         64.65亿</t>
  </si>
  <si>
    <t>SST佳通</t>
  </si>
  <si>
    <t>生益科技</t>
  </si>
  <si>
    <t xml:space="preserve">        572.40亿</t>
  </si>
  <si>
    <t>光电股份</t>
  </si>
  <si>
    <t xml:space="preserve">         62.73亿</t>
  </si>
  <si>
    <t>格力地产</t>
  </si>
  <si>
    <t xml:space="preserve">        120.57亿</t>
  </si>
  <si>
    <t>莲花健康</t>
  </si>
  <si>
    <t xml:space="preserve">         52.20亿</t>
  </si>
  <si>
    <t>国中水务</t>
  </si>
  <si>
    <t xml:space="preserve">         39.20亿</t>
  </si>
  <si>
    <t>兖州煤业</t>
  </si>
  <si>
    <t xml:space="preserve">        676.92亿</t>
  </si>
  <si>
    <t>泉阳泉</t>
  </si>
  <si>
    <t xml:space="preserve">         55.36亿</t>
  </si>
  <si>
    <t>锦州港</t>
  </si>
  <si>
    <t xml:space="preserve">         54.46亿</t>
  </si>
  <si>
    <t>*ST华资</t>
  </si>
  <si>
    <t xml:space="preserve">         19.40亿</t>
  </si>
  <si>
    <t>长城电工</t>
  </si>
  <si>
    <t>创兴资源</t>
  </si>
  <si>
    <t xml:space="preserve">         34.41亿</t>
  </si>
  <si>
    <t>中牧股份</t>
  </si>
  <si>
    <t xml:space="preserve">        117.51亿</t>
  </si>
  <si>
    <t>复星医药</t>
  </si>
  <si>
    <t xml:space="preserve">       1088.93亿</t>
  </si>
  <si>
    <t>伊力特</t>
  </si>
  <si>
    <t xml:space="preserve">        119.73亿</t>
  </si>
  <si>
    <t>*ST大唐</t>
  </si>
  <si>
    <t xml:space="preserve">         76.13亿</t>
  </si>
  <si>
    <t>金种子酒</t>
  </si>
  <si>
    <t xml:space="preserve">        109.52亿</t>
  </si>
  <si>
    <t>江苏吴中</t>
  </si>
  <si>
    <t xml:space="preserve">         50.51亿</t>
  </si>
  <si>
    <t>生物股份</t>
  </si>
  <si>
    <t xml:space="preserve">        185.04亿</t>
  </si>
  <si>
    <t>哈空调</t>
  </si>
  <si>
    <t>福日电子</t>
  </si>
  <si>
    <t xml:space="preserve">         46.19亿</t>
  </si>
  <si>
    <t>有研新材</t>
  </si>
  <si>
    <t xml:space="preserve">        121.91亿</t>
  </si>
  <si>
    <t>安彩高科</t>
  </si>
  <si>
    <t xml:space="preserve">         63.34亿</t>
  </si>
  <si>
    <t>新湖中宝</t>
  </si>
  <si>
    <t xml:space="preserve">        251.96亿</t>
  </si>
  <si>
    <t>*ST罗顿</t>
  </si>
  <si>
    <t>紫江企业</t>
  </si>
  <si>
    <t xml:space="preserve">        148.94亿</t>
  </si>
  <si>
    <t>西藏药业</t>
  </si>
  <si>
    <t xml:space="preserve">        120.05亿</t>
  </si>
  <si>
    <t>江泉实业</t>
  </si>
  <si>
    <t>亚星客车</t>
  </si>
  <si>
    <t>长春经开</t>
  </si>
  <si>
    <t xml:space="preserve">         50.22亿</t>
  </si>
  <si>
    <t>浙江医药</t>
  </si>
  <si>
    <t xml:space="preserve">        162.43亿</t>
  </si>
  <si>
    <t>中再资环</t>
  </si>
  <si>
    <t xml:space="preserve">         72.63亿</t>
  </si>
  <si>
    <t>全柴动力</t>
  </si>
  <si>
    <t>南山铝业</t>
  </si>
  <si>
    <t xml:space="preserve">        504.31亿</t>
  </si>
  <si>
    <t>江苏阳光</t>
  </si>
  <si>
    <t>*ST海航</t>
  </si>
  <si>
    <t xml:space="preserve">        314.27亿</t>
  </si>
  <si>
    <t>太龙药业</t>
  </si>
  <si>
    <t>鲁商发展</t>
  </si>
  <si>
    <t>*ST松江</t>
  </si>
  <si>
    <t xml:space="preserve">         28.06亿</t>
  </si>
  <si>
    <t>ST瀚叶</t>
  </si>
  <si>
    <t xml:space="preserve">         71.97亿</t>
  </si>
  <si>
    <t>圣济堂</t>
  </si>
  <si>
    <t xml:space="preserve">         54.52亿</t>
  </si>
  <si>
    <t>返利科技</t>
  </si>
  <si>
    <t xml:space="preserve">         58.62亿</t>
  </si>
  <si>
    <t>城市传媒</t>
  </si>
  <si>
    <t xml:space="preserve">         46.34亿</t>
  </si>
  <si>
    <t>沧州大化</t>
  </si>
  <si>
    <t xml:space="preserve">         60.24亿</t>
  </si>
  <si>
    <t>凌钢股份</t>
  </si>
  <si>
    <t>金鹰股份</t>
  </si>
  <si>
    <t xml:space="preserve">         18.71亿</t>
  </si>
  <si>
    <t>圆通速递</t>
  </si>
  <si>
    <t xml:space="preserve">        537.80亿</t>
  </si>
  <si>
    <t>科新发展</t>
  </si>
  <si>
    <t xml:space="preserve">         24.81亿</t>
  </si>
  <si>
    <t>民丰特纸</t>
  </si>
  <si>
    <t>桂冠电力</t>
  </si>
  <si>
    <t xml:space="preserve">        437.47亿</t>
  </si>
  <si>
    <t>铜峰电子</t>
  </si>
  <si>
    <t>海南椰岛</t>
  </si>
  <si>
    <t xml:space="preserve">         84.26亿</t>
  </si>
  <si>
    <t>*ST云城</t>
  </si>
  <si>
    <t xml:space="preserve">         39.18亿</t>
  </si>
  <si>
    <t>ST时万</t>
  </si>
  <si>
    <t>ST中昌</t>
  </si>
  <si>
    <t xml:space="preserve">         10.41亿</t>
  </si>
  <si>
    <t>青海华鼎</t>
  </si>
  <si>
    <t xml:space="preserve">         22.38亿</t>
  </si>
  <si>
    <t>万通发展</t>
  </si>
  <si>
    <t xml:space="preserve">        225.12亿</t>
  </si>
  <si>
    <t>陕西建工</t>
  </si>
  <si>
    <t xml:space="preserve">        164.16亿</t>
  </si>
  <si>
    <t>两面针</t>
  </si>
  <si>
    <t xml:space="preserve">         26.62亿</t>
  </si>
  <si>
    <t>南纺股份</t>
  </si>
  <si>
    <t xml:space="preserve">         14.47亿</t>
  </si>
  <si>
    <t>冠农股份</t>
  </si>
  <si>
    <t xml:space="preserve">         67.29亿</t>
  </si>
  <si>
    <t>中恒集团</t>
  </si>
  <si>
    <t xml:space="preserve">        107.03亿</t>
  </si>
  <si>
    <t>鑫科材料</t>
  </si>
  <si>
    <t>广汇能源</t>
  </si>
  <si>
    <t xml:space="preserve">        421.52亿</t>
  </si>
  <si>
    <t>大湖股份</t>
  </si>
  <si>
    <t xml:space="preserve">         30.17亿</t>
  </si>
  <si>
    <t>首旅酒店</t>
  </si>
  <si>
    <t xml:space="preserve">        249.32亿</t>
  </si>
  <si>
    <t>广晟有色</t>
  </si>
  <si>
    <t xml:space="preserve">        141.55亿</t>
  </si>
  <si>
    <t>ST凯乐</t>
  </si>
  <si>
    <t>阳光照明</t>
  </si>
  <si>
    <t xml:space="preserve">         54.89亿</t>
  </si>
  <si>
    <t>北方股份</t>
  </si>
  <si>
    <t xml:space="preserve">         27.40亿</t>
  </si>
  <si>
    <t>*ST景谷</t>
  </si>
  <si>
    <t xml:space="preserve">         25.13亿</t>
  </si>
  <si>
    <t>城建发展</t>
  </si>
  <si>
    <t xml:space="preserve">         98.61亿</t>
  </si>
  <si>
    <t>海正药业</t>
  </si>
  <si>
    <t xml:space="preserve">        151.44亿</t>
  </si>
  <si>
    <t>国电南自</t>
  </si>
  <si>
    <t>赣粤高速</t>
  </si>
  <si>
    <t xml:space="preserve">         77.30亿</t>
  </si>
  <si>
    <t>航天信息</t>
  </si>
  <si>
    <t xml:space="preserve">        230.87亿</t>
  </si>
  <si>
    <t>开开实业</t>
  </si>
  <si>
    <t xml:space="preserve">         16.55亿</t>
  </si>
  <si>
    <t>嘉化能源</t>
  </si>
  <si>
    <t xml:space="preserve">        147.68亿</t>
  </si>
  <si>
    <t>*ST昌鱼</t>
  </si>
  <si>
    <t xml:space="preserve">         14.71亿</t>
  </si>
  <si>
    <t>恒瑞医药</t>
  </si>
  <si>
    <t xml:space="preserve">       3326.05亿</t>
  </si>
  <si>
    <t>亿利洁能</t>
  </si>
  <si>
    <t xml:space="preserve">        169.49亿</t>
  </si>
  <si>
    <t>东方创业</t>
  </si>
  <si>
    <t xml:space="preserve">         65.92亿</t>
  </si>
  <si>
    <t>重庆港</t>
  </si>
  <si>
    <t>中央商场</t>
  </si>
  <si>
    <t xml:space="preserve">         33.69亿</t>
  </si>
  <si>
    <t>华阳新材</t>
  </si>
  <si>
    <t>南钢股份</t>
  </si>
  <si>
    <t xml:space="preserve">        221.71亿</t>
  </si>
  <si>
    <t>钱江水利</t>
  </si>
  <si>
    <t>浦东建设</t>
  </si>
  <si>
    <t xml:space="preserve">         56.76亿</t>
  </si>
  <si>
    <t>羚锐制药</t>
  </si>
  <si>
    <t xml:space="preserve">         67.90亿</t>
  </si>
  <si>
    <t>江苏舜天</t>
  </si>
  <si>
    <t xml:space="preserve">         18.44亿</t>
  </si>
  <si>
    <t>大恒科技</t>
  </si>
  <si>
    <t>ST信通</t>
  </si>
  <si>
    <t>ST华仪</t>
  </si>
  <si>
    <t>*ST西水</t>
  </si>
  <si>
    <t xml:space="preserve">         80.34亿</t>
  </si>
  <si>
    <t>远达环保</t>
  </si>
  <si>
    <t xml:space="preserve">         60.67亿</t>
  </si>
  <si>
    <t>三峡新材</t>
  </si>
  <si>
    <t xml:space="preserve">         39.91亿</t>
  </si>
  <si>
    <t>鄂尔多斯</t>
  </si>
  <si>
    <t xml:space="preserve">        385.26亿</t>
  </si>
  <si>
    <t>广汇汽车</t>
  </si>
  <si>
    <t xml:space="preserve">        210.08亿</t>
  </si>
  <si>
    <t>安琪酵母</t>
  </si>
  <si>
    <t xml:space="preserve">        440.42亿</t>
  </si>
  <si>
    <t>安迪苏</t>
  </si>
  <si>
    <t xml:space="preserve">        340.33亿</t>
  </si>
  <si>
    <t>ST维维</t>
  </si>
  <si>
    <t xml:space="preserve">         61.20亿</t>
  </si>
  <si>
    <t>*ST南化</t>
  </si>
  <si>
    <t xml:space="preserve">         26.76亿</t>
  </si>
  <si>
    <t>标准股份</t>
  </si>
  <si>
    <t xml:space="preserve">         14.91亿</t>
  </si>
  <si>
    <t>曙光股份</t>
  </si>
  <si>
    <t xml:space="preserve">         26.96亿</t>
  </si>
  <si>
    <t>恒顺醋业</t>
  </si>
  <si>
    <t xml:space="preserve">        163.68亿</t>
  </si>
  <si>
    <t>*ST商城</t>
  </si>
  <si>
    <t xml:space="preserve">         30.64亿</t>
  </si>
  <si>
    <t>酒钢宏兴</t>
  </si>
  <si>
    <t xml:space="preserve">        132.16亿</t>
  </si>
  <si>
    <t>华泰股份</t>
  </si>
  <si>
    <t xml:space="preserve">         69.24亿</t>
  </si>
  <si>
    <t>万华化学</t>
  </si>
  <si>
    <t xml:space="preserve">       3147.28亿</t>
  </si>
  <si>
    <t>桂东电力</t>
  </si>
  <si>
    <t>ST荣华</t>
  </si>
  <si>
    <t xml:space="preserve">         13.51亿</t>
  </si>
  <si>
    <t>平高电气</t>
  </si>
  <si>
    <t xml:space="preserve">        113.98亿</t>
  </si>
  <si>
    <t>农发种业</t>
  </si>
  <si>
    <t xml:space="preserve">         56.82亿</t>
  </si>
  <si>
    <t>上海家化</t>
  </si>
  <si>
    <t xml:space="preserve">        285.11亿</t>
  </si>
  <si>
    <t>洪都航空</t>
  </si>
  <si>
    <t xml:space="preserve">        299.47亿</t>
  </si>
  <si>
    <t>新力金融</t>
  </si>
  <si>
    <t xml:space="preserve">         46.91亿</t>
  </si>
  <si>
    <t>*ST亚星</t>
  </si>
  <si>
    <t xml:space="preserve">         17.64亿</t>
  </si>
  <si>
    <t>振华重工</t>
  </si>
  <si>
    <t xml:space="preserve">        199.14亿</t>
  </si>
  <si>
    <t>正源股份</t>
  </si>
  <si>
    <t xml:space="preserve">         29.30亿</t>
  </si>
  <si>
    <t>天房发展</t>
  </si>
  <si>
    <t>瀚蓝环境</t>
  </si>
  <si>
    <t xml:space="preserve">        175.95亿</t>
  </si>
  <si>
    <t>华发股份</t>
  </si>
  <si>
    <t xml:space="preserve">        113.69亿</t>
  </si>
  <si>
    <t>西藏天路</t>
  </si>
  <si>
    <t xml:space="preserve">         58.33亿</t>
  </si>
  <si>
    <t>大东方</t>
  </si>
  <si>
    <t xml:space="preserve">         54.24亿</t>
  </si>
  <si>
    <t>中盐化工</t>
  </si>
  <si>
    <t xml:space="preserve">        164.72亿</t>
  </si>
  <si>
    <t>中新药业</t>
  </si>
  <si>
    <t xml:space="preserve">        182.15亿</t>
  </si>
  <si>
    <t>天通股份</t>
  </si>
  <si>
    <t xml:space="preserve">        163.94亿</t>
  </si>
  <si>
    <t>宏达股份</t>
  </si>
  <si>
    <t xml:space="preserve">         71.12亿</t>
  </si>
  <si>
    <t>白云山</t>
  </si>
  <si>
    <t xml:space="preserve">        410.94亿</t>
  </si>
  <si>
    <t>长春燃气</t>
  </si>
  <si>
    <t xml:space="preserve">         42.27亿</t>
  </si>
  <si>
    <t>国机汽车</t>
  </si>
  <si>
    <t>澳柯玛</t>
  </si>
  <si>
    <t xml:space="preserve">         73.52亿</t>
  </si>
  <si>
    <t>美克家居</t>
  </si>
  <si>
    <t xml:space="preserve">         54.87亿</t>
  </si>
  <si>
    <t>西藏珠峰</t>
  </si>
  <si>
    <t xml:space="preserve">        317.05亿</t>
  </si>
  <si>
    <t>中油工程</t>
  </si>
  <si>
    <t xml:space="preserve">        162.47亿</t>
  </si>
  <si>
    <t>华夏幸福</t>
  </si>
  <si>
    <t xml:space="preserve">        138.94亿</t>
  </si>
  <si>
    <t>航天动力</t>
  </si>
  <si>
    <t xml:space="preserve">         65.10亿</t>
  </si>
  <si>
    <t>长江通信</t>
  </si>
  <si>
    <t>恒力石化</t>
  </si>
  <si>
    <t xml:space="preserve">       1528.89亿</t>
  </si>
  <si>
    <t>华阳股份</t>
  </si>
  <si>
    <t xml:space="preserve">        247.47亿</t>
  </si>
  <si>
    <t>山东高速</t>
  </si>
  <si>
    <t xml:space="preserve">        248.74亿</t>
  </si>
  <si>
    <t>亚宝药业</t>
  </si>
  <si>
    <t xml:space="preserve">         48.36亿</t>
  </si>
  <si>
    <t>浙江龙盛</t>
  </si>
  <si>
    <t xml:space="preserve">        421.31亿</t>
  </si>
  <si>
    <t>旭光电子</t>
  </si>
  <si>
    <t xml:space="preserve">         30.39亿</t>
  </si>
  <si>
    <t>敦煌种业</t>
  </si>
  <si>
    <t xml:space="preserve">         33.52亿</t>
  </si>
  <si>
    <t>精伦电子</t>
  </si>
  <si>
    <t xml:space="preserve">         15.55亿</t>
  </si>
  <si>
    <t>恒丰纸业</t>
  </si>
  <si>
    <t>国旅联合</t>
  </si>
  <si>
    <t xml:space="preserve">         21.11亿</t>
  </si>
  <si>
    <t>新农开发</t>
  </si>
  <si>
    <t>华微电子</t>
  </si>
  <si>
    <t xml:space="preserve">         95.74亿</t>
  </si>
  <si>
    <t>华联综超</t>
  </si>
  <si>
    <t xml:space="preserve">         35.95亿</t>
  </si>
  <si>
    <t>江西铜业</t>
  </si>
  <si>
    <t xml:space="preserve">        487.68亿</t>
  </si>
  <si>
    <t>联创光电</t>
  </si>
  <si>
    <t xml:space="preserve">        140.79亿</t>
  </si>
  <si>
    <t>ST通葡</t>
  </si>
  <si>
    <t xml:space="preserve">         14.92亿</t>
  </si>
  <si>
    <t>宁波韵升</t>
  </si>
  <si>
    <t xml:space="preserve">        120.97亿</t>
  </si>
  <si>
    <t>红星发展</t>
  </si>
  <si>
    <t xml:space="preserve">         45.84亿</t>
  </si>
  <si>
    <t>五洲交通</t>
  </si>
  <si>
    <t>西南证券</t>
  </si>
  <si>
    <t xml:space="preserve">        321.62亿</t>
  </si>
  <si>
    <t>三房巷</t>
  </si>
  <si>
    <t xml:space="preserve">        118.06亿</t>
  </si>
  <si>
    <t>万向德农</t>
  </si>
  <si>
    <t xml:space="preserve">         33.59亿</t>
  </si>
  <si>
    <t>中航电子</t>
  </si>
  <si>
    <t xml:space="preserve">        368.48亿</t>
  </si>
  <si>
    <t>中文传媒</t>
  </si>
  <si>
    <t xml:space="preserve">        151.50亿</t>
  </si>
  <si>
    <t>汉马科技</t>
  </si>
  <si>
    <t xml:space="preserve">         67.26亿</t>
  </si>
  <si>
    <t>首开股份</t>
  </si>
  <si>
    <t xml:space="preserve">        122.79亿</t>
  </si>
  <si>
    <t>宁沪高速</t>
  </si>
  <si>
    <t xml:space="preserve">        324.34亿</t>
  </si>
  <si>
    <t>昊华科技</t>
  </si>
  <si>
    <t xml:space="preserve">        319.16亿</t>
  </si>
  <si>
    <t>宝光股份</t>
  </si>
  <si>
    <t xml:space="preserve">         48.01亿</t>
  </si>
  <si>
    <t>健康元</t>
  </si>
  <si>
    <t xml:space="preserve">        225.40亿</t>
  </si>
  <si>
    <t>青海春天</t>
  </si>
  <si>
    <t xml:space="preserve">         37.28亿</t>
  </si>
  <si>
    <t>*ST广珠</t>
  </si>
  <si>
    <t xml:space="preserve">         40.16亿</t>
  </si>
  <si>
    <t>金地集团</t>
  </si>
  <si>
    <t xml:space="preserve">        497.51亿</t>
  </si>
  <si>
    <t>*ST金泰</t>
  </si>
  <si>
    <t xml:space="preserve">          9.36亿</t>
  </si>
  <si>
    <t>北巴传媒</t>
  </si>
  <si>
    <t xml:space="preserve">         33.30亿</t>
  </si>
  <si>
    <t>ST海越</t>
  </si>
  <si>
    <t>龙净环保</t>
  </si>
  <si>
    <t xml:space="preserve">         88.73亿</t>
  </si>
  <si>
    <t>江山股份</t>
  </si>
  <si>
    <t xml:space="preserve">        124.44亿</t>
  </si>
  <si>
    <t>五矿资本</t>
  </si>
  <si>
    <t xml:space="preserve">        233.00亿</t>
  </si>
  <si>
    <t>航发科技</t>
  </si>
  <si>
    <t xml:space="preserve">         72.86亿</t>
  </si>
  <si>
    <t>盛和资源</t>
  </si>
  <si>
    <t xml:space="preserve">        349.10亿</t>
  </si>
  <si>
    <t>ST粤泰</t>
  </si>
  <si>
    <t>盘江股份</t>
  </si>
  <si>
    <t xml:space="preserve">        119.00亿</t>
  </si>
  <si>
    <t>金山股份</t>
  </si>
  <si>
    <t xml:space="preserve">         35.49亿</t>
  </si>
  <si>
    <t>安源煤业</t>
  </si>
  <si>
    <t>海澜之家</t>
  </si>
  <si>
    <t xml:space="preserve">        276.89亿</t>
  </si>
  <si>
    <t>抚顺特钢</t>
  </si>
  <si>
    <t xml:space="preserve">        495.98亿</t>
  </si>
  <si>
    <t>红豆股份</t>
  </si>
  <si>
    <t xml:space="preserve">         84.78亿</t>
  </si>
  <si>
    <t>ST大有</t>
  </si>
  <si>
    <t xml:space="preserve">         94.20亿</t>
  </si>
  <si>
    <t>动力源</t>
  </si>
  <si>
    <t xml:space="preserve">         38.55亿</t>
  </si>
  <si>
    <t>国电南瑞</t>
  </si>
  <si>
    <t xml:space="preserve">       2224.83亿</t>
  </si>
  <si>
    <t>ST安泰</t>
  </si>
  <si>
    <t xml:space="preserve">         30.30亿</t>
  </si>
  <si>
    <t>三友化工</t>
  </si>
  <si>
    <t xml:space="preserve">        199.21亿</t>
  </si>
  <si>
    <t>华胜天成</t>
  </si>
  <si>
    <t xml:space="preserve">         74.49亿</t>
  </si>
  <si>
    <t>小商品城</t>
  </si>
  <si>
    <t xml:space="preserve">        254.84亿</t>
  </si>
  <si>
    <t>湘电股份</t>
  </si>
  <si>
    <t xml:space="preserve">        204.89亿</t>
  </si>
  <si>
    <t>江淮汽车</t>
  </si>
  <si>
    <t xml:space="preserve">        311.64亿</t>
  </si>
  <si>
    <t>天润乳业</t>
  </si>
  <si>
    <t>国药现代</t>
  </si>
  <si>
    <t xml:space="preserve">         96.84亿</t>
  </si>
  <si>
    <t>华嵘控股</t>
  </si>
  <si>
    <t xml:space="preserve">         16.23亿</t>
  </si>
  <si>
    <t>昆药集团</t>
  </si>
  <si>
    <t xml:space="preserve">         64.76亿</t>
  </si>
  <si>
    <t>柳化股份</t>
  </si>
  <si>
    <t xml:space="preserve">         31.31亿</t>
  </si>
  <si>
    <t>青松建化</t>
  </si>
  <si>
    <t xml:space="preserve">         50.19亿</t>
  </si>
  <si>
    <t>华鲁恒升</t>
  </si>
  <si>
    <t xml:space="preserve">        632.94亿</t>
  </si>
  <si>
    <t>中远海特</t>
  </si>
  <si>
    <t xml:space="preserve">        105.83亿</t>
  </si>
  <si>
    <t>三元股份</t>
  </si>
  <si>
    <t xml:space="preserve">         82.37亿</t>
  </si>
  <si>
    <t>冠豪高新</t>
  </si>
  <si>
    <t xml:space="preserve">         81.83亿</t>
  </si>
  <si>
    <t>北方导航</t>
  </si>
  <si>
    <t xml:space="preserve">        163.97亿</t>
  </si>
  <si>
    <t>片仔癀</t>
  </si>
  <si>
    <t xml:space="preserve">       2700.33亿</t>
  </si>
  <si>
    <t>通威股份</t>
  </si>
  <si>
    <t xml:space="preserve">       2202.61亿</t>
  </si>
  <si>
    <t>瑞贝卡</t>
  </si>
  <si>
    <t xml:space="preserve">         33.39亿</t>
  </si>
  <si>
    <t>国机通用</t>
  </si>
  <si>
    <t xml:space="preserve">         16.79亿</t>
  </si>
  <si>
    <t>金证股份</t>
  </si>
  <si>
    <t xml:space="preserve">        129.02亿</t>
  </si>
  <si>
    <t>华纺股份</t>
  </si>
  <si>
    <t xml:space="preserve">         20.03亿</t>
  </si>
  <si>
    <t>宁夏建材</t>
  </si>
  <si>
    <t xml:space="preserve">         52.41亿</t>
  </si>
  <si>
    <t>涪陵电力</t>
  </si>
  <si>
    <t xml:space="preserve">        149.61亿</t>
  </si>
  <si>
    <t>博通股份</t>
  </si>
  <si>
    <t xml:space="preserve">         13.42亿</t>
  </si>
  <si>
    <t>宝钛股份</t>
  </si>
  <si>
    <t xml:space="preserve">        309.31亿</t>
  </si>
  <si>
    <t>时代新材</t>
  </si>
  <si>
    <t xml:space="preserve">         89.03亿</t>
  </si>
  <si>
    <t>贵研铂业</t>
  </si>
  <si>
    <t xml:space="preserve">        146.69亿</t>
  </si>
  <si>
    <t>士兰微</t>
  </si>
  <si>
    <t xml:space="preserve">        878.25亿</t>
  </si>
  <si>
    <t>洪城环境</t>
  </si>
  <si>
    <t xml:space="preserve">         76.61亿</t>
  </si>
  <si>
    <t>ST九有</t>
  </si>
  <si>
    <t>空港股份</t>
  </si>
  <si>
    <t xml:space="preserve">         17.82亿</t>
  </si>
  <si>
    <t>蓝光发展</t>
  </si>
  <si>
    <t xml:space="preserve">         51.59亿</t>
  </si>
  <si>
    <t>好当家</t>
  </si>
  <si>
    <t>百利电气</t>
  </si>
  <si>
    <t xml:space="preserve">         64.51亿</t>
  </si>
  <si>
    <t>风神股份</t>
  </si>
  <si>
    <t xml:space="preserve">         31.80亿</t>
  </si>
  <si>
    <t>六国化工</t>
  </si>
  <si>
    <t xml:space="preserve">         38.13亿</t>
  </si>
  <si>
    <t>华光环能</t>
  </si>
  <si>
    <t xml:space="preserve">         83.08亿</t>
  </si>
  <si>
    <t>湘邮科技</t>
  </si>
  <si>
    <t xml:space="preserve">         17.86亿</t>
  </si>
  <si>
    <t>杭萧钢构</t>
  </si>
  <si>
    <t>科力远</t>
  </si>
  <si>
    <t xml:space="preserve">        117.05亿</t>
  </si>
  <si>
    <t>千金药业</t>
  </si>
  <si>
    <t xml:space="preserve">         36.24亿</t>
  </si>
  <si>
    <t>凌云股份</t>
  </si>
  <si>
    <t xml:space="preserve">         71.77亿</t>
  </si>
  <si>
    <t>双良节能</t>
  </si>
  <si>
    <t xml:space="preserve">        202.11亿</t>
  </si>
  <si>
    <t>中国动力</t>
  </si>
  <si>
    <t xml:space="preserve">        397.35亿</t>
  </si>
  <si>
    <t>福能股份</t>
  </si>
  <si>
    <t xml:space="preserve">        282.44亿</t>
  </si>
  <si>
    <t>扬农化工</t>
  </si>
  <si>
    <t xml:space="preserve">        386.07亿</t>
  </si>
  <si>
    <t>亨通光电</t>
  </si>
  <si>
    <t xml:space="preserve">        396.61亿</t>
  </si>
  <si>
    <t>天药股份</t>
  </si>
  <si>
    <t xml:space="preserve">         45.66亿</t>
  </si>
  <si>
    <t>中金黄金</t>
  </si>
  <si>
    <t xml:space="preserve">        410.57亿</t>
  </si>
  <si>
    <t>鹏欣资源</t>
  </si>
  <si>
    <t>龙元建设</t>
  </si>
  <si>
    <t xml:space="preserve">         94.39亿</t>
  </si>
  <si>
    <t>凤竹纺织</t>
  </si>
  <si>
    <t xml:space="preserve">         15.34亿</t>
  </si>
  <si>
    <t>晋西车轴</t>
  </si>
  <si>
    <t xml:space="preserve">         42.41亿</t>
  </si>
  <si>
    <t>精工钢构</t>
  </si>
  <si>
    <t xml:space="preserve">         78.50亿</t>
  </si>
  <si>
    <t>驰宏锌锗</t>
  </si>
  <si>
    <t xml:space="preserve">        251.00亿</t>
  </si>
  <si>
    <t>烽火通信</t>
  </si>
  <si>
    <t xml:space="preserve">        202.43亿</t>
  </si>
  <si>
    <t>科达制造</t>
  </si>
  <si>
    <t xml:space="preserve">        411.11亿</t>
  </si>
  <si>
    <t>中化国际</t>
  </si>
  <si>
    <t xml:space="preserve">        224.04亿</t>
  </si>
  <si>
    <t>航天晨光</t>
  </si>
  <si>
    <t xml:space="preserve">         41.96亿</t>
  </si>
  <si>
    <t>安徽建工</t>
  </si>
  <si>
    <t xml:space="preserve">         64.72亿</t>
  </si>
  <si>
    <t>华丽家族</t>
  </si>
  <si>
    <t xml:space="preserve">         50.15亿</t>
  </si>
  <si>
    <t>西昌电力</t>
  </si>
  <si>
    <t xml:space="preserve">         30.37亿</t>
  </si>
  <si>
    <t>*ST香梨</t>
  </si>
  <si>
    <t xml:space="preserve">         17.06亿</t>
  </si>
  <si>
    <t>方大特钢</t>
  </si>
  <si>
    <t xml:space="preserve">        154.58亿</t>
  </si>
  <si>
    <t>上海能源</t>
  </si>
  <si>
    <t xml:space="preserve">         75.23亿</t>
  </si>
  <si>
    <t>天富能源</t>
  </si>
  <si>
    <t xml:space="preserve">         77.14亿</t>
  </si>
  <si>
    <t>黑牡丹</t>
  </si>
  <si>
    <t xml:space="preserve">         84.61亿</t>
  </si>
  <si>
    <t>国药股份</t>
  </si>
  <si>
    <t xml:space="preserve">        232.46亿</t>
  </si>
  <si>
    <t>腾达建设</t>
  </si>
  <si>
    <t xml:space="preserve">         49.09亿</t>
  </si>
  <si>
    <t>联环药业</t>
  </si>
  <si>
    <t xml:space="preserve">         24.82亿</t>
  </si>
  <si>
    <t>*ST基础</t>
  </si>
  <si>
    <t xml:space="preserve">        323.16亿</t>
  </si>
  <si>
    <t>方大炭素</t>
  </si>
  <si>
    <t xml:space="preserve">        405.34亿</t>
  </si>
  <si>
    <t>国网英大</t>
  </si>
  <si>
    <t xml:space="preserve">        393.43亿</t>
  </si>
  <si>
    <t>*ST康美</t>
  </si>
  <si>
    <t xml:space="preserve">        210.39亿</t>
  </si>
  <si>
    <t>贵州茅台</t>
  </si>
  <si>
    <t xml:space="preserve">      22968.45亿</t>
  </si>
  <si>
    <t>文一科技</t>
  </si>
  <si>
    <t xml:space="preserve">         13.69亿</t>
  </si>
  <si>
    <t>华海药业</t>
  </si>
  <si>
    <t xml:space="preserve">        310.58亿</t>
  </si>
  <si>
    <t>中天科技</t>
  </si>
  <si>
    <t xml:space="preserve">        567.24亿</t>
  </si>
  <si>
    <t>贵航股份</t>
  </si>
  <si>
    <t xml:space="preserve">         84.99亿</t>
  </si>
  <si>
    <t>长园集团</t>
  </si>
  <si>
    <t xml:space="preserve">         85.66亿</t>
  </si>
  <si>
    <t>菲达环保</t>
  </si>
  <si>
    <t xml:space="preserve">         32.08亿</t>
  </si>
  <si>
    <t>江南高纤</t>
  </si>
  <si>
    <t xml:space="preserve">         37.75亿</t>
  </si>
  <si>
    <t>中铁工业</t>
  </si>
  <si>
    <t xml:space="preserve">        173.73亿</t>
  </si>
  <si>
    <t>山东药玻</t>
  </si>
  <si>
    <t xml:space="preserve">        241.56亿</t>
  </si>
  <si>
    <t>交大昂立</t>
  </si>
  <si>
    <t xml:space="preserve">         30.34亿</t>
  </si>
  <si>
    <t>豫光金铅</t>
  </si>
  <si>
    <t>未来股份</t>
  </si>
  <si>
    <t xml:space="preserve">         90.47亿</t>
  </si>
  <si>
    <t>栖霞建设</t>
  </si>
  <si>
    <t xml:space="preserve">         30.13亿</t>
  </si>
  <si>
    <t>天士力</t>
  </si>
  <si>
    <t xml:space="preserve">        200.73亿</t>
  </si>
  <si>
    <t>中国软件</t>
  </si>
  <si>
    <t xml:space="preserve">        258.21亿</t>
  </si>
  <si>
    <t>亿晶光电</t>
  </si>
  <si>
    <t>国发股份</t>
  </si>
  <si>
    <t>狮头股份</t>
  </si>
  <si>
    <t xml:space="preserve">         15.46亿</t>
  </si>
  <si>
    <t>新赛股份</t>
  </si>
  <si>
    <t>莫高股份</t>
  </si>
  <si>
    <t xml:space="preserve">         21.32亿</t>
  </si>
  <si>
    <t>卓郎智能</t>
  </si>
  <si>
    <t xml:space="preserve">         52.88亿</t>
  </si>
  <si>
    <t>山煤国际</t>
  </si>
  <si>
    <t xml:space="preserve">        160.98亿</t>
  </si>
  <si>
    <t>山东黄金</t>
  </si>
  <si>
    <t xml:space="preserve">        727.23亿</t>
  </si>
  <si>
    <t>深高速</t>
  </si>
  <si>
    <t xml:space="preserve">        144.76亿</t>
  </si>
  <si>
    <t>厦门钨业</t>
  </si>
  <si>
    <t xml:space="preserve">        324.83亿</t>
  </si>
  <si>
    <t>保变电气</t>
  </si>
  <si>
    <t xml:space="preserve">         93.18亿</t>
  </si>
  <si>
    <t>时代出版</t>
  </si>
  <si>
    <t xml:space="preserve">         36.47亿</t>
  </si>
  <si>
    <t>凯盛科技</t>
  </si>
  <si>
    <t xml:space="preserve">         80.36亿</t>
  </si>
  <si>
    <t>*ST海创</t>
  </si>
  <si>
    <t>天下秀</t>
  </si>
  <si>
    <t xml:space="preserve">        276.77亿</t>
  </si>
  <si>
    <t>康缘药业</t>
  </si>
  <si>
    <t xml:space="preserve">         60.36亿</t>
  </si>
  <si>
    <t>大西洋</t>
  </si>
  <si>
    <t>老白干酒</t>
  </si>
  <si>
    <t xml:space="preserve">        202.25亿</t>
  </si>
  <si>
    <t>金自天正</t>
  </si>
  <si>
    <t xml:space="preserve">         19.99亿</t>
  </si>
  <si>
    <t>江西长运</t>
  </si>
  <si>
    <t>国睿科技</t>
  </si>
  <si>
    <t xml:space="preserve">        206.40亿</t>
  </si>
  <si>
    <t>法拉电子</t>
  </si>
  <si>
    <t xml:space="preserve">        525.46亿</t>
  </si>
  <si>
    <t>迪马股份</t>
  </si>
  <si>
    <t xml:space="preserve">         60.96亿</t>
  </si>
  <si>
    <t>济川药业</t>
  </si>
  <si>
    <t xml:space="preserve">        164.59亿</t>
  </si>
  <si>
    <t>山鹰国际</t>
  </si>
  <si>
    <t xml:space="preserve">        149.10亿</t>
  </si>
  <si>
    <t>ST中珠</t>
  </si>
  <si>
    <t xml:space="preserve">         36.27亿</t>
  </si>
  <si>
    <t>安阳钢铁</t>
  </si>
  <si>
    <t xml:space="preserve">         77.56亿</t>
  </si>
  <si>
    <t>恒生电子</t>
  </si>
  <si>
    <t xml:space="preserve">        856.47亿</t>
  </si>
  <si>
    <t>信雅达</t>
  </si>
  <si>
    <t>康恩贝</t>
  </si>
  <si>
    <t xml:space="preserve">        106.40亿</t>
  </si>
  <si>
    <t>惠泉啤酒</t>
  </si>
  <si>
    <t xml:space="preserve">         22.33亿</t>
  </si>
  <si>
    <t>淮河能源</t>
  </si>
  <si>
    <t xml:space="preserve">         86.66亿</t>
  </si>
  <si>
    <t>祥源文化</t>
  </si>
  <si>
    <t xml:space="preserve">         31.71亿</t>
  </si>
  <si>
    <t>精达股份</t>
  </si>
  <si>
    <t xml:space="preserve">        181.24亿</t>
  </si>
  <si>
    <t>京能电力</t>
  </si>
  <si>
    <t xml:space="preserve">        188.31亿</t>
  </si>
  <si>
    <t>克劳斯</t>
  </si>
  <si>
    <t xml:space="preserve">         55.37亿</t>
  </si>
  <si>
    <t>卧龙电驱</t>
  </si>
  <si>
    <t xml:space="preserve">        222.41亿</t>
  </si>
  <si>
    <t>八一钢铁</t>
  </si>
  <si>
    <t xml:space="preserve">         94.12亿</t>
  </si>
  <si>
    <t>天地科技</t>
  </si>
  <si>
    <t>海油工程</t>
  </si>
  <si>
    <t xml:space="preserve">        194.54亿</t>
  </si>
  <si>
    <t>长电科技</t>
  </si>
  <si>
    <t xml:space="preserve">        563.76亿</t>
  </si>
  <si>
    <t>海螺水泥</t>
  </si>
  <si>
    <t xml:space="preserve">       1498.69亿</t>
  </si>
  <si>
    <t>金晶科技</t>
  </si>
  <si>
    <t xml:space="preserve">        133.73亿</t>
  </si>
  <si>
    <t>新华医疗</t>
  </si>
  <si>
    <t>用友网络</t>
  </si>
  <si>
    <t xml:space="preserve">       1017.79亿</t>
  </si>
  <si>
    <t>ST榕泰</t>
  </si>
  <si>
    <t>泰豪科技</t>
  </si>
  <si>
    <t xml:space="preserve">         69.34亿</t>
  </si>
  <si>
    <t>龙溪股份</t>
  </si>
  <si>
    <t xml:space="preserve">         36.40亿</t>
  </si>
  <si>
    <t>*ST圣亚</t>
  </si>
  <si>
    <t xml:space="preserve">         16.76亿</t>
  </si>
  <si>
    <t>益佰制药</t>
  </si>
  <si>
    <t xml:space="preserve">         49.02亿</t>
  </si>
  <si>
    <t>*ST中孚</t>
  </si>
  <si>
    <t xml:space="preserve">        151.01亿</t>
  </si>
  <si>
    <t>新安股份</t>
  </si>
  <si>
    <t xml:space="preserve">        214.99亿</t>
  </si>
  <si>
    <t>光明乳业</t>
  </si>
  <si>
    <t xml:space="preserve">        172.65亿</t>
  </si>
  <si>
    <t>北大荒</t>
  </si>
  <si>
    <t xml:space="preserve">        256.87亿</t>
  </si>
  <si>
    <t>ST熊猫</t>
  </si>
  <si>
    <t xml:space="preserve">         15.24亿</t>
  </si>
  <si>
    <t>青岛啤酒</t>
  </si>
  <si>
    <t xml:space="preserve">        698.91亿</t>
  </si>
  <si>
    <t>ST方科</t>
  </si>
  <si>
    <t xml:space="preserve">         57.07亿</t>
  </si>
  <si>
    <t>云赛智联</t>
  </si>
  <si>
    <t xml:space="preserve">         83.98亿</t>
  </si>
  <si>
    <t>广汇物流</t>
  </si>
  <si>
    <t xml:space="preserve">         48.40亿</t>
  </si>
  <si>
    <t>市北高新</t>
  </si>
  <si>
    <t xml:space="preserve">         97.60亿</t>
  </si>
  <si>
    <t>汇通能源</t>
  </si>
  <si>
    <t xml:space="preserve">         17.35亿</t>
  </si>
  <si>
    <t>绿地控股</t>
  </si>
  <si>
    <t xml:space="preserve">        534.06亿</t>
  </si>
  <si>
    <t>ST沪科</t>
  </si>
  <si>
    <t xml:space="preserve">         17.73亿</t>
  </si>
  <si>
    <t>金杯汽车</t>
  </si>
  <si>
    <t xml:space="preserve">         92.83亿</t>
  </si>
  <si>
    <t>中毅达</t>
  </si>
  <si>
    <t xml:space="preserve">        184.79亿</t>
  </si>
  <si>
    <t>大众交通</t>
  </si>
  <si>
    <t xml:space="preserve">         79.67亿</t>
  </si>
  <si>
    <t>老凤祥</t>
  </si>
  <si>
    <t xml:space="preserve">        241.52亿</t>
  </si>
  <si>
    <t>神奇制药</t>
  </si>
  <si>
    <t xml:space="preserve">         27.29亿</t>
  </si>
  <si>
    <t>*ST丰华</t>
  </si>
  <si>
    <t>金枫酒业</t>
  </si>
  <si>
    <t xml:space="preserve">         45.63亿</t>
  </si>
  <si>
    <t>国新能源</t>
  </si>
  <si>
    <t>氯碱化工</t>
  </si>
  <si>
    <t xml:space="preserve">        143.86亿</t>
  </si>
  <si>
    <t>海立股份</t>
  </si>
  <si>
    <t xml:space="preserve">         88.22亿</t>
  </si>
  <si>
    <t>天宸股份</t>
  </si>
  <si>
    <t>华鑫股份</t>
  </si>
  <si>
    <t xml:space="preserve">        140.89亿</t>
  </si>
  <si>
    <t>光大嘉宝</t>
  </si>
  <si>
    <t xml:space="preserve">         39.89亿</t>
  </si>
  <si>
    <t>华谊集团</t>
  </si>
  <si>
    <t xml:space="preserve">        198.98亿</t>
  </si>
  <si>
    <t>复旦复华</t>
  </si>
  <si>
    <t xml:space="preserve">         44.78亿</t>
  </si>
  <si>
    <t>申达股份</t>
  </si>
  <si>
    <t>新世界</t>
  </si>
  <si>
    <t xml:space="preserve">         47.87亿</t>
  </si>
  <si>
    <t>华建集团</t>
  </si>
  <si>
    <t xml:space="preserve">         39.00亿</t>
  </si>
  <si>
    <t>龙头股份</t>
  </si>
  <si>
    <t xml:space="preserve">         21.75亿</t>
  </si>
  <si>
    <t>浙数文化</t>
  </si>
  <si>
    <t xml:space="preserve">         98.30亿</t>
  </si>
  <si>
    <t>大众公用</t>
  </si>
  <si>
    <t xml:space="preserve">         92.16亿</t>
  </si>
  <si>
    <t>国新文化</t>
  </si>
  <si>
    <t>东方明珠</t>
  </si>
  <si>
    <t xml:space="preserve">        265.65亿</t>
  </si>
  <si>
    <t>新黄浦</t>
  </si>
  <si>
    <t xml:space="preserve">         34.61亿</t>
  </si>
  <si>
    <t>浦东金桥</t>
  </si>
  <si>
    <t xml:space="preserve">        129.30亿</t>
  </si>
  <si>
    <t>新国脉</t>
  </si>
  <si>
    <t xml:space="preserve">        113.23亿</t>
  </si>
  <si>
    <t>万业企业</t>
  </si>
  <si>
    <t xml:space="preserve">        355.97亿</t>
  </si>
  <si>
    <t>申能股份</t>
  </si>
  <si>
    <t xml:space="preserve">        295.21亿</t>
  </si>
  <si>
    <t>爱建集团</t>
  </si>
  <si>
    <t xml:space="preserve">        105.91亿</t>
  </si>
  <si>
    <t>乐山电力</t>
  </si>
  <si>
    <t xml:space="preserve">         35.64亿</t>
  </si>
  <si>
    <t>中源协和</t>
  </si>
  <si>
    <t xml:space="preserve">        107.58亿</t>
  </si>
  <si>
    <t>同达创业</t>
  </si>
  <si>
    <t xml:space="preserve">         15.85亿</t>
  </si>
  <si>
    <t>外高桥</t>
  </si>
  <si>
    <t xml:space="preserve">        145.32亿</t>
  </si>
  <si>
    <t>城投控股</t>
  </si>
  <si>
    <t xml:space="preserve">         99.41亿</t>
  </si>
  <si>
    <t>锦江在线</t>
  </si>
  <si>
    <t xml:space="preserve">         49.59亿</t>
  </si>
  <si>
    <t>飞乐音响</t>
  </si>
  <si>
    <t xml:space="preserve">         78.97亿</t>
  </si>
  <si>
    <t>*ST游久</t>
  </si>
  <si>
    <t xml:space="preserve">         24.15亿</t>
  </si>
  <si>
    <t>申华控股</t>
  </si>
  <si>
    <t xml:space="preserve">         41.85亿</t>
  </si>
  <si>
    <t>ST中安</t>
  </si>
  <si>
    <t xml:space="preserve">         24.89亿</t>
  </si>
  <si>
    <t>豫园股份</t>
  </si>
  <si>
    <t xml:space="preserve">        382.86亿</t>
  </si>
  <si>
    <t>信达地产</t>
  </si>
  <si>
    <t xml:space="preserve">         94.11亿</t>
  </si>
  <si>
    <t>电子城</t>
  </si>
  <si>
    <t xml:space="preserve">         44.18亿</t>
  </si>
  <si>
    <t>福耀玻璃</t>
  </si>
  <si>
    <t xml:space="preserve">        933.39亿</t>
  </si>
  <si>
    <t>昂立教育</t>
  </si>
  <si>
    <t>外服控股</t>
  </si>
  <si>
    <t xml:space="preserve">        171.33亿</t>
  </si>
  <si>
    <t>陆家嘴</t>
  </si>
  <si>
    <t xml:space="preserve">        426.01亿</t>
  </si>
  <si>
    <t>哈药股份</t>
  </si>
  <si>
    <t>天地源</t>
  </si>
  <si>
    <t xml:space="preserve">         24.28亿</t>
  </si>
  <si>
    <t>ST瑞德</t>
  </si>
  <si>
    <t>太极实业</t>
  </si>
  <si>
    <t xml:space="preserve">        179.03亿</t>
  </si>
  <si>
    <t>尖峰集团</t>
  </si>
  <si>
    <t xml:space="preserve">         44.83亿</t>
  </si>
  <si>
    <t>ST目药</t>
  </si>
  <si>
    <t xml:space="preserve">         10.70亿</t>
  </si>
  <si>
    <t>东阳光</t>
  </si>
  <si>
    <t xml:space="preserve">        312.54亿</t>
  </si>
  <si>
    <t>川投能源</t>
  </si>
  <si>
    <t xml:space="preserve">        507.59亿</t>
  </si>
  <si>
    <t>中华企业</t>
  </si>
  <si>
    <t xml:space="preserve">        165.81亿</t>
  </si>
  <si>
    <t>交运股份</t>
  </si>
  <si>
    <t xml:space="preserve">         41.55亿</t>
  </si>
  <si>
    <t>四川金顶</t>
  </si>
  <si>
    <t>上海凤凰</t>
  </si>
  <si>
    <t>百川能源</t>
  </si>
  <si>
    <t xml:space="preserve">         68.70亿</t>
  </si>
  <si>
    <t>南京新百</t>
  </si>
  <si>
    <t xml:space="preserve">        166.11亿</t>
  </si>
  <si>
    <t>京投发展</t>
  </si>
  <si>
    <t xml:space="preserve">         44.89亿</t>
  </si>
  <si>
    <t>珠江股份</t>
  </si>
  <si>
    <t>中船防务</t>
  </si>
  <si>
    <t xml:space="preserve">        165.03亿</t>
  </si>
  <si>
    <t>金龙汽车</t>
  </si>
  <si>
    <t xml:space="preserve">         43.88亿</t>
  </si>
  <si>
    <t>上海石化</t>
  </si>
  <si>
    <t xml:space="preserve">        347.39亿</t>
  </si>
  <si>
    <t>上海三毛</t>
  </si>
  <si>
    <t xml:space="preserve">         13.39亿</t>
  </si>
  <si>
    <t>海尔智家</t>
  </si>
  <si>
    <t xml:space="preserve">       1854.78亿</t>
  </si>
  <si>
    <t>阳煤化工</t>
  </si>
  <si>
    <t xml:space="preserve">        112.86亿</t>
  </si>
  <si>
    <t>亚通股份</t>
  </si>
  <si>
    <t>东百集团</t>
  </si>
  <si>
    <t>大商股份</t>
  </si>
  <si>
    <t xml:space="preserve">         55.40亿</t>
  </si>
  <si>
    <t>*ST绿庭</t>
  </si>
  <si>
    <t>岩石股份</t>
  </si>
  <si>
    <t xml:space="preserve">         95.42亿</t>
  </si>
  <si>
    <t>欧亚集团</t>
  </si>
  <si>
    <t xml:space="preserve">         18.98亿</t>
  </si>
  <si>
    <t>湖南天雁</t>
  </si>
  <si>
    <t>均胜电子</t>
  </si>
  <si>
    <t xml:space="preserve">        303.30亿</t>
  </si>
  <si>
    <t>舍得酒业</t>
  </si>
  <si>
    <t xml:space="preserve">        614.90亿</t>
  </si>
  <si>
    <t>三安光电</t>
  </si>
  <si>
    <t xml:space="preserve">       1599.57亿</t>
  </si>
  <si>
    <t>物产中大</t>
  </si>
  <si>
    <t xml:space="preserve">        338.26亿</t>
  </si>
  <si>
    <t>中航产融</t>
  </si>
  <si>
    <t xml:space="preserve">        346.10亿</t>
  </si>
  <si>
    <t>曲江文旅</t>
  </si>
  <si>
    <t>彩虹股份</t>
  </si>
  <si>
    <t xml:space="preserve">        258.01亿</t>
  </si>
  <si>
    <t>光明地产</t>
  </si>
  <si>
    <t xml:space="preserve">         50.14亿</t>
  </si>
  <si>
    <t>苏美达</t>
  </si>
  <si>
    <t xml:space="preserve">         86.64亿</t>
  </si>
  <si>
    <t>盛屯矿业</t>
  </si>
  <si>
    <t xml:space="preserve">        281.03亿</t>
  </si>
  <si>
    <t>南宁百货</t>
  </si>
  <si>
    <t xml:space="preserve">         19.17亿</t>
  </si>
  <si>
    <t>南京医药</t>
  </si>
  <si>
    <t xml:space="preserve">         45.73亿</t>
  </si>
  <si>
    <t>金瑞矿业</t>
  </si>
  <si>
    <t>文投控股</t>
  </si>
  <si>
    <t>凤凰股份</t>
  </si>
  <si>
    <t xml:space="preserve">         36.97亿</t>
  </si>
  <si>
    <t>天津港</t>
  </si>
  <si>
    <t xml:space="preserve">        113.44亿</t>
  </si>
  <si>
    <t>东软集团</t>
  </si>
  <si>
    <t xml:space="preserve">        129.83亿</t>
  </si>
  <si>
    <t>大连热电</t>
  </si>
  <si>
    <t>祁连山</t>
  </si>
  <si>
    <t xml:space="preserve">         76.78亿</t>
  </si>
  <si>
    <t>*ST百花</t>
  </si>
  <si>
    <t>金牛化工</t>
  </si>
  <si>
    <t xml:space="preserve">         40.21亿</t>
  </si>
  <si>
    <t>宁波富达</t>
  </si>
  <si>
    <t xml:space="preserve">         50.29亿</t>
  </si>
  <si>
    <t>云维股份</t>
  </si>
  <si>
    <t xml:space="preserve">         43.63亿</t>
  </si>
  <si>
    <t>华电能源</t>
  </si>
  <si>
    <t xml:space="preserve">         55.07亿</t>
  </si>
  <si>
    <t>鲁北化工</t>
  </si>
  <si>
    <t xml:space="preserve">         51.17亿</t>
  </si>
  <si>
    <t>佳都科技</t>
  </si>
  <si>
    <t xml:space="preserve">        141.89亿</t>
  </si>
  <si>
    <t>重庆百货</t>
  </si>
  <si>
    <t>中国高科</t>
  </si>
  <si>
    <t xml:space="preserve">         33.79亿</t>
  </si>
  <si>
    <t>湖南海利</t>
  </si>
  <si>
    <t xml:space="preserve">         41.75亿</t>
  </si>
  <si>
    <t>爱旭股份</t>
  </si>
  <si>
    <t xml:space="preserve">        487.70亿</t>
  </si>
  <si>
    <t>北汽蓝谷</t>
  </si>
  <si>
    <t xml:space="preserve">        513.19亿</t>
  </si>
  <si>
    <t>*ST实达</t>
  </si>
  <si>
    <t xml:space="preserve">         17.05亿</t>
  </si>
  <si>
    <t>新华锦</t>
  </si>
  <si>
    <t xml:space="preserve">         25.72亿</t>
  </si>
  <si>
    <t>苏州高新</t>
  </si>
  <si>
    <t xml:space="preserve">         50.54亿</t>
  </si>
  <si>
    <t>中粮糖业</t>
  </si>
  <si>
    <t xml:space="preserve">        210.25亿</t>
  </si>
  <si>
    <t>丽尚国潮</t>
  </si>
  <si>
    <t>辽宁成大</t>
  </si>
  <si>
    <t xml:space="preserve">        292.63亿</t>
  </si>
  <si>
    <t>山西焦化</t>
  </si>
  <si>
    <t>华域汽车</t>
  </si>
  <si>
    <t xml:space="preserve">        822.55亿</t>
  </si>
  <si>
    <t>一汽富维</t>
  </si>
  <si>
    <t>华远地产</t>
  </si>
  <si>
    <t xml:space="preserve">         43.64亿</t>
  </si>
  <si>
    <t>华银电力</t>
  </si>
  <si>
    <t xml:space="preserve">        105.62亿</t>
  </si>
  <si>
    <t>闻泰科技</t>
  </si>
  <si>
    <t xml:space="preserve">       1425.22亿</t>
  </si>
  <si>
    <t>江苏索普</t>
  </si>
  <si>
    <t xml:space="preserve">        165.48亿</t>
  </si>
  <si>
    <t>上实发展</t>
  </si>
  <si>
    <t xml:space="preserve">         69.91亿</t>
  </si>
  <si>
    <t>西藏旅游</t>
  </si>
  <si>
    <t xml:space="preserve">         23.01亿</t>
  </si>
  <si>
    <t>江中药业</t>
  </si>
  <si>
    <t>海航科技</t>
  </si>
  <si>
    <t xml:space="preserve">         76.54亿</t>
  </si>
  <si>
    <t>东方银星</t>
  </si>
  <si>
    <t xml:space="preserve">         37.17亿</t>
  </si>
  <si>
    <t>锦江酒店</t>
  </si>
  <si>
    <t xml:space="preserve">        607.79亿</t>
  </si>
  <si>
    <t>厦门国贸</t>
  </si>
  <si>
    <t xml:space="preserve">        145.48亿</t>
  </si>
  <si>
    <t>浪潮软件</t>
  </si>
  <si>
    <t xml:space="preserve">         40.87亿</t>
  </si>
  <si>
    <t>长江传媒</t>
  </si>
  <si>
    <t xml:space="preserve">         63.47亿</t>
  </si>
  <si>
    <t>辽宁能源</t>
  </si>
  <si>
    <t xml:space="preserve">         47.99亿</t>
  </si>
  <si>
    <t>洲际油气</t>
  </si>
  <si>
    <t xml:space="preserve">         58.17亿</t>
  </si>
  <si>
    <t>中航沈飞</t>
  </si>
  <si>
    <t xml:space="preserve">       1440.22亿</t>
  </si>
  <si>
    <t>安徽合力</t>
  </si>
  <si>
    <t xml:space="preserve">         92.45亿</t>
  </si>
  <si>
    <t>通策医疗</t>
  </si>
  <si>
    <t xml:space="preserve">        676.23亿</t>
  </si>
  <si>
    <t>中国海防</t>
  </si>
  <si>
    <t xml:space="preserve">        217.59亿</t>
  </si>
  <si>
    <t>中航重机</t>
  </si>
  <si>
    <t xml:space="preserve">        514.25亿</t>
  </si>
  <si>
    <t>*ST园城</t>
  </si>
  <si>
    <t xml:space="preserve">         10.11亿</t>
  </si>
  <si>
    <t>运盛医疗</t>
  </si>
  <si>
    <t xml:space="preserve">         26.36亿</t>
  </si>
  <si>
    <t>宁波富邦</t>
  </si>
  <si>
    <t xml:space="preserve">         11.93亿</t>
  </si>
  <si>
    <t>祥龙电业</t>
  </si>
  <si>
    <t xml:space="preserve">         19.91亿</t>
  </si>
  <si>
    <t>综艺股份</t>
  </si>
  <si>
    <t xml:space="preserve">         74.10亿</t>
  </si>
  <si>
    <t>广誉远</t>
  </si>
  <si>
    <t xml:space="preserve">        144.89亿</t>
  </si>
  <si>
    <t>西藏城投</t>
  </si>
  <si>
    <t xml:space="preserve">        190.98亿</t>
  </si>
  <si>
    <t>汉商集团</t>
  </si>
  <si>
    <t xml:space="preserve">         50.89亿</t>
  </si>
  <si>
    <t>南京熊猫</t>
  </si>
  <si>
    <t>东方通信</t>
  </si>
  <si>
    <t xml:space="preserve">        147.33亿</t>
  </si>
  <si>
    <t>新潮能源</t>
  </si>
  <si>
    <t xml:space="preserve">        141.45亿</t>
  </si>
  <si>
    <t>友好集团</t>
  </si>
  <si>
    <t xml:space="preserve">         13.14亿</t>
  </si>
  <si>
    <t>水井坊</t>
  </si>
  <si>
    <t xml:space="preserve">        620.38亿</t>
  </si>
  <si>
    <t>通宝能源</t>
  </si>
  <si>
    <t xml:space="preserve">         41.39亿</t>
  </si>
  <si>
    <t>ST辅仁</t>
  </si>
  <si>
    <t xml:space="preserve">         19.57亿</t>
  </si>
  <si>
    <t>新钢股份</t>
  </si>
  <si>
    <t xml:space="preserve">        169.00亿</t>
  </si>
  <si>
    <t>鲁信创投</t>
  </si>
  <si>
    <t xml:space="preserve">         95.13亿</t>
  </si>
  <si>
    <t>鲁银投资</t>
  </si>
  <si>
    <t xml:space="preserve">         35.85亿</t>
  </si>
  <si>
    <t>新华百货</t>
  </si>
  <si>
    <t xml:space="preserve">         28.45亿</t>
  </si>
  <si>
    <t>中储股份</t>
  </si>
  <si>
    <t xml:space="preserve">        151.13亿</t>
  </si>
  <si>
    <t>鲁抗医药</t>
  </si>
  <si>
    <t xml:space="preserve">         62.06亿</t>
  </si>
  <si>
    <t>轻纺城</t>
  </si>
  <si>
    <t xml:space="preserve">         45.88亿</t>
  </si>
  <si>
    <t>京能置业</t>
  </si>
  <si>
    <t>云煤能源</t>
  </si>
  <si>
    <t xml:space="preserve">         39.50亿</t>
  </si>
  <si>
    <t>宜宾纸业</t>
  </si>
  <si>
    <t xml:space="preserve">         25.24亿</t>
  </si>
  <si>
    <t>保税科技</t>
  </si>
  <si>
    <t xml:space="preserve">         38.18亿</t>
  </si>
  <si>
    <t>国电电力</t>
  </si>
  <si>
    <t xml:space="preserve">        445.89亿</t>
  </si>
  <si>
    <t>钱江生化</t>
  </si>
  <si>
    <t>浙大网新</t>
  </si>
  <si>
    <t xml:space="preserve">         65.76亿</t>
  </si>
  <si>
    <t>宁波海运</t>
  </si>
  <si>
    <t xml:space="preserve">         48.86亿</t>
  </si>
  <si>
    <t>渤海化学</t>
  </si>
  <si>
    <t xml:space="preserve">         52.29亿</t>
  </si>
  <si>
    <t>华新水泥</t>
  </si>
  <si>
    <t xml:space="preserve">        366.90亿</t>
  </si>
  <si>
    <t>福建水泥</t>
  </si>
  <si>
    <t>新奥股份</t>
  </si>
  <si>
    <t xml:space="preserve">        570.31亿</t>
  </si>
  <si>
    <t>鹏博士</t>
  </si>
  <si>
    <t xml:space="preserve">        112.52亿</t>
  </si>
  <si>
    <t>悦达投资</t>
  </si>
  <si>
    <t xml:space="preserve">         42.03亿</t>
  </si>
  <si>
    <t>济南高新</t>
  </si>
  <si>
    <t>马钢股份</t>
  </si>
  <si>
    <t xml:space="preserve">        219.61亿</t>
  </si>
  <si>
    <t>山西汾酒</t>
  </si>
  <si>
    <t xml:space="preserve">       3803.10亿</t>
  </si>
  <si>
    <t>神马股份</t>
  </si>
  <si>
    <t xml:space="preserve">        115.70亿</t>
  </si>
  <si>
    <t>东方集团</t>
  </si>
  <si>
    <t xml:space="preserve">        110.69亿</t>
  </si>
  <si>
    <t>华北制药</t>
  </si>
  <si>
    <t xml:space="preserve">        160.59亿</t>
  </si>
  <si>
    <t>杭州解百</t>
  </si>
  <si>
    <t xml:space="preserve">         42.33亿</t>
  </si>
  <si>
    <t>厦工股份</t>
  </si>
  <si>
    <t>ST安信</t>
  </si>
  <si>
    <t xml:space="preserve">        265.25亿</t>
  </si>
  <si>
    <t>宇通重工</t>
  </si>
  <si>
    <t xml:space="preserve">         74.33亿</t>
  </si>
  <si>
    <t>中路股份</t>
  </si>
  <si>
    <t xml:space="preserve">         26.94亿</t>
  </si>
  <si>
    <t>耀皮玻璃</t>
  </si>
  <si>
    <t>隧道股份</t>
  </si>
  <si>
    <t xml:space="preserve">        160.66亿</t>
  </si>
  <si>
    <t>金开新能</t>
  </si>
  <si>
    <t xml:space="preserve">        153.79亿</t>
  </si>
  <si>
    <t>上海物贸</t>
  </si>
  <si>
    <t xml:space="preserve">         41.86亿</t>
  </si>
  <si>
    <t>世茂股份</t>
  </si>
  <si>
    <t xml:space="preserve">        118.16亿</t>
  </si>
  <si>
    <t>益民集团</t>
  </si>
  <si>
    <t xml:space="preserve">         36.68亿</t>
  </si>
  <si>
    <t>新华传媒</t>
  </si>
  <si>
    <t xml:space="preserve">         42.74亿</t>
  </si>
  <si>
    <t>兰生股份</t>
  </si>
  <si>
    <t xml:space="preserve">         42.61亿</t>
  </si>
  <si>
    <t>百联股份</t>
  </si>
  <si>
    <t xml:space="preserve">        240.33亿</t>
  </si>
  <si>
    <t>茂业商业</t>
  </si>
  <si>
    <t xml:space="preserve">         59.06亿</t>
  </si>
  <si>
    <t>人民同泰</t>
  </si>
  <si>
    <t xml:space="preserve">         33.75亿</t>
  </si>
  <si>
    <t>香溢融通</t>
  </si>
  <si>
    <t>广电网络</t>
  </si>
  <si>
    <t xml:space="preserve">         38.44亿</t>
  </si>
  <si>
    <t>第一医药</t>
  </si>
  <si>
    <t xml:space="preserve">         18.40亿</t>
  </si>
  <si>
    <t>申通地铁</t>
  </si>
  <si>
    <t xml:space="preserve">         48.50亿</t>
  </si>
  <si>
    <t>上海机电</t>
  </si>
  <si>
    <t xml:space="preserve">        160.67亿</t>
  </si>
  <si>
    <t>上海易连</t>
  </si>
  <si>
    <t xml:space="preserve">         42.75亿</t>
  </si>
  <si>
    <t>海通证券</t>
  </si>
  <si>
    <t xml:space="preserve">       1185.59亿</t>
  </si>
  <si>
    <t>上海九百</t>
  </si>
  <si>
    <t xml:space="preserve">         23.73亿</t>
  </si>
  <si>
    <t>四川长虹</t>
  </si>
  <si>
    <t xml:space="preserve">        137.10亿</t>
  </si>
  <si>
    <t>上柴股份</t>
  </si>
  <si>
    <t xml:space="preserve">        186.16亿</t>
  </si>
  <si>
    <t>上工申贝</t>
  </si>
  <si>
    <t xml:space="preserve">         41.79亿</t>
  </si>
  <si>
    <t>丹化科技</t>
  </si>
  <si>
    <t>宝信软件</t>
  </si>
  <si>
    <t xml:space="preserve">       1071.85亿</t>
  </si>
  <si>
    <t>同济科技</t>
  </si>
  <si>
    <t xml:space="preserve">         49.42亿</t>
  </si>
  <si>
    <t>万里股份</t>
  </si>
  <si>
    <t xml:space="preserve">         14.01亿</t>
  </si>
  <si>
    <t>上海临港</t>
  </si>
  <si>
    <t xml:space="preserve">        364.50亿</t>
  </si>
  <si>
    <t>电科数字</t>
  </si>
  <si>
    <t xml:space="preserve">        163.36亿</t>
  </si>
  <si>
    <t>海欣股份</t>
  </si>
  <si>
    <t xml:space="preserve">        107.31亿</t>
  </si>
  <si>
    <t>龙建股份</t>
  </si>
  <si>
    <t xml:space="preserve">         25.12亿</t>
  </si>
  <si>
    <t>春兰股份</t>
  </si>
  <si>
    <t xml:space="preserve">         22.34亿</t>
  </si>
  <si>
    <t>航天长峰</t>
  </si>
  <si>
    <t xml:space="preserve">         57.44亿</t>
  </si>
  <si>
    <t>*ST中天</t>
  </si>
  <si>
    <t xml:space="preserve">         37.31亿</t>
  </si>
  <si>
    <t>宁波中百</t>
  </si>
  <si>
    <t xml:space="preserve">         20.86亿</t>
  </si>
  <si>
    <t>银座股份</t>
  </si>
  <si>
    <t xml:space="preserve">         26.73亿</t>
  </si>
  <si>
    <t>王府井</t>
  </si>
  <si>
    <t xml:space="preserve">        301.39亿</t>
  </si>
  <si>
    <t>京城股份</t>
  </si>
  <si>
    <t>北京城乡</t>
  </si>
  <si>
    <t>中航高科</t>
  </si>
  <si>
    <t xml:space="preserve">        511.25亿</t>
  </si>
  <si>
    <t>内蒙华电</t>
  </si>
  <si>
    <t xml:space="preserve">        206.90亿</t>
  </si>
  <si>
    <t>哈投股份</t>
  </si>
  <si>
    <t xml:space="preserve">        119.63亿</t>
  </si>
  <si>
    <t>百大集团</t>
  </si>
  <si>
    <t xml:space="preserve">         31.83亿</t>
  </si>
  <si>
    <t>星湖科技</t>
  </si>
  <si>
    <t>通化东宝</t>
  </si>
  <si>
    <t xml:space="preserve">        241.23亿</t>
  </si>
  <si>
    <t>梅雁吉祥</t>
  </si>
  <si>
    <t xml:space="preserve">         53.34亿</t>
  </si>
  <si>
    <t>远东股份</t>
  </si>
  <si>
    <t xml:space="preserve">        148.03亿</t>
  </si>
  <si>
    <t>*ST厦华</t>
  </si>
  <si>
    <t xml:space="preserve">         24.70亿</t>
  </si>
  <si>
    <t>石化油服</t>
  </si>
  <si>
    <t xml:space="preserve">        289.03亿</t>
  </si>
  <si>
    <t>中炬高新</t>
  </si>
  <si>
    <t xml:space="preserve">        283.36亿</t>
  </si>
  <si>
    <t>梅花生物</t>
  </si>
  <si>
    <t xml:space="preserve">        208.85亿</t>
  </si>
  <si>
    <t>创业环保</t>
  </si>
  <si>
    <t>东方电气</t>
  </si>
  <si>
    <t xml:space="preserve">        534.43亿</t>
  </si>
  <si>
    <t>洛阳玻璃</t>
  </si>
  <si>
    <t xml:space="preserve">        110.75亿</t>
  </si>
  <si>
    <t>电能股份</t>
  </si>
  <si>
    <t xml:space="preserve">        147.25亿</t>
  </si>
  <si>
    <t>航天电子</t>
  </si>
  <si>
    <t xml:space="preserve">        228.15亿</t>
  </si>
  <si>
    <t>博瑞传播</t>
  </si>
  <si>
    <t>亚泰集团</t>
  </si>
  <si>
    <t xml:space="preserve">        108.84亿</t>
  </si>
  <si>
    <t>妙可蓝多</t>
  </si>
  <si>
    <t xml:space="preserve">        283.86亿</t>
  </si>
  <si>
    <t>博闻科技</t>
  </si>
  <si>
    <t xml:space="preserve">         20.66亿</t>
  </si>
  <si>
    <t>杉杉股份</t>
  </si>
  <si>
    <t xml:space="preserve">        599.43亿</t>
  </si>
  <si>
    <t>宏发股份</t>
  </si>
  <si>
    <t xml:space="preserve">        557.83亿</t>
  </si>
  <si>
    <t>国投电力</t>
  </si>
  <si>
    <t xml:space="preserve">        670.12亿</t>
  </si>
  <si>
    <t>伊利股份</t>
  </si>
  <si>
    <t xml:space="preserve">       2484.57亿</t>
  </si>
  <si>
    <t>新疆众和</t>
  </si>
  <si>
    <t xml:space="preserve">        127.95亿</t>
  </si>
  <si>
    <t>南京化纤</t>
  </si>
  <si>
    <t xml:space="preserve">         21.47亿</t>
  </si>
  <si>
    <t>*ST中房</t>
  </si>
  <si>
    <t>大晟文化</t>
  </si>
  <si>
    <t xml:space="preserve">         21.99亿</t>
  </si>
  <si>
    <t>航发动力</t>
  </si>
  <si>
    <t xml:space="preserve">       1687.32亿</t>
  </si>
  <si>
    <t>广日股份</t>
  </si>
  <si>
    <t xml:space="preserve">         60.54亿</t>
  </si>
  <si>
    <t>张江高科</t>
  </si>
  <si>
    <t>*ST海医</t>
  </si>
  <si>
    <t xml:space="preserve">         52.47亿</t>
  </si>
  <si>
    <t>厦门空港</t>
  </si>
  <si>
    <t xml:space="preserve">         49.64亿</t>
  </si>
  <si>
    <t>ST美讯</t>
  </si>
  <si>
    <t xml:space="preserve">         14.44亿</t>
  </si>
  <si>
    <t>长江电力</t>
  </si>
  <si>
    <t xml:space="preserve">       4596.13亿</t>
  </si>
  <si>
    <t>江苏租赁</t>
  </si>
  <si>
    <t xml:space="preserve">        152.32亿</t>
  </si>
  <si>
    <t>贵州燃气</t>
  </si>
  <si>
    <t xml:space="preserve">        113.59亿</t>
  </si>
  <si>
    <t>三峡能源</t>
  </si>
  <si>
    <t xml:space="preserve">       1959.97亿</t>
  </si>
  <si>
    <t>财达证券</t>
  </si>
  <si>
    <t xml:space="preserve">        377.07亿</t>
  </si>
  <si>
    <t>无锡银行</t>
  </si>
  <si>
    <t xml:space="preserve">        106.49亿</t>
  </si>
  <si>
    <t>华安证券</t>
  </si>
  <si>
    <t xml:space="preserve">        244.75亿</t>
  </si>
  <si>
    <t>中国黄金</t>
  </si>
  <si>
    <t xml:space="preserve">        237.05亿</t>
  </si>
  <si>
    <t>重庆燃气</t>
  </si>
  <si>
    <t xml:space="preserve">        137.96亿</t>
  </si>
  <si>
    <t>中泰证券</t>
  </si>
  <si>
    <t xml:space="preserve">        653.66亿</t>
  </si>
  <si>
    <t>江苏银行</t>
  </si>
  <si>
    <t xml:space="preserve">        912.76亿</t>
  </si>
  <si>
    <t>杭州银行</t>
  </si>
  <si>
    <t xml:space="preserve">        862.84亿</t>
  </si>
  <si>
    <t>西安银行</t>
  </si>
  <si>
    <t xml:space="preserve">        191.56亿</t>
  </si>
  <si>
    <t>雪天盐业</t>
  </si>
  <si>
    <t xml:space="preserve">         73.90亿</t>
  </si>
  <si>
    <t>爱柯迪</t>
  </si>
  <si>
    <t>广西广电</t>
  </si>
  <si>
    <t xml:space="preserve">         44.28亿</t>
  </si>
  <si>
    <t>重庆建工</t>
  </si>
  <si>
    <t xml:space="preserve">         61.88亿</t>
  </si>
  <si>
    <t>维远股份</t>
  </si>
  <si>
    <t xml:space="preserve">        256.90亿</t>
  </si>
  <si>
    <t>新天绿能</t>
  </si>
  <si>
    <t xml:space="preserve">        338.64亿</t>
  </si>
  <si>
    <t>东方证券</t>
  </si>
  <si>
    <t xml:space="preserve">        831.14亿</t>
  </si>
  <si>
    <t>江苏有线</t>
  </si>
  <si>
    <t xml:space="preserve">        149.52亿</t>
  </si>
  <si>
    <t>渤海汽车</t>
  </si>
  <si>
    <t xml:space="preserve">         36.31亿</t>
  </si>
  <si>
    <t>株冶集团</t>
  </si>
  <si>
    <t xml:space="preserve">         45.94亿</t>
  </si>
  <si>
    <t>国投中鲁</t>
  </si>
  <si>
    <t xml:space="preserve">         25.57亿</t>
  </si>
  <si>
    <t>岳阳林纸</t>
  </si>
  <si>
    <t xml:space="preserve">        130.51亿</t>
  </si>
  <si>
    <t>福成股份</t>
  </si>
  <si>
    <t xml:space="preserve">         55.02亿</t>
  </si>
  <si>
    <t>博汇纸业</t>
  </si>
  <si>
    <t xml:space="preserve">        137.83亿</t>
  </si>
  <si>
    <t>内蒙一机</t>
  </si>
  <si>
    <t xml:space="preserve">        179.46亿</t>
  </si>
  <si>
    <t>海油发展</t>
  </si>
  <si>
    <t xml:space="preserve">        284.62亿</t>
  </si>
  <si>
    <t>郴电国际</t>
  </si>
  <si>
    <t>中材国际</t>
  </si>
  <si>
    <t xml:space="preserve">        244.44亿</t>
  </si>
  <si>
    <t>恒源煤电</t>
  </si>
  <si>
    <t xml:space="preserve">         75.48亿</t>
  </si>
  <si>
    <t>宝胜股份</t>
  </si>
  <si>
    <t>新五丰</t>
  </si>
  <si>
    <t xml:space="preserve">         53.78亿</t>
  </si>
  <si>
    <t>健民集团</t>
  </si>
  <si>
    <t xml:space="preserve">         81.76亿</t>
  </si>
  <si>
    <t>中国电影</t>
  </si>
  <si>
    <t xml:space="preserve">        221.43亿</t>
  </si>
  <si>
    <t>广安爱众</t>
  </si>
  <si>
    <t xml:space="preserve">         41.53亿</t>
  </si>
  <si>
    <t>北矿科技</t>
  </si>
  <si>
    <t xml:space="preserve">         31.12亿</t>
  </si>
  <si>
    <t>汇鸿集团</t>
  </si>
  <si>
    <t xml:space="preserve">         60.99亿</t>
  </si>
  <si>
    <t>宁波能源</t>
  </si>
  <si>
    <t xml:space="preserve">         48.29亿</t>
  </si>
  <si>
    <t>惠而浦</t>
  </si>
  <si>
    <t xml:space="preserve">         68.14亿</t>
  </si>
  <si>
    <t>建设机械</t>
  </si>
  <si>
    <t xml:space="preserve">         93.89亿</t>
  </si>
  <si>
    <t>淮北矿业</t>
  </si>
  <si>
    <t xml:space="preserve">        272.91亿</t>
  </si>
  <si>
    <t>浙文互联</t>
  </si>
  <si>
    <t xml:space="preserve">         62.15亿</t>
  </si>
  <si>
    <t>航民股份</t>
  </si>
  <si>
    <t xml:space="preserve">         61.50亿</t>
  </si>
  <si>
    <t>赤峰黄金</t>
  </si>
  <si>
    <t xml:space="preserve">        284.03亿</t>
  </si>
  <si>
    <t>宝丰能源</t>
  </si>
  <si>
    <t xml:space="preserve">       1193.14亿</t>
  </si>
  <si>
    <t>四创电子</t>
  </si>
  <si>
    <t xml:space="preserve">         86.08亿</t>
  </si>
  <si>
    <t>贵绳股份</t>
  </si>
  <si>
    <t xml:space="preserve">         19.68亿</t>
  </si>
  <si>
    <t>马应龙</t>
  </si>
  <si>
    <t xml:space="preserve">        106.17亿</t>
  </si>
  <si>
    <t>文山电力</t>
  </si>
  <si>
    <t xml:space="preserve">         85.32亿</t>
  </si>
  <si>
    <t>贵广网络</t>
  </si>
  <si>
    <t xml:space="preserve">         49.22亿</t>
  </si>
  <si>
    <t>开滦股份</t>
  </si>
  <si>
    <t xml:space="preserve">        109.72亿</t>
  </si>
  <si>
    <t>九州通</t>
  </si>
  <si>
    <t xml:space="preserve">        256.34亿</t>
  </si>
  <si>
    <t>招商证券</t>
  </si>
  <si>
    <t xml:space="preserve">       1284.01亿</t>
  </si>
  <si>
    <t>唐山港</t>
  </si>
  <si>
    <t xml:space="preserve">        161.78亿</t>
  </si>
  <si>
    <t>晋控煤业</t>
  </si>
  <si>
    <t xml:space="preserve">        151.80亿</t>
  </si>
  <si>
    <t>晋亿实业</t>
  </si>
  <si>
    <t>柳钢股份</t>
  </si>
  <si>
    <t xml:space="preserve">        134.55亿</t>
  </si>
  <si>
    <t>重庆钢铁</t>
  </si>
  <si>
    <t xml:space="preserve">        168.45亿</t>
  </si>
  <si>
    <t>大秦铁路</t>
  </si>
  <si>
    <t xml:space="preserve">        924.72亿</t>
  </si>
  <si>
    <t>金陵饭店</t>
  </si>
  <si>
    <t xml:space="preserve">         21.61亿</t>
  </si>
  <si>
    <t>连云港</t>
  </si>
  <si>
    <t xml:space="preserve">         44.66亿</t>
  </si>
  <si>
    <t>南京银行</t>
  </si>
  <si>
    <t xml:space="preserve">        942.66亿</t>
  </si>
  <si>
    <t>文峰股份</t>
  </si>
  <si>
    <t xml:space="preserve">         56.36亿</t>
  </si>
  <si>
    <t>宝泰隆</t>
  </si>
  <si>
    <t xml:space="preserve">         77.67亿</t>
  </si>
  <si>
    <t>隆基股份</t>
  </si>
  <si>
    <t xml:space="preserve">       4973.96亿</t>
  </si>
  <si>
    <t>陕西黑猫</t>
  </si>
  <si>
    <t xml:space="preserve">        146.65亿</t>
  </si>
  <si>
    <t>节能风电</t>
  </si>
  <si>
    <t xml:space="preserve">        325.85亿</t>
  </si>
  <si>
    <t>宁波港</t>
  </si>
  <si>
    <t xml:space="preserve">        595.94亿</t>
  </si>
  <si>
    <t>山东出版</t>
  </si>
  <si>
    <t xml:space="preserve">        119.16亿</t>
  </si>
  <si>
    <t>ST华钰</t>
  </si>
  <si>
    <t xml:space="preserve">         68.35亿</t>
  </si>
  <si>
    <t>春秋航空</t>
  </si>
  <si>
    <t xml:space="preserve">        527.15亿</t>
  </si>
  <si>
    <t>玉龙股份</t>
  </si>
  <si>
    <t xml:space="preserve">        136.64亿</t>
  </si>
  <si>
    <t>一拖股份</t>
  </si>
  <si>
    <t xml:space="preserve">         90.15亿</t>
  </si>
  <si>
    <t>赛轮轮胎</t>
  </si>
  <si>
    <t xml:space="preserve">        442.67亿</t>
  </si>
  <si>
    <t>中信建投</t>
  </si>
  <si>
    <t xml:space="preserve">       1874.00亿</t>
  </si>
  <si>
    <t>中铝国际</t>
  </si>
  <si>
    <t xml:space="preserve">        101.10亿</t>
  </si>
  <si>
    <t>西部黄金</t>
  </si>
  <si>
    <t xml:space="preserve">         77.18亿</t>
  </si>
  <si>
    <t>渝农商行</t>
  </si>
  <si>
    <t xml:space="preserve">        339.60亿</t>
  </si>
  <si>
    <t>国芳集团</t>
  </si>
  <si>
    <t xml:space="preserve">         23.71亿</t>
  </si>
  <si>
    <t>中国神华</t>
  </si>
  <si>
    <t xml:space="preserve">       3189.37亿</t>
  </si>
  <si>
    <t>中南传媒</t>
  </si>
  <si>
    <t xml:space="preserve">        157.33亿</t>
  </si>
  <si>
    <t>太平洋</t>
  </si>
  <si>
    <t xml:space="preserve">        226.30亿</t>
  </si>
  <si>
    <t>恒立液压</t>
  </si>
  <si>
    <t xml:space="preserve">       1069.22亿</t>
  </si>
  <si>
    <t>昊华能源</t>
  </si>
  <si>
    <t>中国一重</t>
  </si>
  <si>
    <t xml:space="preserve">        231.79亿</t>
  </si>
  <si>
    <t>四川成渝</t>
  </si>
  <si>
    <t>财通证券</t>
  </si>
  <si>
    <t xml:space="preserve">        370.75亿</t>
  </si>
  <si>
    <t>中国国航</t>
  </si>
  <si>
    <t xml:space="preserve">        846.78亿</t>
  </si>
  <si>
    <t>ST华鼎</t>
  </si>
  <si>
    <t xml:space="preserve">         44.63亿</t>
  </si>
  <si>
    <t>三江购物</t>
  </si>
  <si>
    <t>中国化学</t>
  </si>
  <si>
    <t xml:space="preserve">        632.33亿</t>
  </si>
  <si>
    <t>海南橡胶</t>
  </si>
  <si>
    <t xml:space="preserve">        243.50亿</t>
  </si>
  <si>
    <t>四方股份</t>
  </si>
  <si>
    <t xml:space="preserve">        171.50亿</t>
  </si>
  <si>
    <t>小康股份</t>
  </si>
  <si>
    <t xml:space="preserve">        844.51亿</t>
  </si>
  <si>
    <t>常熟银行</t>
  </si>
  <si>
    <t xml:space="preserve">        192.68亿</t>
  </si>
  <si>
    <t>博威合金</t>
  </si>
  <si>
    <t xml:space="preserve">        173.49亿</t>
  </si>
  <si>
    <t>工业富联</t>
  </si>
  <si>
    <t xml:space="preserve">       2366.19亿</t>
  </si>
  <si>
    <t>深圳燃气</t>
  </si>
  <si>
    <t xml:space="preserve">        264.37亿</t>
  </si>
  <si>
    <t>新城控股</t>
  </si>
  <si>
    <t xml:space="preserve">        764.08亿</t>
  </si>
  <si>
    <t>东航物流</t>
  </si>
  <si>
    <t xml:space="preserve">        326.56亿</t>
  </si>
  <si>
    <t>重庆水务</t>
  </si>
  <si>
    <t xml:space="preserve">        299.04亿</t>
  </si>
  <si>
    <t>天风证券</t>
  </si>
  <si>
    <t xml:space="preserve">        341.43亿</t>
  </si>
  <si>
    <t>三角轮胎</t>
  </si>
  <si>
    <t xml:space="preserve">        103.44亿</t>
  </si>
  <si>
    <t>兴业银行</t>
  </si>
  <si>
    <t xml:space="preserve">       3843.23亿</t>
  </si>
  <si>
    <t>西部矿业</t>
  </si>
  <si>
    <t xml:space="preserve">        313.84亿</t>
  </si>
  <si>
    <t>北京银行</t>
  </si>
  <si>
    <t xml:space="preserve">        938.75亿</t>
  </si>
  <si>
    <t>杭齿前进</t>
  </si>
  <si>
    <t>中国西电</t>
  </si>
  <si>
    <t xml:space="preserve">        273.72亿</t>
  </si>
  <si>
    <t>中国铁建</t>
  </si>
  <si>
    <t xml:space="preserve">        844.34亿</t>
  </si>
  <si>
    <t>厦门银行</t>
  </si>
  <si>
    <t>龙江交通</t>
  </si>
  <si>
    <t>东兴证券</t>
  </si>
  <si>
    <t xml:space="preserve">        391.77亿</t>
  </si>
  <si>
    <t>江南水务</t>
  </si>
  <si>
    <t xml:space="preserve">         42.93亿</t>
  </si>
  <si>
    <t>上海环境</t>
  </si>
  <si>
    <t xml:space="preserve">        135.07亿</t>
  </si>
  <si>
    <t>东材科技</t>
  </si>
  <si>
    <t xml:space="preserve">        155.12亿</t>
  </si>
  <si>
    <t>国泰君安</t>
  </si>
  <si>
    <t xml:space="preserve">       1299.62亿</t>
  </si>
  <si>
    <t>白银有色</t>
  </si>
  <si>
    <t xml:space="preserve">        202.89亿</t>
  </si>
  <si>
    <t>君正集团</t>
  </si>
  <si>
    <t xml:space="preserve">        428.65亿</t>
  </si>
  <si>
    <t>吉鑫科技</t>
  </si>
  <si>
    <t xml:space="preserve">         68.12亿</t>
  </si>
  <si>
    <t>林洋能源</t>
  </si>
  <si>
    <t xml:space="preserve">        238.36亿</t>
  </si>
  <si>
    <t>陕西煤业</t>
  </si>
  <si>
    <t xml:space="preserve">       1185.70亿</t>
  </si>
  <si>
    <t>华电重工</t>
  </si>
  <si>
    <t xml:space="preserve">         69.90亿</t>
  </si>
  <si>
    <t>广州港</t>
  </si>
  <si>
    <t xml:space="preserve">        196.32亿</t>
  </si>
  <si>
    <t>上海银行</t>
  </si>
  <si>
    <t xml:space="preserve">       1029.98亿</t>
  </si>
  <si>
    <t>环旭电子</t>
  </si>
  <si>
    <t xml:space="preserve">        331.45亿</t>
  </si>
  <si>
    <t>桐昆股份</t>
  </si>
  <si>
    <t xml:space="preserve">        476.20亿</t>
  </si>
  <si>
    <t>红塔证券</t>
  </si>
  <si>
    <t xml:space="preserve">        530.64亿</t>
  </si>
  <si>
    <t>广汽集团</t>
  </si>
  <si>
    <t xml:space="preserve">       1194.10亿</t>
  </si>
  <si>
    <t>庞大集团</t>
  </si>
  <si>
    <t xml:space="preserve">        175.91亿</t>
  </si>
  <si>
    <t>英利汽车</t>
  </si>
  <si>
    <t xml:space="preserve">        129.70亿</t>
  </si>
  <si>
    <t>农业银行</t>
  </si>
  <si>
    <t xml:space="preserve">       9417.70亿</t>
  </si>
  <si>
    <t>青岛港</t>
  </si>
  <si>
    <t xml:space="preserve">        301.42亿</t>
  </si>
  <si>
    <t>骆驼股份</t>
  </si>
  <si>
    <t xml:space="preserve">        179.73亿</t>
  </si>
  <si>
    <t>中国平安</t>
  </si>
  <si>
    <t xml:space="preserve">       5412.00亿</t>
  </si>
  <si>
    <t>中国人保</t>
  </si>
  <si>
    <t xml:space="preserve">       1710.99亿</t>
  </si>
  <si>
    <t>秦港股份</t>
  </si>
  <si>
    <t xml:space="preserve">        125.60亿</t>
  </si>
  <si>
    <t>交通银行</t>
  </si>
  <si>
    <t xml:space="preserve">       1825.17亿</t>
  </si>
  <si>
    <t>绿色动力</t>
  </si>
  <si>
    <t xml:space="preserve">        100.09亿</t>
  </si>
  <si>
    <t>广深铁路</t>
  </si>
  <si>
    <t xml:space="preserve">        115.87亿</t>
  </si>
  <si>
    <t>新华保险</t>
  </si>
  <si>
    <t xml:space="preserve">        807.90亿</t>
  </si>
  <si>
    <t>百隆东方</t>
  </si>
  <si>
    <t xml:space="preserve">         77.40亿</t>
  </si>
  <si>
    <t>三六零</t>
  </si>
  <si>
    <t xml:space="preserve">        858.16亿</t>
  </si>
  <si>
    <t>利群股份</t>
  </si>
  <si>
    <t xml:space="preserve">         51.46亿</t>
  </si>
  <si>
    <t>绿城水务</t>
  </si>
  <si>
    <t xml:space="preserve">         43.71亿</t>
  </si>
  <si>
    <t>陕鼓动力</t>
  </si>
  <si>
    <t xml:space="preserve">        244.17亿</t>
  </si>
  <si>
    <t>中原证券</t>
  </si>
  <si>
    <t xml:space="preserve">        162.38亿</t>
  </si>
  <si>
    <t>兴业证券</t>
  </si>
  <si>
    <t xml:space="preserve">        583.95亿</t>
  </si>
  <si>
    <t>怡球资源</t>
  </si>
  <si>
    <t xml:space="preserve">         99.29亿</t>
  </si>
  <si>
    <t>中国中铁</t>
  </si>
  <si>
    <t xml:space="preserve">       1067.05亿</t>
  </si>
  <si>
    <t>工商银行</t>
  </si>
  <si>
    <t xml:space="preserve">      12563.93亿</t>
  </si>
  <si>
    <t>国机重装</t>
  </si>
  <si>
    <t xml:space="preserve">        274.01亿</t>
  </si>
  <si>
    <t>国联证券</t>
  </si>
  <si>
    <t xml:space="preserve">        299.36亿</t>
  </si>
  <si>
    <t>通用股份</t>
  </si>
  <si>
    <t>中新集团</t>
  </si>
  <si>
    <t xml:space="preserve">        137.30亿</t>
  </si>
  <si>
    <t>东风股份</t>
  </si>
  <si>
    <t xml:space="preserve">        108.42亿</t>
  </si>
  <si>
    <t>吉林高速</t>
  </si>
  <si>
    <t xml:space="preserve">         32.54亿</t>
  </si>
  <si>
    <t>大智慧</t>
  </si>
  <si>
    <t xml:space="preserve">        146.44亿</t>
  </si>
  <si>
    <t>瑞丰银行</t>
  </si>
  <si>
    <t xml:space="preserve">        163.46亿</t>
  </si>
  <si>
    <t>东吴证券</t>
  </si>
  <si>
    <t xml:space="preserve">        344.98亿</t>
  </si>
  <si>
    <t>九牧王</t>
  </si>
  <si>
    <t xml:space="preserve">         74.36亿</t>
  </si>
  <si>
    <t>三星医疗</t>
  </si>
  <si>
    <t xml:space="preserve">        215.33亿</t>
  </si>
  <si>
    <t>北元集团</t>
  </si>
  <si>
    <t xml:space="preserve">        298.28亿</t>
  </si>
  <si>
    <t>长沙银行</t>
  </si>
  <si>
    <t xml:space="preserve">        318.10亿</t>
  </si>
  <si>
    <t>会稽山</t>
  </si>
  <si>
    <t>北辰实业</t>
  </si>
  <si>
    <t xml:space="preserve">         60.65亿</t>
  </si>
  <si>
    <t>上海电影</t>
  </si>
  <si>
    <t>中国外运</t>
  </si>
  <si>
    <t xml:space="preserve">        228.11亿</t>
  </si>
  <si>
    <t>浙文影业</t>
  </si>
  <si>
    <t xml:space="preserve">         33.31亿</t>
  </si>
  <si>
    <t>中国铝业</t>
  </si>
  <si>
    <t xml:space="preserve">        698.40亿</t>
  </si>
  <si>
    <t>中国太保</t>
  </si>
  <si>
    <t xml:space="preserve">       1938.52亿</t>
  </si>
  <si>
    <t>长城军工</t>
  </si>
  <si>
    <t xml:space="preserve">         97.77亿</t>
  </si>
  <si>
    <t>上海医药</t>
  </si>
  <si>
    <t xml:space="preserve">        349.80亿</t>
  </si>
  <si>
    <t>中信重工</t>
  </si>
  <si>
    <t xml:space="preserve">        202.22亿</t>
  </si>
  <si>
    <t>金田铜业</t>
  </si>
  <si>
    <t>中国核建</t>
  </si>
  <si>
    <t xml:space="preserve">        228.60亿</t>
  </si>
  <si>
    <t>明阳智能</t>
  </si>
  <si>
    <t xml:space="preserve">        658.89亿</t>
  </si>
  <si>
    <t>广电电气</t>
  </si>
  <si>
    <t xml:space="preserve">         34.15亿</t>
  </si>
  <si>
    <t>中国中冶</t>
  </si>
  <si>
    <t xml:space="preserve">        680.18亿</t>
  </si>
  <si>
    <t>嘉泽新能</t>
  </si>
  <si>
    <t>中国人寿</t>
  </si>
  <si>
    <t xml:space="preserve">       6145.02亿</t>
  </si>
  <si>
    <t>长城汽车</t>
  </si>
  <si>
    <t xml:space="preserve">       3632.96亿</t>
  </si>
  <si>
    <t>旗滨集团</t>
  </si>
  <si>
    <t xml:space="preserve">        428.99亿</t>
  </si>
  <si>
    <t>邮储银行</t>
  </si>
  <si>
    <t xml:space="preserve">       3785.95亿</t>
  </si>
  <si>
    <t>齐鲁银行</t>
  </si>
  <si>
    <t xml:space="preserve">        250.11亿</t>
  </si>
  <si>
    <t>平煤股份</t>
  </si>
  <si>
    <t xml:space="preserve">        178.03亿</t>
  </si>
  <si>
    <t>中国建筑</t>
  </si>
  <si>
    <t xml:space="preserve">       1992.54亿</t>
  </si>
  <si>
    <t>中国电建</t>
  </si>
  <si>
    <t xml:space="preserve">       1021.98亿</t>
  </si>
  <si>
    <t>明泰铝业</t>
  </si>
  <si>
    <t xml:space="preserve">        236.24亿</t>
  </si>
  <si>
    <t>滨化股份</t>
  </si>
  <si>
    <t xml:space="preserve">        164.26亿</t>
  </si>
  <si>
    <t>友发集团</t>
  </si>
  <si>
    <t xml:space="preserve">        134.50亿</t>
  </si>
  <si>
    <t>华泰证券</t>
  </si>
  <si>
    <t xml:space="preserve">       1154.41亿</t>
  </si>
  <si>
    <t>拓普集团</t>
  </si>
  <si>
    <t xml:space="preserve">        611.64亿</t>
  </si>
  <si>
    <t>中银证券</t>
  </si>
  <si>
    <t xml:space="preserve">        373.64亿</t>
  </si>
  <si>
    <t>中国卫通</t>
  </si>
  <si>
    <t xml:space="preserve">        602.40亿</t>
  </si>
  <si>
    <t>潞安环能</t>
  </si>
  <si>
    <t xml:space="preserve">        332.05亿</t>
  </si>
  <si>
    <t>风范股份</t>
  </si>
  <si>
    <t xml:space="preserve">         55.53亿</t>
  </si>
  <si>
    <t>华峰铝业</t>
  </si>
  <si>
    <t xml:space="preserve">        147.78亿</t>
  </si>
  <si>
    <t>郑煤机</t>
  </si>
  <si>
    <t xml:space="preserve">        192.05亿</t>
  </si>
  <si>
    <t>际华集团</t>
  </si>
  <si>
    <t xml:space="preserve">        119.45亿</t>
  </si>
  <si>
    <t>上海电气</t>
  </si>
  <si>
    <t xml:space="preserve">        627.57亿</t>
  </si>
  <si>
    <t>中国电信</t>
  </si>
  <si>
    <t xml:space="preserve">       3252.69亿</t>
  </si>
  <si>
    <t>中国中车</t>
  </si>
  <si>
    <t xml:space="preserve">       1459.67亿</t>
  </si>
  <si>
    <t>力帆科技</t>
  </si>
  <si>
    <t xml:space="preserve">        322.65亿</t>
  </si>
  <si>
    <t>晶科科技</t>
  </si>
  <si>
    <t xml:space="preserve">        265.97亿</t>
  </si>
  <si>
    <t>光大证券</t>
  </si>
  <si>
    <t xml:space="preserve">        581.71亿</t>
  </si>
  <si>
    <t>宁波建工</t>
  </si>
  <si>
    <t xml:space="preserve">         34.85亿</t>
  </si>
  <si>
    <t>蓝科高新</t>
  </si>
  <si>
    <t>星宇股份</t>
  </si>
  <si>
    <t xml:space="preserve">        603.13亿</t>
  </si>
  <si>
    <t>中国交建</t>
  </si>
  <si>
    <t xml:space="preserve">        837.58亿</t>
  </si>
  <si>
    <t>皖新传媒</t>
  </si>
  <si>
    <t xml:space="preserve">         97.47亿</t>
  </si>
  <si>
    <t>中海油服</t>
  </si>
  <si>
    <t xml:space="preserve">        417.43亿</t>
  </si>
  <si>
    <t>新华文轩</t>
  </si>
  <si>
    <t xml:space="preserve">         66.84亿</t>
  </si>
  <si>
    <t>京沪高铁</t>
  </si>
  <si>
    <t xml:space="preserve">       2263.81亿</t>
  </si>
  <si>
    <t>光大银行</t>
  </si>
  <si>
    <t xml:space="preserve">       1389.47亿</t>
  </si>
  <si>
    <t>沪农商行</t>
  </si>
  <si>
    <t xml:space="preserve">        675.11亿</t>
  </si>
  <si>
    <t>三峰环境</t>
  </si>
  <si>
    <t xml:space="preserve">        147.35亿</t>
  </si>
  <si>
    <t>美凯龙</t>
  </si>
  <si>
    <t xml:space="preserve">        318.71亿</t>
  </si>
  <si>
    <t>成都银行</t>
  </si>
  <si>
    <t xml:space="preserve">        421.19亿</t>
  </si>
  <si>
    <t>中国石油</t>
  </si>
  <si>
    <t xml:space="preserve">       7820.84亿</t>
  </si>
  <si>
    <t>中国科传</t>
  </si>
  <si>
    <t xml:space="preserve">         65.30亿</t>
  </si>
  <si>
    <t>紫金银行</t>
  </si>
  <si>
    <t xml:space="preserve">        116.78亿</t>
  </si>
  <si>
    <t>福莱特</t>
  </si>
  <si>
    <t xml:space="preserve">        805.18亿</t>
  </si>
  <si>
    <t>中远海发</t>
  </si>
  <si>
    <t xml:space="preserve">        245.10亿</t>
  </si>
  <si>
    <t>中国能建</t>
  </si>
  <si>
    <t xml:space="preserve">        693.97亿</t>
  </si>
  <si>
    <t>长飞光纤</t>
  </si>
  <si>
    <t xml:space="preserve">        129.22亿</t>
  </si>
  <si>
    <t>招商轮船</t>
  </si>
  <si>
    <t xml:space="preserve">        349.61亿</t>
  </si>
  <si>
    <t>正泰电器</t>
  </si>
  <si>
    <t xml:space="preserve">       1172.81亿</t>
  </si>
  <si>
    <t>浙商证券</t>
  </si>
  <si>
    <t xml:space="preserve">        472.75亿</t>
  </si>
  <si>
    <t>辽港股份</t>
  </si>
  <si>
    <t xml:space="preserve">        291.66亿</t>
  </si>
  <si>
    <t>中国银河</t>
  </si>
  <si>
    <t xml:space="preserve">        694.26亿</t>
  </si>
  <si>
    <t>海天精工</t>
  </si>
  <si>
    <t xml:space="preserve">        139.95亿</t>
  </si>
  <si>
    <t>江河集团</t>
  </si>
  <si>
    <t xml:space="preserve">         74.09亿</t>
  </si>
  <si>
    <t>中国中免</t>
  </si>
  <si>
    <t xml:space="preserve">       4398.93亿</t>
  </si>
  <si>
    <t>亚星锚链</t>
  </si>
  <si>
    <t xml:space="preserve">         88.17亿</t>
  </si>
  <si>
    <t>中煤能源</t>
  </si>
  <si>
    <t xml:space="preserve">        562.85亿</t>
  </si>
  <si>
    <t>紫金矿业</t>
  </si>
  <si>
    <t xml:space="preserve">       2147.61亿</t>
  </si>
  <si>
    <t>南方传媒</t>
  </si>
  <si>
    <t xml:space="preserve">         68.00亿</t>
  </si>
  <si>
    <t>方正证券</t>
  </si>
  <si>
    <t xml:space="preserve">        651.16亿</t>
  </si>
  <si>
    <t>京运通</t>
  </si>
  <si>
    <t xml:space="preserve">        270.44亿</t>
  </si>
  <si>
    <t>浙商银行</t>
  </si>
  <si>
    <t xml:space="preserve">        574.99亿</t>
  </si>
  <si>
    <t>新集能源</t>
  </si>
  <si>
    <t xml:space="preserve">        109.32亿</t>
  </si>
  <si>
    <t>中远海控</t>
  </si>
  <si>
    <t xml:space="preserve">       1922.91亿</t>
  </si>
  <si>
    <t>浙版传媒</t>
  </si>
  <si>
    <t xml:space="preserve">        195.33亿</t>
  </si>
  <si>
    <t>凤凰传媒</t>
  </si>
  <si>
    <t xml:space="preserve">        172.29亿</t>
  </si>
  <si>
    <t>吉视传媒</t>
  </si>
  <si>
    <t xml:space="preserve">         61.29亿</t>
  </si>
  <si>
    <t>永辉超市</t>
  </si>
  <si>
    <t xml:space="preserve">        368.45亿</t>
  </si>
  <si>
    <t>建设银行</t>
  </si>
  <si>
    <t xml:space="preserve">        560.27亿</t>
  </si>
  <si>
    <t>中国出版</t>
  </si>
  <si>
    <t>苏垦农发</t>
  </si>
  <si>
    <t xml:space="preserve">        163.57亿</t>
  </si>
  <si>
    <t>东贝集团</t>
  </si>
  <si>
    <t xml:space="preserve">         32.93亿</t>
  </si>
  <si>
    <t>金钼股份</t>
  </si>
  <si>
    <t xml:space="preserve">        229.09亿</t>
  </si>
  <si>
    <t>重庆银行</t>
  </si>
  <si>
    <t xml:space="preserve">        163.96亿</t>
  </si>
  <si>
    <t>中国汽研</t>
  </si>
  <si>
    <t xml:space="preserve">        192.80亿</t>
  </si>
  <si>
    <t>玲珑轮胎</t>
  </si>
  <si>
    <t xml:space="preserve">        505.76亿</t>
  </si>
  <si>
    <t>宝钢包装</t>
  </si>
  <si>
    <t xml:space="preserve">        110.00亿</t>
  </si>
  <si>
    <t>海南矿业</t>
  </si>
  <si>
    <t xml:space="preserve">        260.80亿</t>
  </si>
  <si>
    <t>招商南油</t>
  </si>
  <si>
    <t>中国核电</t>
  </si>
  <si>
    <t xml:space="preserve">       1140.34亿</t>
  </si>
  <si>
    <t>中国银行</t>
  </si>
  <si>
    <t xml:space="preserve">       6449.42亿</t>
  </si>
  <si>
    <t>中国重工</t>
  </si>
  <si>
    <t xml:space="preserve">        955.41亿</t>
  </si>
  <si>
    <t>南京证券</t>
  </si>
  <si>
    <t xml:space="preserve">        357.95亿</t>
  </si>
  <si>
    <t>大唐发电</t>
  </si>
  <si>
    <t xml:space="preserve">        313.62亿</t>
  </si>
  <si>
    <t>金隅集团</t>
  </si>
  <si>
    <t xml:space="preserve">        225.99亿</t>
  </si>
  <si>
    <t>中金公司</t>
  </si>
  <si>
    <t xml:space="preserve">       1409.73亿</t>
  </si>
  <si>
    <t>丰林集团</t>
  </si>
  <si>
    <t xml:space="preserve">         34.71亿</t>
  </si>
  <si>
    <t>贵阳银行</t>
  </si>
  <si>
    <t xml:space="preserve">        239.12亿</t>
  </si>
  <si>
    <t>中信银行</t>
  </si>
  <si>
    <t xml:space="preserve">       1539.18亿</t>
  </si>
  <si>
    <t>出版传媒</t>
  </si>
  <si>
    <t>人民网</t>
  </si>
  <si>
    <t xml:space="preserve">        149.71亿</t>
  </si>
  <si>
    <t>奥康国际</t>
  </si>
  <si>
    <t xml:space="preserve">         31.48亿</t>
  </si>
  <si>
    <t>宏昌电子</t>
  </si>
  <si>
    <t xml:space="preserve">         73.39亿</t>
  </si>
  <si>
    <t>龙宇燃油</t>
  </si>
  <si>
    <t>晶方科技</t>
  </si>
  <si>
    <t xml:space="preserve">        193.10亿</t>
  </si>
  <si>
    <t>联明股份</t>
  </si>
  <si>
    <t xml:space="preserve">         27.54亿</t>
  </si>
  <si>
    <t>ST花王</t>
  </si>
  <si>
    <t xml:space="preserve">         11.08亿</t>
  </si>
  <si>
    <t>喜临门</t>
  </si>
  <si>
    <t xml:space="preserve">        107.70亿</t>
  </si>
  <si>
    <t>北特科技</t>
  </si>
  <si>
    <t xml:space="preserve">         24.86亿</t>
  </si>
  <si>
    <t>万盛股份</t>
  </si>
  <si>
    <t xml:space="preserve">        126.46亿</t>
  </si>
  <si>
    <t>合锻智能</t>
  </si>
  <si>
    <t>创力集团</t>
  </si>
  <si>
    <t>亚普股份</t>
  </si>
  <si>
    <t xml:space="preserve">         82.26亿</t>
  </si>
  <si>
    <t>弘讯科技</t>
  </si>
  <si>
    <t>新宏泰</t>
  </si>
  <si>
    <t xml:space="preserve">         33.41亿</t>
  </si>
  <si>
    <t>中衡设计</t>
  </si>
  <si>
    <t>华设集团</t>
  </si>
  <si>
    <t xml:space="preserve">         47.94亿</t>
  </si>
  <si>
    <t>中科曙光</t>
  </si>
  <si>
    <t xml:space="preserve">        424.03亿</t>
  </si>
  <si>
    <t>爱普股份</t>
  </si>
  <si>
    <t xml:space="preserve">         52.89亿</t>
  </si>
  <si>
    <t>山东华鹏</t>
  </si>
  <si>
    <t>新通联</t>
  </si>
  <si>
    <t>威帝股份</t>
  </si>
  <si>
    <t xml:space="preserve">         23.21亿</t>
  </si>
  <si>
    <t>大豪科技</t>
  </si>
  <si>
    <t xml:space="preserve">        265.79亿</t>
  </si>
  <si>
    <t>石大胜华</t>
  </si>
  <si>
    <t xml:space="preserve">        378.16亿</t>
  </si>
  <si>
    <t>千禾味业</t>
  </si>
  <si>
    <t xml:space="preserve">        208.80亿</t>
  </si>
  <si>
    <t>赛福天</t>
  </si>
  <si>
    <t>天鹅股份</t>
  </si>
  <si>
    <t xml:space="preserve">         12.53亿</t>
  </si>
  <si>
    <t>全筑股份</t>
  </si>
  <si>
    <t xml:space="preserve">         20.07亿</t>
  </si>
  <si>
    <t>安德利</t>
  </si>
  <si>
    <t xml:space="preserve">         42.55亿</t>
  </si>
  <si>
    <t>*ST德新</t>
  </si>
  <si>
    <t xml:space="preserve">        117.14亿</t>
  </si>
  <si>
    <t>三维股份</t>
  </si>
  <si>
    <t>常熟汽饰</t>
  </si>
  <si>
    <t xml:space="preserve">         49.49亿</t>
  </si>
  <si>
    <t>如通股份</t>
  </si>
  <si>
    <t>凯众股份</t>
  </si>
  <si>
    <t xml:space="preserve">         21.69亿</t>
  </si>
  <si>
    <t>华立股份</t>
  </si>
  <si>
    <t xml:space="preserve">         29.10亿</t>
  </si>
  <si>
    <t>泛微网络</t>
  </si>
  <si>
    <t xml:space="preserve">        162.51亿</t>
  </si>
  <si>
    <t>新坐标</t>
  </si>
  <si>
    <t>美思德</t>
  </si>
  <si>
    <t>华脉科技</t>
  </si>
  <si>
    <t xml:space="preserve">         19.90亿</t>
  </si>
  <si>
    <t>广州酒家</t>
  </si>
  <si>
    <t xml:space="preserve">        134.44亿</t>
  </si>
  <si>
    <t>福达合金</t>
  </si>
  <si>
    <t xml:space="preserve">         24.08亿</t>
  </si>
  <si>
    <t>浙江黎明</t>
  </si>
  <si>
    <t xml:space="preserve">         48.90亿</t>
  </si>
  <si>
    <t>科林电气</t>
  </si>
  <si>
    <t xml:space="preserve">         36.01亿</t>
  </si>
  <si>
    <t>成都燃气</t>
  </si>
  <si>
    <t xml:space="preserve">         92.44亿</t>
  </si>
  <si>
    <t>台华新材</t>
  </si>
  <si>
    <t>德邦股份</t>
  </si>
  <si>
    <t xml:space="preserve">        106.80亿</t>
  </si>
  <si>
    <t>永吉股份</t>
  </si>
  <si>
    <t xml:space="preserve">         33.27亿</t>
  </si>
  <si>
    <t>倍加洁</t>
  </si>
  <si>
    <t xml:space="preserve">         23.16亿</t>
  </si>
  <si>
    <t>国检集团</t>
  </si>
  <si>
    <t xml:space="preserve">        119.53亿</t>
  </si>
  <si>
    <t>禾望电气</t>
  </si>
  <si>
    <t xml:space="preserve">        163.22亿</t>
  </si>
  <si>
    <t>音飞储存</t>
  </si>
  <si>
    <t xml:space="preserve">         24.66亿</t>
  </si>
  <si>
    <t>振华股份</t>
  </si>
  <si>
    <t>博通集成</t>
  </si>
  <si>
    <t xml:space="preserve">         86.00亿</t>
  </si>
  <si>
    <t>海汽集团</t>
  </si>
  <si>
    <t xml:space="preserve">         47.75亿</t>
  </si>
  <si>
    <t>乐惠国际</t>
  </si>
  <si>
    <t xml:space="preserve">         45.02亿</t>
  </si>
  <si>
    <t>和邦生物</t>
  </si>
  <si>
    <t xml:space="preserve">        302.03亿</t>
  </si>
  <si>
    <t>江化微</t>
  </si>
  <si>
    <t>圣达生物</t>
  </si>
  <si>
    <t>新疆火炬</t>
  </si>
  <si>
    <t>大丰实业</t>
  </si>
  <si>
    <t xml:space="preserve">         51.07亿</t>
  </si>
  <si>
    <t>剑桥科技</t>
  </si>
  <si>
    <t>天成自控</t>
  </si>
  <si>
    <t xml:space="preserve">         28.40亿</t>
  </si>
  <si>
    <t>先达股份</t>
  </si>
  <si>
    <t>甘李药业</t>
  </si>
  <si>
    <t xml:space="preserve">        380.16亿</t>
  </si>
  <si>
    <t>宁波精达</t>
  </si>
  <si>
    <t xml:space="preserve">         42.38亿</t>
  </si>
  <si>
    <t>正裕工业</t>
  </si>
  <si>
    <t xml:space="preserve">         19.34亿</t>
  </si>
  <si>
    <t>宏盛股份</t>
  </si>
  <si>
    <t xml:space="preserve">         24.97亿</t>
  </si>
  <si>
    <t>南华期货</t>
  </si>
  <si>
    <t>越剑智能</t>
  </si>
  <si>
    <t xml:space="preserve">         35.22亿</t>
  </si>
  <si>
    <t>新经典</t>
  </si>
  <si>
    <t xml:space="preserve">         45.18亿</t>
  </si>
  <si>
    <t>森特股份</t>
  </si>
  <si>
    <t xml:space="preserve">        270.64亿</t>
  </si>
  <si>
    <t>长白山</t>
  </si>
  <si>
    <t>川仪股份</t>
  </si>
  <si>
    <t xml:space="preserve">         77.62亿</t>
  </si>
  <si>
    <t>汇嘉时代</t>
  </si>
  <si>
    <t xml:space="preserve">         28.04亿</t>
  </si>
  <si>
    <t>横店影视</t>
  </si>
  <si>
    <t xml:space="preserve">         76.74亿</t>
  </si>
  <si>
    <t>芯能科技</t>
  </si>
  <si>
    <t xml:space="preserve">         87.30亿</t>
  </si>
  <si>
    <t>恒银科技</t>
  </si>
  <si>
    <t>润达医疗</t>
  </si>
  <si>
    <t xml:space="preserve">         70.24亿</t>
  </si>
  <si>
    <t>神驰机电</t>
  </si>
  <si>
    <t xml:space="preserve">         48.17亿</t>
  </si>
  <si>
    <t>东方材料</t>
  </si>
  <si>
    <t xml:space="preserve">         66.26亿</t>
  </si>
  <si>
    <t>康尼机电</t>
  </si>
  <si>
    <t xml:space="preserve">         51.25亿</t>
  </si>
  <si>
    <t>华翔股份</t>
  </si>
  <si>
    <t xml:space="preserve">         58.44亿</t>
  </si>
  <si>
    <t>金能科技</t>
  </si>
  <si>
    <t xml:space="preserve">        135.53亿</t>
  </si>
  <si>
    <t>海星股份</t>
  </si>
  <si>
    <t>红蜻蜓</t>
  </si>
  <si>
    <t xml:space="preserve">         32.21亿</t>
  </si>
  <si>
    <t>万林物流</t>
  </si>
  <si>
    <t>共进股份</t>
  </si>
  <si>
    <t xml:space="preserve">         71.21亿</t>
  </si>
  <si>
    <t>华培动力</t>
  </si>
  <si>
    <t>翠微股份</t>
  </si>
  <si>
    <t xml:space="preserve">         52.80亿</t>
  </si>
  <si>
    <t>中材节能</t>
  </si>
  <si>
    <t xml:space="preserve">         51.10亿</t>
  </si>
  <si>
    <t>昭衍新药</t>
  </si>
  <si>
    <t xml:space="preserve">        429.76亿</t>
  </si>
  <si>
    <t>华贸物流</t>
  </si>
  <si>
    <t xml:space="preserve">        186.60亿</t>
  </si>
  <si>
    <t>春风动力</t>
  </si>
  <si>
    <t xml:space="preserve">        275.54亿</t>
  </si>
  <si>
    <t>上海沪工</t>
  </si>
  <si>
    <t xml:space="preserve">         82.64亿</t>
  </si>
  <si>
    <t>碳元科技</t>
  </si>
  <si>
    <t>天目湖</t>
  </si>
  <si>
    <t>海量数据</t>
  </si>
  <si>
    <t xml:space="preserve">         50.17亿</t>
  </si>
  <si>
    <t>康惠制药</t>
  </si>
  <si>
    <t xml:space="preserve">         18.56亿</t>
  </si>
  <si>
    <t>新亚强</t>
  </si>
  <si>
    <t xml:space="preserve">         96.06亿</t>
  </si>
  <si>
    <t>养元饮品</t>
  </si>
  <si>
    <t xml:space="preserve">        388.76亿</t>
  </si>
  <si>
    <t>*ST拉夏</t>
  </si>
  <si>
    <t xml:space="preserve">          7.89亿</t>
  </si>
  <si>
    <t>腾龙股份</t>
  </si>
  <si>
    <t xml:space="preserve">         57.81亿</t>
  </si>
  <si>
    <t>上海亚虹</t>
  </si>
  <si>
    <t xml:space="preserve">         23.37亿</t>
  </si>
  <si>
    <t>汇顶科技</t>
  </si>
  <si>
    <t xml:space="preserve">        524.00亿</t>
  </si>
  <si>
    <t>科华控股</t>
  </si>
  <si>
    <t>荣晟环保</t>
  </si>
  <si>
    <t>福达股份</t>
  </si>
  <si>
    <t>渤海轮渡</t>
  </si>
  <si>
    <t>莎普爱思</t>
  </si>
  <si>
    <t>兰石重装</t>
  </si>
  <si>
    <t>税友股份</t>
  </si>
  <si>
    <t xml:space="preserve">        125.26亿</t>
  </si>
  <si>
    <t>德创环保</t>
  </si>
  <si>
    <t xml:space="preserve">         31.07亿</t>
  </si>
  <si>
    <t>圣龙股份</t>
  </si>
  <si>
    <t xml:space="preserve">         34.77亿</t>
  </si>
  <si>
    <t>新泉股份</t>
  </si>
  <si>
    <t xml:space="preserve">        145.78亿</t>
  </si>
  <si>
    <t>金牌厨柜</t>
  </si>
  <si>
    <t xml:space="preserve">         51.27亿</t>
  </si>
  <si>
    <t>皇马科技</t>
  </si>
  <si>
    <t xml:space="preserve">         99.31亿</t>
  </si>
  <si>
    <t>建研院</t>
  </si>
  <si>
    <t xml:space="preserve">         23.00亿</t>
  </si>
  <si>
    <t>上机数控</t>
  </si>
  <si>
    <t xml:space="preserve">        651.76亿</t>
  </si>
  <si>
    <t>华正新材</t>
  </si>
  <si>
    <t xml:space="preserve">         58.20亿</t>
  </si>
  <si>
    <t>海容冷链</t>
  </si>
  <si>
    <t xml:space="preserve">        109.92亿</t>
  </si>
  <si>
    <t>亚邦股份</t>
  </si>
  <si>
    <t xml:space="preserve">         29.84亿</t>
  </si>
  <si>
    <t>网达软件</t>
  </si>
  <si>
    <t xml:space="preserve">         53.07亿</t>
  </si>
  <si>
    <t>汇得科技</t>
  </si>
  <si>
    <t xml:space="preserve">         48.53亿</t>
  </si>
  <si>
    <t>公牛集团</t>
  </si>
  <si>
    <t xml:space="preserve">        968.55亿</t>
  </si>
  <si>
    <t>日播时尚</t>
  </si>
  <si>
    <t>保隆科技</t>
  </si>
  <si>
    <t xml:space="preserve">         83.04亿</t>
  </si>
  <si>
    <t>迎驾贡酒</t>
  </si>
  <si>
    <t xml:space="preserve">        516.80亿</t>
  </si>
  <si>
    <t>九华旅游</t>
  </si>
  <si>
    <t xml:space="preserve">         23.31亿</t>
  </si>
  <si>
    <t>上海洗霸</t>
  </si>
  <si>
    <t xml:space="preserve">         27.78亿</t>
  </si>
  <si>
    <t>快克股份</t>
  </si>
  <si>
    <t>江山欧派</t>
  </si>
  <si>
    <t xml:space="preserve">         63.25亿</t>
  </si>
  <si>
    <t>赛伍技术</t>
  </si>
  <si>
    <t xml:space="preserve">        143.80亿</t>
  </si>
  <si>
    <t>镇洋发展</t>
  </si>
  <si>
    <t xml:space="preserve">         66.44亿</t>
  </si>
  <si>
    <t>爱婴室</t>
  </si>
  <si>
    <t>元利科技</t>
  </si>
  <si>
    <t xml:space="preserve">         52.38亿</t>
  </si>
  <si>
    <t>日月股份</t>
  </si>
  <si>
    <t xml:space="preserve">        380.26亿</t>
  </si>
  <si>
    <t>中贝通信</t>
  </si>
  <si>
    <t xml:space="preserve">         48.70亿</t>
  </si>
  <si>
    <t>爱丽家居</t>
  </si>
  <si>
    <t xml:space="preserve">         21.89亿</t>
  </si>
  <si>
    <t>济民医疗</t>
  </si>
  <si>
    <t xml:space="preserve">         46.61亿</t>
  </si>
  <si>
    <t>恒通股份</t>
  </si>
  <si>
    <t xml:space="preserve">         91.95亿</t>
  </si>
  <si>
    <t>新凤鸣</t>
  </si>
  <si>
    <t xml:space="preserve">        214.14亿</t>
  </si>
  <si>
    <t>菲林格尔</t>
  </si>
  <si>
    <t>雪峰科技</t>
  </si>
  <si>
    <t>景旺电子</t>
  </si>
  <si>
    <t xml:space="preserve">        247.03亿</t>
  </si>
  <si>
    <t>奥翔药业</t>
  </si>
  <si>
    <t xml:space="preserve">        106.81亿</t>
  </si>
  <si>
    <t>格尔软件</t>
  </si>
  <si>
    <t>大参林</t>
  </si>
  <si>
    <t xml:space="preserve">        285.32亿</t>
  </si>
  <si>
    <t>移远通信</t>
  </si>
  <si>
    <t xml:space="preserve">        270.10亿</t>
  </si>
  <si>
    <t>诺邦股份</t>
  </si>
  <si>
    <t xml:space="preserve">         22.13亿</t>
  </si>
  <si>
    <t>浙江仙通</t>
  </si>
  <si>
    <t xml:space="preserve">         46.10亿</t>
  </si>
  <si>
    <t>宏和科技</t>
  </si>
  <si>
    <t xml:space="preserve">         79.70亿</t>
  </si>
  <si>
    <t>电魂网络</t>
  </si>
  <si>
    <t xml:space="preserve">         69.50亿</t>
  </si>
  <si>
    <t>药明康德</t>
  </si>
  <si>
    <t xml:space="preserve">       3340.23亿</t>
  </si>
  <si>
    <t>合盛硅业</t>
  </si>
  <si>
    <t xml:space="preserve">       1762.60亿</t>
  </si>
  <si>
    <t>天龙股份</t>
  </si>
  <si>
    <t xml:space="preserve">         23.29亿</t>
  </si>
  <si>
    <t>鸿远电子</t>
  </si>
  <si>
    <t xml:space="preserve">        370.22亿</t>
  </si>
  <si>
    <t>松发股份</t>
  </si>
  <si>
    <t>海鸥股份</t>
  </si>
  <si>
    <t xml:space="preserve">         14.14亿</t>
  </si>
  <si>
    <t>银都股份</t>
  </si>
  <si>
    <t xml:space="preserve">         81.94亿</t>
  </si>
  <si>
    <t>大业股份</t>
  </si>
  <si>
    <t xml:space="preserve">         30.36亿</t>
  </si>
  <si>
    <t>景津环保</t>
  </si>
  <si>
    <t xml:space="preserve">        155.80亿</t>
  </si>
  <si>
    <t>赛腾股份</t>
  </si>
  <si>
    <t xml:space="preserve">         53.85亿</t>
  </si>
  <si>
    <t>日盈电子</t>
  </si>
  <si>
    <t xml:space="preserve">         18.67亿</t>
  </si>
  <si>
    <t>海天味业</t>
  </si>
  <si>
    <t xml:space="preserve">       5050.88亿</t>
  </si>
  <si>
    <t>泰瑞机器</t>
  </si>
  <si>
    <t xml:space="preserve">         27.92亿</t>
  </si>
  <si>
    <t>斯达半导</t>
  </si>
  <si>
    <t xml:space="preserve">        772.85亿</t>
  </si>
  <si>
    <t>永新光学</t>
  </si>
  <si>
    <t xml:space="preserve">         96.35亿</t>
  </si>
  <si>
    <t>杭叉集团</t>
  </si>
  <si>
    <t xml:space="preserve">        150.49亿</t>
  </si>
  <si>
    <t>苏盐井神</t>
  </si>
  <si>
    <t xml:space="preserve">         71.01亿</t>
  </si>
  <si>
    <t>华铁应急</t>
  </si>
  <si>
    <t xml:space="preserve">         94.23亿</t>
  </si>
  <si>
    <t>振德医疗</t>
  </si>
  <si>
    <t xml:space="preserve">         98.83亿</t>
  </si>
  <si>
    <t>得邦照明</t>
  </si>
  <si>
    <t xml:space="preserve">         74.45亿</t>
  </si>
  <si>
    <t>旭升股份</t>
  </si>
  <si>
    <t xml:space="preserve">        209.66亿</t>
  </si>
  <si>
    <t>华懋科技</t>
  </si>
  <si>
    <t xml:space="preserve">        109.48亿</t>
  </si>
  <si>
    <t>应流股份</t>
  </si>
  <si>
    <t xml:space="preserve">        148.86亿</t>
  </si>
  <si>
    <t>维力医疗</t>
  </si>
  <si>
    <t xml:space="preserve">         38.69亿</t>
  </si>
  <si>
    <t>金海高科</t>
  </si>
  <si>
    <t xml:space="preserve">         21.19亿</t>
  </si>
  <si>
    <t>梦百合</t>
  </si>
  <si>
    <t xml:space="preserve">         88.80亿</t>
  </si>
  <si>
    <t>福鞍股份</t>
  </si>
  <si>
    <t xml:space="preserve">         83.73亿</t>
  </si>
  <si>
    <t>诚邦股份</t>
  </si>
  <si>
    <t xml:space="preserve">         13.66亿</t>
  </si>
  <si>
    <t>天味食品</t>
  </si>
  <si>
    <t xml:space="preserve">        203.55亿</t>
  </si>
  <si>
    <t>水发燃气</t>
  </si>
  <si>
    <t>湘油泵</t>
  </si>
  <si>
    <t xml:space="preserve">         34.68亿</t>
  </si>
  <si>
    <t>迪贝电气</t>
  </si>
  <si>
    <t>梅轮电梯</t>
  </si>
  <si>
    <t xml:space="preserve">         20.72亿</t>
  </si>
  <si>
    <t>超讯通信</t>
  </si>
  <si>
    <t>苏农银行</t>
  </si>
  <si>
    <t>盛剑环境</t>
  </si>
  <si>
    <t xml:space="preserve">         81.79亿</t>
  </si>
  <si>
    <t>我乐家居</t>
  </si>
  <si>
    <t xml:space="preserve">         30.60亿</t>
  </si>
  <si>
    <t>福蓉科技</t>
  </si>
  <si>
    <t xml:space="preserve">         64.88亿</t>
  </si>
  <si>
    <t>依顿电子</t>
  </si>
  <si>
    <t xml:space="preserve">         74.58亿</t>
  </si>
  <si>
    <t>上海雅仕</t>
  </si>
  <si>
    <t>上海天洋</t>
  </si>
  <si>
    <t xml:space="preserve">         46.81亿</t>
  </si>
  <si>
    <t>百达精工</t>
  </si>
  <si>
    <t>苏州龙杰</t>
  </si>
  <si>
    <t xml:space="preserve">         18.80亿</t>
  </si>
  <si>
    <t>尚纬股份</t>
  </si>
  <si>
    <t>迪生力</t>
  </si>
  <si>
    <t xml:space="preserve">         22.09亿</t>
  </si>
  <si>
    <t>宏辉果蔬</t>
  </si>
  <si>
    <t xml:space="preserve">         34.96亿</t>
  </si>
  <si>
    <t>杰克股份</t>
  </si>
  <si>
    <t xml:space="preserve">        121.50亿</t>
  </si>
  <si>
    <t>浙江鼎力</t>
  </si>
  <si>
    <t xml:space="preserve">        376.01亿</t>
  </si>
  <si>
    <t>四方科技</t>
  </si>
  <si>
    <t>安井食品</t>
  </si>
  <si>
    <t xml:space="preserve">        435.71亿</t>
  </si>
  <si>
    <t>文灿股份</t>
  </si>
  <si>
    <t xml:space="preserve">        120.31亿</t>
  </si>
  <si>
    <t>威尔药业</t>
  </si>
  <si>
    <t>和顺石油</t>
  </si>
  <si>
    <t xml:space="preserve">         38.89亿</t>
  </si>
  <si>
    <t>莱克电气</t>
  </si>
  <si>
    <t xml:space="preserve">        149.58亿</t>
  </si>
  <si>
    <t>华菱精工</t>
  </si>
  <si>
    <t xml:space="preserve">         19.36亿</t>
  </si>
  <si>
    <t>设计总院</t>
  </si>
  <si>
    <t>华达科技</t>
  </si>
  <si>
    <t xml:space="preserve">         86.93亿</t>
  </si>
  <si>
    <t>东珠生态</t>
  </si>
  <si>
    <t xml:space="preserve">         61.65亿</t>
  </si>
  <si>
    <t>百傲化学</t>
  </si>
  <si>
    <t xml:space="preserve">         36.09亿</t>
  </si>
  <si>
    <t>傲农生物</t>
  </si>
  <si>
    <t xml:space="preserve">         77.92亿</t>
  </si>
  <si>
    <t>水星家纺</t>
  </si>
  <si>
    <t>日出东方</t>
  </si>
  <si>
    <t>辰欣药业</t>
  </si>
  <si>
    <t xml:space="preserve">         56.13亿</t>
  </si>
  <si>
    <t>柳药股份</t>
  </si>
  <si>
    <t>今世缘</t>
  </si>
  <si>
    <t xml:space="preserve">        738.27亿</t>
  </si>
  <si>
    <t>东方时尚</t>
  </si>
  <si>
    <t xml:space="preserve">         61.79亿</t>
  </si>
  <si>
    <t>亚士创能</t>
  </si>
  <si>
    <t xml:space="preserve">         75.63亿</t>
  </si>
  <si>
    <t>三美股份</t>
  </si>
  <si>
    <t>易德龙</t>
  </si>
  <si>
    <t>顶点软件</t>
  </si>
  <si>
    <t xml:space="preserve">         58.80亿</t>
  </si>
  <si>
    <t>惠达卫浴</t>
  </si>
  <si>
    <t xml:space="preserve">         35.32亿</t>
  </si>
  <si>
    <t>广东骏亚</t>
  </si>
  <si>
    <t xml:space="preserve">         58.84亿</t>
  </si>
  <si>
    <t>基蛋生物</t>
  </si>
  <si>
    <t xml:space="preserve">         65.23亿</t>
  </si>
  <si>
    <t>元成股份</t>
  </si>
  <si>
    <t>亚振家居</t>
  </si>
  <si>
    <t xml:space="preserve">         13.40亿</t>
  </si>
  <si>
    <t>通达电气</t>
  </si>
  <si>
    <t>万泰生物</t>
  </si>
  <si>
    <t xml:space="preserve">       1537.45亿</t>
  </si>
  <si>
    <t>新天然气</t>
  </si>
  <si>
    <t xml:space="preserve">        117.38亿</t>
  </si>
  <si>
    <t>金辰股份</t>
  </si>
  <si>
    <t xml:space="preserve">        156.53亿</t>
  </si>
  <si>
    <t>邦宝益智</t>
  </si>
  <si>
    <t xml:space="preserve">         47.97亿</t>
  </si>
  <si>
    <t>吉翔股份</t>
  </si>
  <si>
    <t>建霖家居</t>
  </si>
  <si>
    <t xml:space="preserve">         62.58亿</t>
  </si>
  <si>
    <t>信捷电气</t>
  </si>
  <si>
    <t xml:space="preserve">         65.95亿</t>
  </si>
  <si>
    <t>鼎信通讯</t>
  </si>
  <si>
    <t>集友股份</t>
  </si>
  <si>
    <t xml:space="preserve">        104.49亿</t>
  </si>
  <si>
    <t>贵州三力</t>
  </si>
  <si>
    <t xml:space="preserve">         56.74亿</t>
  </si>
  <si>
    <t>吉比特</t>
  </si>
  <si>
    <t xml:space="preserve">        281.73亿</t>
  </si>
  <si>
    <t>九洲药业</t>
  </si>
  <si>
    <t xml:space="preserve">        450.43亿</t>
  </si>
  <si>
    <t>勘设股份</t>
  </si>
  <si>
    <t>风语筑</t>
  </si>
  <si>
    <t xml:space="preserve">         81.90亿</t>
  </si>
  <si>
    <t>巨星农牧</t>
  </si>
  <si>
    <t xml:space="preserve">         65.99亿</t>
  </si>
  <si>
    <t>科沃斯</t>
  </si>
  <si>
    <t xml:space="preserve">        988.46亿</t>
  </si>
  <si>
    <t>展鹏科技</t>
  </si>
  <si>
    <t xml:space="preserve">         24.56亿</t>
  </si>
  <si>
    <t>八方股份</t>
  </si>
  <si>
    <t xml:space="preserve">        304.64亿</t>
  </si>
  <si>
    <t>恒为科技</t>
  </si>
  <si>
    <t xml:space="preserve">         33.33亿</t>
  </si>
  <si>
    <t>翔港科技</t>
  </si>
  <si>
    <t xml:space="preserve">         16.00亿</t>
  </si>
  <si>
    <t>祥和实业</t>
  </si>
  <si>
    <t xml:space="preserve">         22.96亿</t>
  </si>
  <si>
    <t>韦尔股份</t>
  </si>
  <si>
    <t xml:space="preserve">       2337.89亿</t>
  </si>
  <si>
    <t>金石资源</t>
  </si>
  <si>
    <t xml:space="preserve">        124.30亿</t>
  </si>
  <si>
    <t>南都物业</t>
  </si>
  <si>
    <t xml:space="preserve">         28.60亿</t>
  </si>
  <si>
    <t>振江股份</t>
  </si>
  <si>
    <t xml:space="preserve">         65.89亿</t>
  </si>
  <si>
    <t>思维列控</t>
  </si>
  <si>
    <t xml:space="preserve">         58.14亿</t>
  </si>
  <si>
    <t>爱慕股份</t>
  </si>
  <si>
    <t xml:space="preserve">         89.20亿</t>
  </si>
  <si>
    <t>欧普照明</t>
  </si>
  <si>
    <t xml:space="preserve">        148.35亿</t>
  </si>
  <si>
    <t>淳中科技</t>
  </si>
  <si>
    <t>绝味食品</t>
  </si>
  <si>
    <t xml:space="preserve">        402.19亿</t>
  </si>
  <si>
    <t>锦泓集团</t>
  </si>
  <si>
    <t xml:space="preserve">         35.00亿</t>
  </si>
  <si>
    <t>立霸股份</t>
  </si>
  <si>
    <t>司太立</t>
  </si>
  <si>
    <t xml:space="preserve">        153.41亿</t>
  </si>
  <si>
    <t>众源新材</t>
  </si>
  <si>
    <t>多伦科技</t>
  </si>
  <si>
    <t xml:space="preserve">         41.41亿</t>
  </si>
  <si>
    <t>爱玛科技</t>
  </si>
  <si>
    <t xml:space="preserve">        161.59亿</t>
  </si>
  <si>
    <t>神马电力</t>
  </si>
  <si>
    <t xml:space="preserve">         86.02亿</t>
  </si>
  <si>
    <t>掌阅科技</t>
  </si>
  <si>
    <t xml:space="preserve">         92.21亿</t>
  </si>
  <si>
    <t>嘉诚国际</t>
  </si>
  <si>
    <t>惠发食品</t>
  </si>
  <si>
    <t xml:space="preserve">         16.48亿</t>
  </si>
  <si>
    <t>美诺华</t>
  </si>
  <si>
    <t>奥普家居</t>
  </si>
  <si>
    <t xml:space="preserve">         43.39亿</t>
  </si>
  <si>
    <t>ST贵人</t>
  </si>
  <si>
    <t xml:space="preserve">         43.22亿</t>
  </si>
  <si>
    <t>海兴电力</t>
  </si>
  <si>
    <t xml:space="preserve">         66.66亿</t>
  </si>
  <si>
    <t>ST起步</t>
  </si>
  <si>
    <t xml:space="preserve">         28.12亿</t>
  </si>
  <si>
    <t>健盛集团</t>
  </si>
  <si>
    <t xml:space="preserve">         46.96亿</t>
  </si>
  <si>
    <t>中通国脉</t>
  </si>
  <si>
    <t xml:space="preserve">         17.48亿</t>
  </si>
  <si>
    <t>中谷物流</t>
  </si>
  <si>
    <t xml:space="preserve">        291.17亿</t>
  </si>
  <si>
    <t>普莱柯</t>
  </si>
  <si>
    <t xml:space="preserve">         63.01亿</t>
  </si>
  <si>
    <t>珍宝岛</t>
  </si>
  <si>
    <t xml:space="preserve">        145.72亿</t>
  </si>
  <si>
    <t>伟明环保</t>
  </si>
  <si>
    <t xml:space="preserve">        369.55亿</t>
  </si>
  <si>
    <t>长久物流</t>
  </si>
  <si>
    <t>汇金通</t>
  </si>
  <si>
    <t xml:space="preserve">         30.29亿</t>
  </si>
  <si>
    <t>三星新材</t>
  </si>
  <si>
    <t xml:space="preserve">         23.30亿</t>
  </si>
  <si>
    <t>荣泰健康</t>
  </si>
  <si>
    <t>艾艾精工</t>
  </si>
  <si>
    <t xml:space="preserve">         14.57亿</t>
  </si>
  <si>
    <t>捷昌驱动</t>
  </si>
  <si>
    <t xml:space="preserve">        207.42亿</t>
  </si>
  <si>
    <t>苏利股份</t>
  </si>
  <si>
    <t xml:space="preserve">         30.51亿</t>
  </si>
  <si>
    <t>金麒麟</t>
  </si>
  <si>
    <t>地素时尚</t>
  </si>
  <si>
    <t xml:space="preserve">         89.21亿</t>
  </si>
  <si>
    <t>高能环境</t>
  </si>
  <si>
    <t xml:space="preserve">        163.59亿</t>
  </si>
  <si>
    <t>口子窖</t>
  </si>
  <si>
    <t xml:space="preserve">        385.20亿</t>
  </si>
  <si>
    <t>康辰药业</t>
  </si>
  <si>
    <t xml:space="preserve">         50.72亿</t>
  </si>
  <si>
    <t>东尼电子</t>
  </si>
  <si>
    <t xml:space="preserve">         96.50亿</t>
  </si>
  <si>
    <t>伯特利</t>
  </si>
  <si>
    <t xml:space="preserve">        261.73亿</t>
  </si>
  <si>
    <t>引力传媒</t>
  </si>
  <si>
    <t>广信股份</t>
  </si>
  <si>
    <t xml:space="preserve">        168.34亿</t>
  </si>
  <si>
    <t>永艺股份</t>
  </si>
  <si>
    <t xml:space="preserve">         34.64亿</t>
  </si>
  <si>
    <t>再升科技</t>
  </si>
  <si>
    <t xml:space="preserve">         87.79亿</t>
  </si>
  <si>
    <t>纵横通信</t>
  </si>
  <si>
    <t xml:space="preserve">         20.89亿</t>
  </si>
  <si>
    <t>博天环境</t>
  </si>
  <si>
    <t xml:space="preserve">         29.20亿</t>
  </si>
  <si>
    <t>珀莱雅</t>
  </si>
  <si>
    <t xml:space="preserve">        398.74亿</t>
  </si>
  <si>
    <t>东方电缆</t>
  </si>
  <si>
    <t xml:space="preserve">        395.63亿</t>
  </si>
  <si>
    <t>京华激光</t>
  </si>
  <si>
    <t xml:space="preserve">         26.51亿</t>
  </si>
  <si>
    <t>天创时尚</t>
  </si>
  <si>
    <t>禾丰股份</t>
  </si>
  <si>
    <t xml:space="preserve">         85.65亿</t>
  </si>
  <si>
    <t>麒盛科技</t>
  </si>
  <si>
    <t xml:space="preserve">         81.64亿</t>
  </si>
  <si>
    <t>诺力股份</t>
  </si>
  <si>
    <t xml:space="preserve">         50.79亿</t>
  </si>
  <si>
    <t>索通发展</t>
  </si>
  <si>
    <t xml:space="preserve">         92.49亿</t>
  </si>
  <si>
    <t>国联股份</t>
  </si>
  <si>
    <t xml:space="preserve">        424.54亿</t>
  </si>
  <si>
    <t>茶花股份</t>
  </si>
  <si>
    <t>韩建河山</t>
  </si>
  <si>
    <t>君禾股份</t>
  </si>
  <si>
    <t>杭电股份</t>
  </si>
  <si>
    <t>中曼石油</t>
  </si>
  <si>
    <t xml:space="preserve">         50.80亿</t>
  </si>
  <si>
    <t>科森科技</t>
  </si>
  <si>
    <t xml:space="preserve">         75.66亿</t>
  </si>
  <si>
    <t>清源股份</t>
  </si>
  <si>
    <t xml:space="preserve">         43.26亿</t>
  </si>
  <si>
    <t>利通电子</t>
  </si>
  <si>
    <t>拉芳家化</t>
  </si>
  <si>
    <t xml:space="preserve">         49.26亿</t>
  </si>
  <si>
    <t>徕木股份</t>
  </si>
  <si>
    <t xml:space="preserve">         38.63亿</t>
  </si>
  <si>
    <t>南威软件</t>
  </si>
  <si>
    <t xml:space="preserve">         49.98亿</t>
  </si>
  <si>
    <t>镇海股份</t>
  </si>
  <si>
    <t>艾迪精密</t>
  </si>
  <si>
    <t xml:space="preserve">        282.85亿</t>
  </si>
  <si>
    <t>海利尔</t>
  </si>
  <si>
    <t xml:space="preserve">         73.48亿</t>
  </si>
  <si>
    <t>畅联股份</t>
  </si>
  <si>
    <t>彤程新材</t>
  </si>
  <si>
    <t xml:space="preserve">        337.90亿</t>
  </si>
  <si>
    <t>朗博科技</t>
  </si>
  <si>
    <t>泰禾智能</t>
  </si>
  <si>
    <t xml:space="preserve">         19.21亿</t>
  </si>
  <si>
    <t>春光科技</t>
  </si>
  <si>
    <t>安图生物</t>
  </si>
  <si>
    <t xml:space="preserve">        334.47亿</t>
  </si>
  <si>
    <t>璞泰来</t>
  </si>
  <si>
    <t xml:space="preserve">       1193.53亿</t>
  </si>
  <si>
    <t>苏州科达</t>
  </si>
  <si>
    <t>恒林股份</t>
  </si>
  <si>
    <t>柯力传感</t>
  </si>
  <si>
    <t xml:space="preserve">         55.93亿</t>
  </si>
  <si>
    <t>三祥新材</t>
  </si>
  <si>
    <t xml:space="preserve">         48.32亿</t>
  </si>
  <si>
    <t>康隆达</t>
  </si>
  <si>
    <t xml:space="preserve">         39.09亿</t>
  </si>
  <si>
    <t>亿嘉和</t>
  </si>
  <si>
    <t xml:space="preserve">        160.50亿</t>
  </si>
  <si>
    <t>五洲新春</t>
  </si>
  <si>
    <t>天马科技</t>
  </si>
  <si>
    <t>灵康药业</t>
  </si>
  <si>
    <t xml:space="preserve">         60.22亿</t>
  </si>
  <si>
    <t>卫信康</t>
  </si>
  <si>
    <t>奇精机械</t>
  </si>
  <si>
    <t xml:space="preserve">         23.11亿</t>
  </si>
  <si>
    <t>火炬电子</t>
  </si>
  <si>
    <t xml:space="preserve">        354.09亿</t>
  </si>
  <si>
    <t>华体科技</t>
  </si>
  <si>
    <t xml:space="preserve">         19.78亿</t>
  </si>
  <si>
    <t>今创集团</t>
  </si>
  <si>
    <t xml:space="preserve">         67.69亿</t>
  </si>
  <si>
    <t>永冠新材</t>
  </si>
  <si>
    <t xml:space="preserve">         76.60亿</t>
  </si>
  <si>
    <t>锦和商业</t>
  </si>
  <si>
    <t>晶华新材</t>
  </si>
  <si>
    <t>晨丰科技</t>
  </si>
  <si>
    <t xml:space="preserve">         20.57亿</t>
  </si>
  <si>
    <t>龙马环卫</t>
  </si>
  <si>
    <t xml:space="preserve">         52.71亿</t>
  </si>
  <si>
    <t>大胜达</t>
  </si>
  <si>
    <t xml:space="preserve">         44.91亿</t>
  </si>
  <si>
    <t>石英股份</t>
  </si>
  <si>
    <t xml:space="preserve">        208.26亿</t>
  </si>
  <si>
    <t>皖天然气</t>
  </si>
  <si>
    <t xml:space="preserve">         34.81亿</t>
  </si>
  <si>
    <t>至纯科技</t>
  </si>
  <si>
    <t xml:space="preserve">        174.06亿</t>
  </si>
  <si>
    <t>江苏新能</t>
  </si>
  <si>
    <t xml:space="preserve">        180.46亿</t>
  </si>
  <si>
    <t>安记食品</t>
  </si>
  <si>
    <t xml:space="preserve">         22.25亿</t>
  </si>
  <si>
    <t>有友食品</t>
  </si>
  <si>
    <t xml:space="preserve">         52.69亿</t>
  </si>
  <si>
    <t>航天工程</t>
  </si>
  <si>
    <t xml:space="preserve">         85.22亿</t>
  </si>
  <si>
    <t>纽威股份</t>
  </si>
  <si>
    <t xml:space="preserve">         80.70亿</t>
  </si>
  <si>
    <t>宁水集团</t>
  </si>
  <si>
    <t xml:space="preserve">         40.42亿</t>
  </si>
  <si>
    <t>德宏股份</t>
  </si>
  <si>
    <t xml:space="preserve">         23.50亿</t>
  </si>
  <si>
    <t>盛洋科技</t>
  </si>
  <si>
    <t xml:space="preserve">         65.69亿</t>
  </si>
  <si>
    <t>东方环宇</t>
  </si>
  <si>
    <t xml:space="preserve">         26.89亿</t>
  </si>
  <si>
    <t>健友股份</t>
  </si>
  <si>
    <t xml:space="preserve">        540.04亿</t>
  </si>
  <si>
    <t>家家悦</t>
  </si>
  <si>
    <t xml:space="preserve">         89.92亿</t>
  </si>
  <si>
    <t>中源家居</t>
  </si>
  <si>
    <t xml:space="preserve">         12.98亿</t>
  </si>
  <si>
    <t>香飘飘</t>
  </si>
  <si>
    <t xml:space="preserve">         66.55亿</t>
  </si>
  <si>
    <t>七一二</t>
  </si>
  <si>
    <t xml:space="preserve">        294.52亿</t>
  </si>
  <si>
    <t>密尔克卫</t>
  </si>
  <si>
    <t xml:space="preserve">        186.43亿</t>
  </si>
  <si>
    <t>塞力医疗</t>
  </si>
  <si>
    <t>天域生态</t>
  </si>
  <si>
    <t xml:space="preserve">         39.63亿</t>
  </si>
  <si>
    <t>海利生物</t>
  </si>
  <si>
    <t xml:space="preserve">         90.42亿</t>
  </si>
  <si>
    <t>良品铺子</t>
  </si>
  <si>
    <t xml:space="preserve">        175.24亿</t>
  </si>
  <si>
    <t>中广天择</t>
  </si>
  <si>
    <t xml:space="preserve">         18.16亿</t>
  </si>
  <si>
    <t>阿科力</t>
  </si>
  <si>
    <t>天安新材</t>
  </si>
  <si>
    <t>朗迪集团</t>
  </si>
  <si>
    <t xml:space="preserve">         26.98亿</t>
  </si>
  <si>
    <t>博迈科</t>
  </si>
  <si>
    <t xml:space="preserve">         59.02亿</t>
  </si>
  <si>
    <t>鸣志电器</t>
  </si>
  <si>
    <t xml:space="preserve">         86.43亿</t>
  </si>
  <si>
    <t>ST龙韵</t>
  </si>
  <si>
    <t xml:space="preserve">         10.33亿</t>
  </si>
  <si>
    <t>岱美股份</t>
  </si>
  <si>
    <t xml:space="preserve">        170.02亿</t>
  </si>
  <si>
    <t>仙鹤股份</t>
  </si>
  <si>
    <t xml:space="preserve">        269.61亿</t>
  </si>
  <si>
    <t>三棵树</t>
  </si>
  <si>
    <t xml:space="preserve">        490.12亿</t>
  </si>
  <si>
    <t>泰晶科技</t>
  </si>
  <si>
    <t xml:space="preserve">        115.90亿</t>
  </si>
  <si>
    <t>蔚蓝生物</t>
  </si>
  <si>
    <t>日辰股份</t>
  </si>
  <si>
    <t xml:space="preserve">         46.57亿</t>
  </si>
  <si>
    <t>大元泵业</t>
  </si>
  <si>
    <t xml:space="preserve">         28.34亿</t>
  </si>
  <si>
    <t>秦安股份</t>
  </si>
  <si>
    <t>海天股份</t>
  </si>
  <si>
    <t>隆鑫通用</t>
  </si>
  <si>
    <t xml:space="preserve">        112.94亿</t>
  </si>
  <si>
    <t>中马传动</t>
  </si>
  <si>
    <t>常青股份</t>
  </si>
  <si>
    <t xml:space="preserve">         36.35亿</t>
  </si>
  <si>
    <t>沃格光电</t>
  </si>
  <si>
    <t>永安行</t>
  </si>
  <si>
    <t xml:space="preserve">         41.97亿</t>
  </si>
  <si>
    <t>来伊份</t>
  </si>
  <si>
    <t xml:space="preserve">         41.83亿</t>
  </si>
  <si>
    <t>乾景园林</t>
  </si>
  <si>
    <t xml:space="preserve">         27.51亿</t>
  </si>
  <si>
    <t>威龙股份</t>
  </si>
  <si>
    <t>科博达</t>
  </si>
  <si>
    <t xml:space="preserve">        308.96亿</t>
  </si>
  <si>
    <t>新日股份</t>
  </si>
  <si>
    <t>宁波高发</t>
  </si>
  <si>
    <t xml:space="preserve">         33.01亿</t>
  </si>
  <si>
    <t>星光农机</t>
  </si>
  <si>
    <t>雅运股份</t>
  </si>
  <si>
    <t>联泰环保</t>
  </si>
  <si>
    <t xml:space="preserve">         40.07亿</t>
  </si>
  <si>
    <t>康普顿</t>
  </si>
  <si>
    <t xml:space="preserve">         22.20亿</t>
  </si>
  <si>
    <t>华友钴业</t>
  </si>
  <si>
    <t xml:space="preserve">       1455.70亿</t>
  </si>
  <si>
    <t>道森股份</t>
  </si>
  <si>
    <t xml:space="preserve">         52.58亿</t>
  </si>
  <si>
    <t>志邦家居</t>
  </si>
  <si>
    <t xml:space="preserve">         69.55亿</t>
  </si>
  <si>
    <t>瑞斯康达</t>
  </si>
  <si>
    <t xml:space="preserve">         27.71亿</t>
  </si>
  <si>
    <t>福斯特</t>
  </si>
  <si>
    <t xml:space="preserve">       1243.85亿</t>
  </si>
  <si>
    <t>歌力思</t>
  </si>
  <si>
    <t xml:space="preserve">         57.28亿</t>
  </si>
  <si>
    <t>豪能股份</t>
  </si>
  <si>
    <t xml:space="preserve">         62.46亿</t>
  </si>
  <si>
    <t>丰山集团</t>
  </si>
  <si>
    <t>诚意药业</t>
  </si>
  <si>
    <t xml:space="preserve">         34.93亿</t>
  </si>
  <si>
    <t>原尚股份</t>
  </si>
  <si>
    <t xml:space="preserve">         12.47亿</t>
  </si>
  <si>
    <t>交建股份</t>
  </si>
  <si>
    <t>顾家家居</t>
  </si>
  <si>
    <t xml:space="preserve">        434.68亿</t>
  </si>
  <si>
    <t>海峡环保</t>
  </si>
  <si>
    <t xml:space="preserve">         25.97亿</t>
  </si>
  <si>
    <t>曲美家居</t>
  </si>
  <si>
    <t>神力股份</t>
  </si>
  <si>
    <t>嘉澳环保</t>
  </si>
  <si>
    <t>百合花</t>
  </si>
  <si>
    <t xml:space="preserve">         48.42亿</t>
  </si>
  <si>
    <t>华扬联众</t>
  </si>
  <si>
    <t xml:space="preserve">         47.40亿</t>
  </si>
  <si>
    <t>坤彩科技</t>
  </si>
  <si>
    <t xml:space="preserve">        181.68亿</t>
  </si>
  <si>
    <t>柯利达</t>
  </si>
  <si>
    <t xml:space="preserve">         24.17亿</t>
  </si>
  <si>
    <t>洛凯股份</t>
  </si>
  <si>
    <t>欧派家居</t>
  </si>
  <si>
    <t xml:space="preserve">        760.34亿</t>
  </si>
  <si>
    <t>海程邦达</t>
  </si>
  <si>
    <t xml:space="preserve">         50.73亿</t>
  </si>
  <si>
    <t>四通股份</t>
  </si>
  <si>
    <t xml:space="preserve">         23.59亿</t>
  </si>
  <si>
    <t>安正时尚</t>
  </si>
  <si>
    <t xml:space="preserve">         33.29亿</t>
  </si>
  <si>
    <t>正平股份</t>
  </si>
  <si>
    <t xml:space="preserve">         28.54亿</t>
  </si>
  <si>
    <t>好太太</t>
  </si>
  <si>
    <t xml:space="preserve">         57.18亿</t>
  </si>
  <si>
    <t>华荣股份</t>
  </si>
  <si>
    <t xml:space="preserve">         83.83亿</t>
  </si>
  <si>
    <t>东宏股份</t>
  </si>
  <si>
    <t>步长制药</t>
  </si>
  <si>
    <t xml:space="preserve">        209.48亿</t>
  </si>
  <si>
    <t>能科科技</t>
  </si>
  <si>
    <t xml:space="preserve">         61.08亿</t>
  </si>
  <si>
    <t>中公高科</t>
  </si>
  <si>
    <t xml:space="preserve">         13.87亿</t>
  </si>
  <si>
    <t>白云电器</t>
  </si>
  <si>
    <t>ST松炀</t>
  </si>
  <si>
    <t xml:space="preserve">         17.77亿</t>
  </si>
  <si>
    <t>桃李面包</t>
  </si>
  <si>
    <t xml:space="preserve">        294.14亿</t>
  </si>
  <si>
    <t>新化股份</t>
  </si>
  <si>
    <t xml:space="preserve">         45.86亿</t>
  </si>
  <si>
    <t>飞科电器</t>
  </si>
  <si>
    <t xml:space="preserve">        184.96亿</t>
  </si>
  <si>
    <t>新智认知</t>
  </si>
  <si>
    <t>嘉友国际</t>
  </si>
  <si>
    <t xml:space="preserve">         57.25亿</t>
  </si>
  <si>
    <t>鼎胜新材</t>
  </si>
  <si>
    <t xml:space="preserve">        200.47亿</t>
  </si>
  <si>
    <t>太平鸟</t>
  </si>
  <si>
    <t xml:space="preserve">        170.95亿</t>
  </si>
  <si>
    <t>武进不锈</t>
  </si>
  <si>
    <t>永悦科技</t>
  </si>
  <si>
    <t>南卫股份</t>
  </si>
  <si>
    <t xml:space="preserve">         18.38亿</t>
  </si>
  <si>
    <t>数据港</t>
  </si>
  <si>
    <t xml:space="preserve">        111.74亿</t>
  </si>
  <si>
    <t>金域医学</t>
  </si>
  <si>
    <t xml:space="preserve">        506.87亿</t>
  </si>
  <si>
    <t>老百姓</t>
  </si>
  <si>
    <t xml:space="preserve">        179.41亿</t>
  </si>
  <si>
    <t>吉祥航空</t>
  </si>
  <si>
    <t xml:space="preserve">        309.08亿</t>
  </si>
  <si>
    <t>元祖股份</t>
  </si>
  <si>
    <t xml:space="preserve">         46.08亿</t>
  </si>
  <si>
    <t>城地香江</t>
  </si>
  <si>
    <t>新华网</t>
  </si>
  <si>
    <t xml:space="preserve">        100.07亿</t>
  </si>
  <si>
    <t>新澳股份</t>
  </si>
  <si>
    <t xml:space="preserve">         30.91亿</t>
  </si>
  <si>
    <t>春秋电子</t>
  </si>
  <si>
    <t>瑞芯微</t>
  </si>
  <si>
    <t xml:space="preserve">        601.04亿</t>
  </si>
  <si>
    <t>天永智能</t>
  </si>
  <si>
    <t xml:space="preserve">         22.43亿</t>
  </si>
  <si>
    <t>寿仙谷</t>
  </si>
  <si>
    <t>长城科技</t>
  </si>
  <si>
    <t xml:space="preserve">         99.61亿</t>
  </si>
  <si>
    <t>好莱客</t>
  </si>
  <si>
    <t xml:space="preserve">         34.74亿</t>
  </si>
  <si>
    <t>晨光文具</t>
  </si>
  <si>
    <t xml:space="preserve">        561.75亿</t>
  </si>
  <si>
    <t>莱绅通灵</t>
  </si>
  <si>
    <t>永创智能</t>
  </si>
  <si>
    <t xml:space="preserve">         78.49亿</t>
  </si>
  <si>
    <t>中持股份</t>
  </si>
  <si>
    <t xml:space="preserve">         21.36亿</t>
  </si>
  <si>
    <t>龙蟠科技</t>
  </si>
  <si>
    <t xml:space="preserve">        240.18亿</t>
  </si>
  <si>
    <t>牧高笛</t>
  </si>
  <si>
    <t xml:space="preserve">         21.67亿</t>
  </si>
  <si>
    <t>合诚股份</t>
  </si>
  <si>
    <t xml:space="preserve">         30.04亿</t>
  </si>
  <si>
    <t>佳力图</t>
  </si>
  <si>
    <t>国茂股份</t>
  </si>
  <si>
    <t xml:space="preserve">        198.47亿</t>
  </si>
  <si>
    <t>苏博特</t>
  </si>
  <si>
    <t xml:space="preserve">         92.26亿</t>
  </si>
  <si>
    <t>合力科技</t>
  </si>
  <si>
    <t xml:space="preserve">         35.56亿</t>
  </si>
  <si>
    <t>金桥信息</t>
  </si>
  <si>
    <t xml:space="preserve">         27.47亿</t>
  </si>
  <si>
    <t>金徽酒</t>
  </si>
  <si>
    <t xml:space="preserve">        173.08亿</t>
  </si>
  <si>
    <t>世运电路</t>
  </si>
  <si>
    <t xml:space="preserve">        113.37亿</t>
  </si>
  <si>
    <t>金鸿顺</t>
  </si>
  <si>
    <t xml:space="preserve">         29.63亿</t>
  </si>
  <si>
    <t>铁流股份</t>
  </si>
  <si>
    <t xml:space="preserve">         31.91亿</t>
  </si>
  <si>
    <t>中科软</t>
  </si>
  <si>
    <t xml:space="preserve">        159.38亿</t>
  </si>
  <si>
    <t>兴业股份</t>
  </si>
  <si>
    <t xml:space="preserve">         25.18亿</t>
  </si>
  <si>
    <t>亚翔集成</t>
  </si>
  <si>
    <t>格林达</t>
  </si>
  <si>
    <t>睿能科技</t>
  </si>
  <si>
    <t xml:space="preserve">         29.01亿</t>
  </si>
  <si>
    <t>博敏电子</t>
  </si>
  <si>
    <t xml:space="preserve">         69.19亿</t>
  </si>
  <si>
    <t>丽岛新材</t>
  </si>
  <si>
    <t>三孚股份</t>
  </si>
  <si>
    <t>益丰药房</t>
  </si>
  <si>
    <t xml:space="preserve">        337.68亿</t>
  </si>
  <si>
    <t>建业股份</t>
  </si>
  <si>
    <t>雪龙集团</t>
  </si>
  <si>
    <t>长源东谷</t>
  </si>
  <si>
    <t xml:space="preserve">         40.03亿</t>
  </si>
  <si>
    <t>大千生态</t>
  </si>
  <si>
    <t xml:space="preserve">         17.09亿</t>
  </si>
  <si>
    <t>威派格</t>
  </si>
  <si>
    <t xml:space="preserve">         72.12亿</t>
  </si>
  <si>
    <t>哈森股份</t>
  </si>
  <si>
    <t xml:space="preserve">         13.93亿</t>
  </si>
  <si>
    <t>百利科技</t>
  </si>
  <si>
    <t xml:space="preserve">         92.81亿</t>
  </si>
  <si>
    <t>克来机电</t>
  </si>
  <si>
    <t xml:space="preserve">         98.92亿</t>
  </si>
  <si>
    <t>大理药业</t>
  </si>
  <si>
    <t>法兰泰克</t>
  </si>
  <si>
    <t>中创物流</t>
  </si>
  <si>
    <t xml:space="preserve">         35.47亿</t>
  </si>
  <si>
    <t>醋化股份</t>
  </si>
  <si>
    <t xml:space="preserve">         34.09亿</t>
  </si>
  <si>
    <t>银龙股份</t>
  </si>
  <si>
    <t>中农立华</t>
  </si>
  <si>
    <t xml:space="preserve">         40.92亿</t>
  </si>
  <si>
    <t>正川股份</t>
  </si>
  <si>
    <t xml:space="preserve">         50.02亿</t>
  </si>
  <si>
    <t>国泰集团</t>
  </si>
  <si>
    <t>深圳新星</t>
  </si>
  <si>
    <t xml:space="preserve">         47.29亿</t>
  </si>
  <si>
    <t>金诚信</t>
  </si>
  <si>
    <t xml:space="preserve">        118.32亿</t>
  </si>
  <si>
    <t>吉华集团</t>
  </si>
  <si>
    <t>泉峰汽车</t>
  </si>
  <si>
    <t xml:space="preserve">         71.66亿</t>
  </si>
  <si>
    <t>丸美股份</t>
  </si>
  <si>
    <t xml:space="preserve">        121.75亿</t>
  </si>
  <si>
    <t>恒润股份</t>
  </si>
  <si>
    <t xml:space="preserve">        176.72亿</t>
  </si>
  <si>
    <t>兆易创新</t>
  </si>
  <si>
    <t xml:space="preserve">       1062.81亿</t>
  </si>
  <si>
    <t>康德莱</t>
  </si>
  <si>
    <t xml:space="preserve">         84.30亿</t>
  </si>
  <si>
    <t>中电电机</t>
  </si>
  <si>
    <t xml:space="preserve">         45.13亿</t>
  </si>
  <si>
    <t>艾华集团</t>
  </si>
  <si>
    <t xml:space="preserve">        176.41亿</t>
  </si>
  <si>
    <t>麦迪科技</t>
  </si>
  <si>
    <t xml:space="preserve">         29.58亿</t>
  </si>
  <si>
    <t>至正股份</t>
  </si>
  <si>
    <t>松霖科技</t>
  </si>
  <si>
    <t xml:space="preserve">         85.82亿</t>
  </si>
  <si>
    <t>洛阳钼业</t>
  </si>
  <si>
    <t xml:space="preserve">       1005.18亿</t>
  </si>
  <si>
    <t>甬金股份</t>
  </si>
  <si>
    <t xml:space="preserve">        116.09亿</t>
  </si>
  <si>
    <t>*ST中新</t>
  </si>
  <si>
    <t xml:space="preserve">          8.49亿</t>
  </si>
  <si>
    <t>继峰股份</t>
  </si>
  <si>
    <t xml:space="preserve">        152.82亿</t>
  </si>
  <si>
    <t>方盛制药</t>
  </si>
  <si>
    <t>读者传媒</t>
  </si>
  <si>
    <t>威奥股份</t>
  </si>
  <si>
    <t>众望布艺</t>
  </si>
  <si>
    <t>合兴股份</t>
  </si>
  <si>
    <t xml:space="preserve">        106.06亿</t>
  </si>
  <si>
    <t>山东玻纤</t>
  </si>
  <si>
    <t xml:space="preserve">         73.60亿</t>
  </si>
  <si>
    <t>五洲特纸</t>
  </si>
  <si>
    <t xml:space="preserve">         70.00亿</t>
  </si>
  <si>
    <t>长鸿高科</t>
  </si>
  <si>
    <t xml:space="preserve">        107.66亿</t>
  </si>
  <si>
    <t>豪悦护理</t>
  </si>
  <si>
    <t xml:space="preserve">         86.35亿</t>
  </si>
  <si>
    <t>杭州热电</t>
  </si>
  <si>
    <t xml:space="preserve">         98.38亿</t>
  </si>
  <si>
    <t>百龙创园</t>
  </si>
  <si>
    <t xml:space="preserve">         37.94亿</t>
  </si>
  <si>
    <t>长华股份</t>
  </si>
  <si>
    <t xml:space="preserve">         67.38亿</t>
  </si>
  <si>
    <t>永和股份</t>
  </si>
  <si>
    <t xml:space="preserve">         82.03亿</t>
  </si>
  <si>
    <t>世茂能源</t>
  </si>
  <si>
    <t xml:space="preserve">         41.95亿</t>
  </si>
  <si>
    <t>美邦股份</t>
  </si>
  <si>
    <t xml:space="preserve">         21.27亿</t>
  </si>
  <si>
    <t>福然德</t>
  </si>
  <si>
    <t xml:space="preserve">         49.11亿</t>
  </si>
  <si>
    <t>迎丰股份</t>
  </si>
  <si>
    <t xml:space="preserve">         32.87亿</t>
  </si>
  <si>
    <t>咸亨国际</t>
  </si>
  <si>
    <t xml:space="preserve">         76.28亿</t>
  </si>
  <si>
    <t>澳弘电子</t>
  </si>
  <si>
    <t xml:space="preserve">         36.37亿</t>
  </si>
  <si>
    <t>联德股份</t>
  </si>
  <si>
    <t xml:space="preserve">         42.72亿</t>
  </si>
  <si>
    <t>天正电气</t>
  </si>
  <si>
    <t xml:space="preserve">         50.87亿</t>
  </si>
  <si>
    <t>明新旭腾</t>
  </si>
  <si>
    <t xml:space="preserve">         60.14亿</t>
  </si>
  <si>
    <t>正和生态</t>
  </si>
  <si>
    <t>华康股份</t>
  </si>
  <si>
    <t xml:space="preserve">         71.59亿</t>
  </si>
  <si>
    <t>浙江自然</t>
  </si>
  <si>
    <t xml:space="preserve">         70.28亿</t>
  </si>
  <si>
    <t>太和水</t>
  </si>
  <si>
    <t>龙高股份</t>
  </si>
  <si>
    <t>冠盛股份</t>
  </si>
  <si>
    <t xml:space="preserve">         26.47亿</t>
  </si>
  <si>
    <t>味知香</t>
  </si>
  <si>
    <t xml:space="preserve">         75.54亿</t>
  </si>
  <si>
    <t>九丰能源</t>
  </si>
  <si>
    <t xml:space="preserve">        155.93亿</t>
  </si>
  <si>
    <t>行动教育</t>
  </si>
  <si>
    <t xml:space="preserve">         40.53亿</t>
  </si>
  <si>
    <t>共创草坪</t>
  </si>
  <si>
    <t xml:space="preserve">        155.91亿</t>
  </si>
  <si>
    <t>华丰股份</t>
  </si>
  <si>
    <t>同庆楼</t>
  </si>
  <si>
    <t>新洁能</t>
  </si>
  <si>
    <t xml:space="preserve">        302.15亿</t>
  </si>
  <si>
    <t>奥锐特</t>
  </si>
  <si>
    <t>德业股份</t>
  </si>
  <si>
    <t xml:space="preserve">        474.49亿</t>
  </si>
  <si>
    <t>力鼎光电</t>
  </si>
  <si>
    <t xml:space="preserve">         61.70亿</t>
  </si>
  <si>
    <t>四方新材</t>
  </si>
  <si>
    <t>派克新材</t>
  </si>
  <si>
    <t xml:space="preserve">        141.48亿</t>
  </si>
  <si>
    <t>上海沿浦</t>
  </si>
  <si>
    <t>嵘泰股份</t>
  </si>
  <si>
    <t xml:space="preserve">         44.54亿</t>
  </si>
  <si>
    <t>丽人丽妆</t>
  </si>
  <si>
    <t>盛泰集团</t>
  </si>
  <si>
    <t xml:space="preserve">         64.94亿</t>
  </si>
  <si>
    <t>西上海</t>
  </si>
  <si>
    <t xml:space="preserve">         24.87亿</t>
  </si>
  <si>
    <t>西大门</t>
  </si>
  <si>
    <t>华达新材</t>
  </si>
  <si>
    <t xml:space="preserve">         37.69亿</t>
  </si>
  <si>
    <t>新中港</t>
  </si>
  <si>
    <t xml:space="preserve">         56.22亿</t>
  </si>
  <si>
    <t>聚合顺</t>
  </si>
  <si>
    <t xml:space="preserve">         40.83亿</t>
  </si>
  <si>
    <t>利柏特</t>
  </si>
  <si>
    <t>三人行</t>
  </si>
  <si>
    <t xml:space="preserve">         83.27亿</t>
  </si>
  <si>
    <t>洪通燃气</t>
  </si>
  <si>
    <t>东亚药业</t>
  </si>
  <si>
    <t xml:space="preserve">         30.09亿</t>
  </si>
  <si>
    <t>时空科技</t>
  </si>
  <si>
    <t xml:space="preserve">         36.66亿</t>
  </si>
  <si>
    <t>一鸣食品</t>
  </si>
  <si>
    <t xml:space="preserve">         57.02亿</t>
  </si>
  <si>
    <t>华生科技</t>
  </si>
  <si>
    <t>确成股份</t>
  </si>
  <si>
    <t xml:space="preserve">         78.92亿</t>
  </si>
  <si>
    <t>健麾信息</t>
  </si>
  <si>
    <t>国光连锁</t>
  </si>
  <si>
    <t xml:space="preserve">         38.31亿</t>
  </si>
  <si>
    <t>富春染织</t>
  </si>
  <si>
    <t>华通线缆</t>
  </si>
  <si>
    <t xml:space="preserve">         57.73亿</t>
  </si>
  <si>
    <t>德利股份</t>
  </si>
  <si>
    <t xml:space="preserve">         54.54亿</t>
  </si>
  <si>
    <t>葫芦娃</t>
  </si>
  <si>
    <t xml:space="preserve">         96.15亿</t>
  </si>
  <si>
    <t>永茂泰</t>
  </si>
  <si>
    <t>伟时电子</t>
  </si>
  <si>
    <t xml:space="preserve">         36.78亿</t>
  </si>
  <si>
    <t>起帆电缆</t>
  </si>
  <si>
    <t xml:space="preserve">        124.62亿</t>
  </si>
  <si>
    <t>神通科技</t>
  </si>
  <si>
    <t xml:space="preserve">         39.14亿</t>
  </si>
  <si>
    <t>天普股份</t>
  </si>
  <si>
    <t>协和电子</t>
  </si>
  <si>
    <t xml:space="preserve">         26.21亿</t>
  </si>
  <si>
    <t>绿田机械</t>
  </si>
  <si>
    <t>健之佳</t>
  </si>
  <si>
    <t xml:space="preserve">         54.22亿</t>
  </si>
  <si>
    <t>王力安防</t>
  </si>
  <si>
    <t>新亚电子</t>
  </si>
  <si>
    <t>同力日升</t>
  </si>
  <si>
    <t>德才股份</t>
  </si>
  <si>
    <t>凯迪股份</t>
  </si>
  <si>
    <t xml:space="preserve">         50.90亿</t>
  </si>
  <si>
    <t>罗曼股份</t>
  </si>
  <si>
    <t>神农集团</t>
  </si>
  <si>
    <t xml:space="preserve">        160.01亿</t>
  </si>
  <si>
    <t>必得科技</t>
  </si>
  <si>
    <t>舒华体育</t>
  </si>
  <si>
    <t xml:space="preserve">         83.00亿</t>
  </si>
  <si>
    <t>佳禾食品</t>
  </si>
  <si>
    <t xml:space="preserve">         81.96亿</t>
  </si>
  <si>
    <t>园林股份</t>
  </si>
  <si>
    <t xml:space="preserve">         23.83亿</t>
  </si>
  <si>
    <t>中际联合</t>
  </si>
  <si>
    <t xml:space="preserve">        120.45亿</t>
  </si>
  <si>
    <t>法狮龙</t>
  </si>
  <si>
    <t xml:space="preserve">         18.91亿</t>
  </si>
  <si>
    <t>无锡振华</t>
  </si>
  <si>
    <t>沪光股份</t>
  </si>
  <si>
    <t xml:space="preserve">        101.17亿</t>
  </si>
  <si>
    <t>帅丰电器</t>
  </si>
  <si>
    <t xml:space="preserve">         46.02亿</t>
  </si>
  <si>
    <t>李子园</t>
  </si>
  <si>
    <t xml:space="preserve">         89.33亿</t>
  </si>
  <si>
    <t>巴比食品</t>
  </si>
  <si>
    <t>南侨食品</t>
  </si>
  <si>
    <t xml:space="preserve">        142.56亿</t>
  </si>
  <si>
    <t>立昂微</t>
  </si>
  <si>
    <t xml:space="preserve">        577.52亿</t>
  </si>
  <si>
    <t>立达信</t>
  </si>
  <si>
    <t xml:space="preserve">         93.10亿</t>
  </si>
  <si>
    <t>宏柏新材</t>
  </si>
  <si>
    <t xml:space="preserve">         46.41亿</t>
  </si>
  <si>
    <t>蓝天燃气</t>
  </si>
  <si>
    <t xml:space="preserve">         68.16亿</t>
  </si>
  <si>
    <t>拱东医疗</t>
  </si>
  <si>
    <t xml:space="preserve">        116.21亿</t>
  </si>
  <si>
    <t>博迁新材</t>
  </si>
  <si>
    <t xml:space="preserve">        203.45亿</t>
  </si>
  <si>
    <t>华旺科技</t>
  </si>
  <si>
    <t xml:space="preserve">         48.83亿</t>
  </si>
  <si>
    <t>野马电池</t>
  </si>
  <si>
    <t>均瑶健康</t>
  </si>
  <si>
    <t xml:space="preserve">         75.34亿</t>
  </si>
  <si>
    <t>长龄液压</t>
  </si>
  <si>
    <t xml:space="preserve">         47.33亿</t>
  </si>
  <si>
    <t>新炬网络</t>
  </si>
  <si>
    <t>晨光新材</t>
  </si>
  <si>
    <t xml:space="preserve">         74.48亿</t>
  </si>
  <si>
    <t>福莱新材</t>
  </si>
  <si>
    <t xml:space="preserve">         32.23亿</t>
  </si>
  <si>
    <t>东鹏饮料</t>
  </si>
  <si>
    <t xml:space="preserve">        709.22亿</t>
  </si>
  <si>
    <t>森林包装</t>
  </si>
  <si>
    <t>国邦医药</t>
  </si>
  <si>
    <t xml:space="preserve">        156.25亿</t>
  </si>
  <si>
    <t>德昌股份</t>
  </si>
  <si>
    <t xml:space="preserve">         87.24亿</t>
  </si>
  <si>
    <t>福莱蒽特</t>
  </si>
  <si>
    <t xml:space="preserve">         40.51亿</t>
  </si>
  <si>
    <t>春雪食品</t>
  </si>
  <si>
    <t>龙版传媒</t>
  </si>
  <si>
    <t>恒盛能源</t>
  </si>
  <si>
    <t xml:space="preserve">         37.04亿</t>
  </si>
  <si>
    <t>冠石科技</t>
  </si>
  <si>
    <t>圣泉集团</t>
  </si>
  <si>
    <t xml:space="preserve">        302.32亿</t>
  </si>
  <si>
    <t>上海港湾</t>
  </si>
  <si>
    <t xml:space="preserve">         26.55亿</t>
  </si>
  <si>
    <t>菜百股份</t>
  </si>
  <si>
    <t xml:space="preserve">         93.57亿</t>
  </si>
  <si>
    <t>华兴源创</t>
  </si>
  <si>
    <t xml:space="preserve">        169.65亿</t>
  </si>
  <si>
    <t>睿创微纳</t>
  </si>
  <si>
    <t xml:space="preserve">        342.65亿</t>
  </si>
  <si>
    <t>天准科技</t>
  </si>
  <si>
    <t xml:space="preserve">         79.86亿</t>
  </si>
  <si>
    <t>博汇科技</t>
  </si>
  <si>
    <t xml:space="preserve">         19.18亿</t>
  </si>
  <si>
    <t>容百科技</t>
  </si>
  <si>
    <t xml:space="preserve">        538.16亿</t>
  </si>
  <si>
    <t>杭可科技</t>
  </si>
  <si>
    <t xml:space="preserve">        471.09亿</t>
  </si>
  <si>
    <t>光峰科技</t>
  </si>
  <si>
    <t xml:space="preserve">        152.53亿</t>
  </si>
  <si>
    <t>澜起科技</t>
  </si>
  <si>
    <t xml:space="preserve">        846.69亿</t>
  </si>
  <si>
    <t>中国通号</t>
  </si>
  <si>
    <t xml:space="preserve">        426.74亿</t>
  </si>
  <si>
    <t>福光股份</t>
  </si>
  <si>
    <t>新光光电</t>
  </si>
  <si>
    <t>中微公司</t>
  </si>
  <si>
    <t xml:space="preserve">       1013.72亿</t>
  </si>
  <si>
    <t>天臣医疗</t>
  </si>
  <si>
    <t>交控科技</t>
  </si>
  <si>
    <t>心脉医疗</t>
  </si>
  <si>
    <t xml:space="preserve">        197.94亿</t>
  </si>
  <si>
    <t>绿的谐波</t>
  </si>
  <si>
    <t xml:space="preserve">        199.41亿</t>
  </si>
  <si>
    <t>乐鑫科技</t>
  </si>
  <si>
    <t xml:space="preserve">        155.51亿</t>
  </si>
  <si>
    <t>安集科技</t>
  </si>
  <si>
    <t xml:space="preserve">        162.32亿</t>
  </si>
  <si>
    <t>方邦股份</t>
  </si>
  <si>
    <t>奥福环保</t>
  </si>
  <si>
    <t xml:space="preserve">         38.84亿</t>
  </si>
  <si>
    <t>瀚川智能</t>
  </si>
  <si>
    <t>安恒信息</t>
  </si>
  <si>
    <t xml:space="preserve">        230.80亿</t>
  </si>
  <si>
    <t>杰普特</t>
  </si>
  <si>
    <t xml:space="preserve">         51.99亿</t>
  </si>
  <si>
    <t>洁特生物</t>
  </si>
  <si>
    <t>国盾量子</t>
  </si>
  <si>
    <t xml:space="preserve">        142.83亿</t>
  </si>
  <si>
    <t>沃尔德</t>
  </si>
  <si>
    <t xml:space="preserve">         44.01亿</t>
  </si>
  <si>
    <t>南微医学</t>
  </si>
  <si>
    <t xml:space="preserve">        356.28亿</t>
  </si>
  <si>
    <t>山石网科</t>
  </si>
  <si>
    <t>天宜上佳</t>
  </si>
  <si>
    <t xml:space="preserve">        143.28亿</t>
  </si>
  <si>
    <t>传音控股</t>
  </si>
  <si>
    <t xml:space="preserve">       1354.86亿</t>
  </si>
  <si>
    <t>芯源微</t>
  </si>
  <si>
    <t xml:space="preserve">        175.25亿</t>
  </si>
  <si>
    <t>中科通达</t>
  </si>
  <si>
    <t xml:space="preserve">         22.17亿</t>
  </si>
  <si>
    <t>当虹科技</t>
  </si>
  <si>
    <t xml:space="preserve">         52.32亿</t>
  </si>
  <si>
    <t>爱博医疗</t>
  </si>
  <si>
    <t xml:space="preserve">        262.83亿</t>
  </si>
  <si>
    <t>佳华科技</t>
  </si>
  <si>
    <t xml:space="preserve">         35.99亿</t>
  </si>
  <si>
    <t>龙腾光电</t>
  </si>
  <si>
    <t xml:space="preserve">        238.00亿</t>
  </si>
  <si>
    <t>莱伯泰科</t>
  </si>
  <si>
    <t xml:space="preserve">         43.15亿</t>
  </si>
  <si>
    <t>金达莱</t>
  </si>
  <si>
    <t xml:space="preserve">         73.31亿</t>
  </si>
  <si>
    <t>宝兰德</t>
  </si>
  <si>
    <t>华锐精密</t>
  </si>
  <si>
    <t xml:space="preserve">         75.61亿</t>
  </si>
  <si>
    <t>云涌科技</t>
  </si>
  <si>
    <t xml:space="preserve">         42.89亿</t>
  </si>
  <si>
    <t>派能科技</t>
  </si>
  <si>
    <t xml:space="preserve">        368.84亿</t>
  </si>
  <si>
    <t>凯赛生物</t>
  </si>
  <si>
    <t xml:space="preserve">        579.19亿</t>
  </si>
  <si>
    <t>航天宏图</t>
  </si>
  <si>
    <t xml:space="preserve">        116.14亿</t>
  </si>
  <si>
    <t>爱威科技</t>
  </si>
  <si>
    <t>热景生物</t>
  </si>
  <si>
    <t xml:space="preserve">         60.10亿</t>
  </si>
  <si>
    <t>德林海</t>
  </si>
  <si>
    <t xml:space="preserve">         29.41亿</t>
  </si>
  <si>
    <t>纵横股份</t>
  </si>
  <si>
    <t xml:space="preserve">         32.13亿</t>
  </si>
  <si>
    <t>华依科技</t>
  </si>
  <si>
    <t xml:space="preserve">         34.78亿</t>
  </si>
  <si>
    <t>安旭生物</t>
  </si>
  <si>
    <t>诺泰生物</t>
  </si>
  <si>
    <t xml:space="preserve">         88.68亿</t>
  </si>
  <si>
    <t>大地熊</t>
  </si>
  <si>
    <t xml:space="preserve">         53.97亿</t>
  </si>
  <si>
    <t>龙软科技</t>
  </si>
  <si>
    <t>美迪凯</t>
  </si>
  <si>
    <t xml:space="preserve">         61.32亿</t>
  </si>
  <si>
    <t>映翰通</t>
  </si>
  <si>
    <t xml:space="preserve">         37.11亿</t>
  </si>
  <si>
    <t>兴图新科</t>
  </si>
  <si>
    <t xml:space="preserve">         18.94亿</t>
  </si>
  <si>
    <t>盛美上海</t>
  </si>
  <si>
    <t xml:space="preserve">        543.12亿</t>
  </si>
  <si>
    <t>中望软件</t>
  </si>
  <si>
    <t xml:space="preserve">        203.31亿</t>
  </si>
  <si>
    <t>三友医疗</t>
  </si>
  <si>
    <t xml:space="preserve">         61.19亿</t>
  </si>
  <si>
    <t>紫晶存储</t>
  </si>
  <si>
    <t xml:space="preserve">         49.18亿</t>
  </si>
  <si>
    <t>英科再生</t>
  </si>
  <si>
    <t xml:space="preserve">        120.41亿</t>
  </si>
  <si>
    <t>虹软科技</t>
  </si>
  <si>
    <t xml:space="preserve">        186.23亿</t>
  </si>
  <si>
    <t>嘉必优</t>
  </si>
  <si>
    <t xml:space="preserve">         58.66亿</t>
  </si>
  <si>
    <t>瑞松科技</t>
  </si>
  <si>
    <t>上海谊众-U</t>
  </si>
  <si>
    <t>爱科科技</t>
  </si>
  <si>
    <t>世华科技</t>
  </si>
  <si>
    <t xml:space="preserve">         73.79亿</t>
  </si>
  <si>
    <t>福昕软件</t>
  </si>
  <si>
    <t xml:space="preserve">         74.04亿</t>
  </si>
  <si>
    <t>京源环保</t>
  </si>
  <si>
    <t xml:space="preserve">         15.18亿</t>
  </si>
  <si>
    <t>博众精工</t>
  </si>
  <si>
    <t xml:space="preserve">        182.74亿</t>
  </si>
  <si>
    <t>申联生物</t>
  </si>
  <si>
    <t xml:space="preserve">         45.75亿</t>
  </si>
  <si>
    <t>晶晨股份</t>
  </si>
  <si>
    <t xml:space="preserve">        498.69亿</t>
  </si>
  <si>
    <t>威胜信息</t>
  </si>
  <si>
    <t xml:space="preserve">        138.50亿</t>
  </si>
  <si>
    <t>三达膜</t>
  </si>
  <si>
    <t xml:space="preserve">         68.75亿</t>
  </si>
  <si>
    <t>国力股份</t>
  </si>
  <si>
    <t xml:space="preserve">         73.33亿</t>
  </si>
  <si>
    <t>诺唯赞</t>
  </si>
  <si>
    <t xml:space="preserve">        401.01亿</t>
  </si>
  <si>
    <t>金宏气体</t>
  </si>
  <si>
    <t xml:space="preserve">        126.22亿</t>
  </si>
  <si>
    <t>安路科技-U</t>
  </si>
  <si>
    <t xml:space="preserve">        334.28亿</t>
  </si>
  <si>
    <t>赛诺医疗</t>
  </si>
  <si>
    <t xml:space="preserve">         33.66亿</t>
  </si>
  <si>
    <t>品茗股份</t>
  </si>
  <si>
    <t xml:space="preserve">         30.01亿</t>
  </si>
  <si>
    <t>金山办公</t>
  </si>
  <si>
    <t xml:space="preserve">       1261.43亿</t>
  </si>
  <si>
    <t>联测科技</t>
  </si>
  <si>
    <t>天奈科技</t>
  </si>
  <si>
    <t xml:space="preserve">        376.10亿</t>
  </si>
  <si>
    <t>圣诺生物</t>
  </si>
  <si>
    <t>普元信息</t>
  </si>
  <si>
    <t>卓然股份</t>
  </si>
  <si>
    <t xml:space="preserve">         59.20亿</t>
  </si>
  <si>
    <t>西部超导</t>
  </si>
  <si>
    <t xml:space="preserve">        407.74亿</t>
  </si>
  <si>
    <t>聚辰股份</t>
  </si>
  <si>
    <t xml:space="preserve">         69.48亿</t>
  </si>
  <si>
    <t>沪硅产业-U</t>
  </si>
  <si>
    <t xml:space="preserve">        703.65亿</t>
  </si>
  <si>
    <t>蓝特光学</t>
  </si>
  <si>
    <t xml:space="preserve">         79.24亿</t>
  </si>
  <si>
    <t>中国电研</t>
  </si>
  <si>
    <t xml:space="preserve">        126.33亿</t>
  </si>
  <si>
    <t>东来技术</t>
  </si>
  <si>
    <t>皓元医药</t>
  </si>
  <si>
    <t xml:space="preserve">        218.85亿</t>
  </si>
  <si>
    <t>泰坦科技</t>
  </si>
  <si>
    <t xml:space="preserve">        167.75亿</t>
  </si>
  <si>
    <t>利扬芯片</t>
  </si>
  <si>
    <t xml:space="preserve">         65.13亿</t>
  </si>
  <si>
    <t>科兴制药</t>
  </si>
  <si>
    <t>清溢光电</t>
  </si>
  <si>
    <t xml:space="preserve">         45.38亿</t>
  </si>
  <si>
    <t>海尔生物</t>
  </si>
  <si>
    <t xml:space="preserve">        279.31亿</t>
  </si>
  <si>
    <t>芳源股份</t>
  </si>
  <si>
    <t xml:space="preserve">        185.23亿</t>
  </si>
  <si>
    <t>先惠技术</t>
  </si>
  <si>
    <t xml:space="preserve">         87.57亿</t>
  </si>
  <si>
    <t>路德环境</t>
  </si>
  <si>
    <t xml:space="preserve">         16.94亿</t>
  </si>
  <si>
    <t>松井股份</t>
  </si>
  <si>
    <t xml:space="preserve">         82.78亿</t>
  </si>
  <si>
    <t>优刻得-W</t>
  </si>
  <si>
    <t xml:space="preserve">        114.24亿</t>
  </si>
  <si>
    <t>有方科技</t>
  </si>
  <si>
    <t xml:space="preserve">         22.75亿</t>
  </si>
  <si>
    <t>步科股份</t>
  </si>
  <si>
    <t>威高骨科</t>
  </si>
  <si>
    <t xml:space="preserve">        271.76亿</t>
  </si>
  <si>
    <t>巨一科技</t>
  </si>
  <si>
    <t xml:space="preserve">        126.01亿</t>
  </si>
  <si>
    <t>埃夫特-U</t>
  </si>
  <si>
    <t>博瑞医药</t>
  </si>
  <si>
    <t xml:space="preserve">        149.36亿</t>
  </si>
  <si>
    <t>安博通</t>
  </si>
  <si>
    <t xml:space="preserve">         32.65亿</t>
  </si>
  <si>
    <t>石头科技</t>
  </si>
  <si>
    <t xml:space="preserve">        589.09亿</t>
  </si>
  <si>
    <t>百奥泰-U</t>
  </si>
  <si>
    <t xml:space="preserve">        115.32亿</t>
  </si>
  <si>
    <t>万德斯</t>
  </si>
  <si>
    <t>阿拉丁</t>
  </si>
  <si>
    <t>君实生物-U</t>
  </si>
  <si>
    <t xml:space="preserve">        381.69亿</t>
  </si>
  <si>
    <t>八亿时空</t>
  </si>
  <si>
    <t>灿勤科技</t>
  </si>
  <si>
    <t xml:space="preserve">        105.28亿</t>
  </si>
  <si>
    <t>生益电子</t>
  </si>
  <si>
    <t xml:space="preserve">        114.54亿</t>
  </si>
  <si>
    <t>康希诺-U</t>
  </si>
  <si>
    <t xml:space="preserve">        309.24亿</t>
  </si>
  <si>
    <t>广大特材</t>
  </si>
  <si>
    <t xml:space="preserve">        138.98亿</t>
  </si>
  <si>
    <t>时代电气</t>
  </si>
  <si>
    <t xml:space="preserve">        628.65亿</t>
  </si>
  <si>
    <t>柏楚电子</t>
  </si>
  <si>
    <t xml:space="preserve">        388.15亿</t>
  </si>
  <si>
    <t>南新制药</t>
  </si>
  <si>
    <t xml:space="preserve">         39.51亿</t>
  </si>
  <si>
    <t>智洋创新</t>
  </si>
  <si>
    <t>腾景科技</t>
  </si>
  <si>
    <t>卓越新能</t>
  </si>
  <si>
    <t xml:space="preserve">         69.72亿</t>
  </si>
  <si>
    <t>佰仁医疗</t>
  </si>
  <si>
    <t xml:space="preserve">        262.33亿</t>
  </si>
  <si>
    <t>久日新材</t>
  </si>
  <si>
    <t xml:space="preserve">         48.92亿</t>
  </si>
  <si>
    <t>华峰测控</t>
  </si>
  <si>
    <t>信安世纪</t>
  </si>
  <si>
    <t xml:space="preserve">         50.92亿</t>
  </si>
  <si>
    <t>美迪西</t>
  </si>
  <si>
    <t xml:space="preserve">        376.95亿</t>
  </si>
  <si>
    <t>道通科技</t>
  </si>
  <si>
    <t xml:space="preserve">        318.92亿</t>
  </si>
  <si>
    <t>中科微至</t>
  </si>
  <si>
    <t xml:space="preserve">        103.58亿</t>
  </si>
  <si>
    <t>澳华内镜</t>
  </si>
  <si>
    <t xml:space="preserve">         49.44亿</t>
  </si>
  <si>
    <t>瑞晟智能</t>
  </si>
  <si>
    <t xml:space="preserve">         13.97亿</t>
  </si>
  <si>
    <t>气派科技</t>
  </si>
  <si>
    <t xml:space="preserve">         59.14亿</t>
  </si>
  <si>
    <t>睿昂基因</t>
  </si>
  <si>
    <t>江苏北人</t>
  </si>
  <si>
    <t xml:space="preserve">         18.01亿</t>
  </si>
  <si>
    <t>会通股份</t>
  </si>
  <si>
    <t xml:space="preserve">         58.56亿</t>
  </si>
  <si>
    <t>前沿生物-U</t>
  </si>
  <si>
    <t xml:space="preserve">         56.55亿</t>
  </si>
  <si>
    <t>成都先导</t>
  </si>
  <si>
    <t xml:space="preserve">         91.44亿</t>
  </si>
  <si>
    <t>威腾电气</t>
  </si>
  <si>
    <t>开普云</t>
  </si>
  <si>
    <t>博睿数据</t>
  </si>
  <si>
    <t xml:space="preserve">         24.18亿</t>
  </si>
  <si>
    <t>新点软件</t>
  </si>
  <si>
    <t xml:space="preserve">        156.39亿</t>
  </si>
  <si>
    <t>神工股份</t>
  </si>
  <si>
    <t xml:space="preserve">        125.76亿</t>
  </si>
  <si>
    <t>航宇科技</t>
  </si>
  <si>
    <t xml:space="preserve">         92.48亿</t>
  </si>
  <si>
    <t>凯尔达</t>
  </si>
  <si>
    <t>寒武纪-U</t>
  </si>
  <si>
    <t xml:space="preserve">        335.08亿</t>
  </si>
  <si>
    <t>新锐股份</t>
  </si>
  <si>
    <t xml:space="preserve">         56.14亿</t>
  </si>
  <si>
    <t>卓易信息</t>
  </si>
  <si>
    <t xml:space="preserve">         32.94亿</t>
  </si>
  <si>
    <t>昀冢科技</t>
  </si>
  <si>
    <t xml:space="preserve">         22.60亿</t>
  </si>
  <si>
    <t>泽璟制药-U</t>
  </si>
  <si>
    <t>华特气体</t>
  </si>
  <si>
    <t xml:space="preserve">        101.74亿</t>
  </si>
  <si>
    <t>凯立新材</t>
  </si>
  <si>
    <t xml:space="preserve">        114.35亿</t>
  </si>
  <si>
    <t>富吉瑞</t>
  </si>
  <si>
    <t>百克生物</t>
  </si>
  <si>
    <t xml:space="preserve">        313.80亿</t>
  </si>
  <si>
    <t>天智航-U</t>
  </si>
  <si>
    <t xml:space="preserve">         93.75亿</t>
  </si>
  <si>
    <t>特宝生物</t>
  </si>
  <si>
    <t xml:space="preserve">        121.43亿</t>
  </si>
  <si>
    <t>精进电动-UW</t>
  </si>
  <si>
    <t xml:space="preserve">        121.59亿</t>
  </si>
  <si>
    <t>高铁电气</t>
  </si>
  <si>
    <t>敏芯股份</t>
  </si>
  <si>
    <t xml:space="preserve">         47.32亿</t>
  </si>
  <si>
    <t>鸿泉物联</t>
  </si>
  <si>
    <t xml:space="preserve">         38.28亿</t>
  </si>
  <si>
    <t>圣湘生物</t>
  </si>
  <si>
    <t xml:space="preserve">        221.00亿</t>
  </si>
  <si>
    <t>和达科技</t>
  </si>
  <si>
    <t>东方生物</t>
  </si>
  <si>
    <t xml:space="preserve">        175.34亿</t>
  </si>
  <si>
    <t>长阳科技</t>
  </si>
  <si>
    <t xml:space="preserve">         89.29亿</t>
  </si>
  <si>
    <t>联瑞新材</t>
  </si>
  <si>
    <t xml:space="preserve">         79.10亿</t>
  </si>
  <si>
    <t>奕瑞科技</t>
  </si>
  <si>
    <t xml:space="preserve">        351.04亿</t>
  </si>
  <si>
    <t>大全能源</t>
  </si>
  <si>
    <t xml:space="preserve">       1347.31亿</t>
  </si>
  <si>
    <t>科德数控</t>
  </si>
  <si>
    <t xml:space="preserve">        112.91亿</t>
  </si>
  <si>
    <t>欧科亿</t>
  </si>
  <si>
    <t xml:space="preserve">         70.59亿</t>
  </si>
  <si>
    <t>恒誉环保</t>
  </si>
  <si>
    <t xml:space="preserve">         16.83亿</t>
  </si>
  <si>
    <t>迈得医疗</t>
  </si>
  <si>
    <t>盟升电子</t>
  </si>
  <si>
    <t>燕麦科技</t>
  </si>
  <si>
    <t xml:space="preserve">         40.20亿</t>
  </si>
  <si>
    <t>仕佳光子</t>
  </si>
  <si>
    <t>康拓医疗</t>
  </si>
  <si>
    <t xml:space="preserve">         43.02亿</t>
  </si>
  <si>
    <t>诺禾致源</t>
  </si>
  <si>
    <t xml:space="preserve">        197.22亿</t>
  </si>
  <si>
    <t>青云科技-U</t>
  </si>
  <si>
    <t xml:space="preserve">         26.88亿</t>
  </si>
  <si>
    <t>之江生物</t>
  </si>
  <si>
    <t>财富趋势</t>
  </si>
  <si>
    <t xml:space="preserve">         97.16亿</t>
  </si>
  <si>
    <t>欧林生物</t>
  </si>
  <si>
    <t>微芯生物</t>
  </si>
  <si>
    <t xml:space="preserve">        152.99亿</t>
  </si>
  <si>
    <t>瑞华泰</t>
  </si>
  <si>
    <t xml:space="preserve">         55.98亿</t>
  </si>
  <si>
    <t>深科达</t>
  </si>
  <si>
    <t xml:space="preserve">         34.44亿</t>
  </si>
  <si>
    <t>艾隆科技</t>
  </si>
  <si>
    <t>宏力达</t>
  </si>
  <si>
    <t xml:space="preserve">        142.68亿</t>
  </si>
  <si>
    <t>铂力特</t>
  </si>
  <si>
    <t xml:space="preserve">        181.54亿</t>
  </si>
  <si>
    <t>复洁环保</t>
  </si>
  <si>
    <t xml:space="preserve">         22.99亿</t>
  </si>
  <si>
    <t>三生国健</t>
  </si>
  <si>
    <t xml:space="preserve">        114.49亿</t>
  </si>
  <si>
    <t>赛科希德</t>
  </si>
  <si>
    <t>亿华通-U</t>
  </si>
  <si>
    <t xml:space="preserve">        208.34亿</t>
  </si>
  <si>
    <t>博力威</t>
  </si>
  <si>
    <t xml:space="preserve">         68.91亿</t>
  </si>
  <si>
    <t>富淼科技</t>
  </si>
  <si>
    <t>明志科技</t>
  </si>
  <si>
    <t xml:space="preserve">         33.94亿</t>
  </si>
  <si>
    <t>键凯科技</t>
  </si>
  <si>
    <t xml:space="preserve">        215.58亿</t>
  </si>
  <si>
    <t>建龙微纳</t>
  </si>
  <si>
    <t xml:space="preserve">        130.10亿</t>
  </si>
  <si>
    <t>祥生医疗</t>
  </si>
  <si>
    <t xml:space="preserve">         35.34亿</t>
  </si>
  <si>
    <t>三孚新科</t>
  </si>
  <si>
    <t>德马科技</t>
  </si>
  <si>
    <t xml:space="preserve">         29.32亿</t>
  </si>
  <si>
    <t>华熙生物</t>
  </si>
  <si>
    <t xml:space="preserve">        790.32亿</t>
  </si>
  <si>
    <t>光云科技</t>
  </si>
  <si>
    <t xml:space="preserve">         57.26亿</t>
  </si>
  <si>
    <t>昊海生科</t>
  </si>
  <si>
    <t xml:space="preserve">        172.56亿</t>
  </si>
  <si>
    <t>工大高科</t>
  </si>
  <si>
    <t>晶丰明源</t>
  </si>
  <si>
    <t xml:space="preserve">        196.20亿</t>
  </si>
  <si>
    <t>致远互联</t>
  </si>
  <si>
    <t xml:space="preserve">         47.05亿</t>
  </si>
  <si>
    <t>迪威尔</t>
  </si>
  <si>
    <t>奥来德</t>
  </si>
  <si>
    <t xml:space="preserve">         53.96亿</t>
  </si>
  <si>
    <t>华光新材</t>
  </si>
  <si>
    <t xml:space="preserve">         18.27亿</t>
  </si>
  <si>
    <t>新益昌</t>
  </si>
  <si>
    <t xml:space="preserve">        127.25亿</t>
  </si>
  <si>
    <t>复旦微电</t>
  </si>
  <si>
    <t xml:space="preserve">        262.49亿</t>
  </si>
  <si>
    <t>泛亚微透</t>
  </si>
  <si>
    <t xml:space="preserve">         41.47亿</t>
  </si>
  <si>
    <t>嘉元科技</t>
  </si>
  <si>
    <t xml:space="preserve">        342.41亿</t>
  </si>
  <si>
    <t>普门科技</t>
  </si>
  <si>
    <t xml:space="preserve">         95.46亿</t>
  </si>
  <si>
    <t>固德威</t>
  </si>
  <si>
    <t xml:space="preserve">        389.25亿</t>
  </si>
  <si>
    <t>安必平</t>
  </si>
  <si>
    <t xml:space="preserve">         27.05亿</t>
  </si>
  <si>
    <t>正弦电气</t>
  </si>
  <si>
    <t>华润微</t>
  </si>
  <si>
    <t xml:space="preserve">        860.70亿</t>
  </si>
  <si>
    <t>赛特新材</t>
  </si>
  <si>
    <t xml:space="preserve">         38.40亿</t>
  </si>
  <si>
    <t>硕世生物</t>
  </si>
  <si>
    <t xml:space="preserve">         70.33亿</t>
  </si>
  <si>
    <t>中信博</t>
  </si>
  <si>
    <t xml:space="preserve">        322.32亿</t>
  </si>
  <si>
    <t>震有科技</t>
  </si>
  <si>
    <t xml:space="preserve">         28.19亿</t>
  </si>
  <si>
    <t>铁建重工</t>
  </si>
  <si>
    <t xml:space="preserve">        254.47亿</t>
  </si>
  <si>
    <t>有研粉材</t>
  </si>
  <si>
    <t xml:space="preserve">         30.50亿</t>
  </si>
  <si>
    <t>金科环境</t>
  </si>
  <si>
    <t>科美诊断</t>
  </si>
  <si>
    <t xml:space="preserve">         68.25亿</t>
  </si>
  <si>
    <t>艾迪药业</t>
  </si>
  <si>
    <t xml:space="preserve">         67.12亿</t>
  </si>
  <si>
    <t>利元亨</t>
  </si>
  <si>
    <t xml:space="preserve">        249.13亿</t>
  </si>
  <si>
    <t>慧辰股份</t>
  </si>
  <si>
    <t xml:space="preserve">         25.16亿</t>
  </si>
  <si>
    <t>青达环保</t>
  </si>
  <si>
    <t xml:space="preserve">         15.52亿</t>
  </si>
  <si>
    <t>复旦张江</t>
  </si>
  <si>
    <t>芯朋微</t>
  </si>
  <si>
    <t xml:space="preserve">        162.97亿</t>
  </si>
  <si>
    <t>正元地信</t>
  </si>
  <si>
    <t>航亚科技</t>
  </si>
  <si>
    <t xml:space="preserve">         75.32亿</t>
  </si>
  <si>
    <t>天微电子</t>
  </si>
  <si>
    <t xml:space="preserve">         48.02亿</t>
  </si>
  <si>
    <t>苑东生物</t>
  </si>
  <si>
    <t xml:space="preserve">         53.90亿</t>
  </si>
  <si>
    <t>奥特维</t>
  </si>
  <si>
    <t xml:space="preserve">        230.69亿</t>
  </si>
  <si>
    <t>金冠电气</t>
  </si>
  <si>
    <t>联赢激光</t>
  </si>
  <si>
    <t xml:space="preserve">        134.16亿</t>
  </si>
  <si>
    <t>南亚新材</t>
  </si>
  <si>
    <t xml:space="preserve">         93.99亿</t>
  </si>
  <si>
    <t>神州细胞-U</t>
  </si>
  <si>
    <t xml:space="preserve">        238.43亿</t>
  </si>
  <si>
    <t>芯原股份-U</t>
  </si>
  <si>
    <t xml:space="preserve">        370.78亿</t>
  </si>
  <si>
    <t>科前生物</t>
  </si>
  <si>
    <t xml:space="preserve">        122.47亿</t>
  </si>
  <si>
    <t>秦川物联</t>
  </si>
  <si>
    <t xml:space="preserve">         21.60亿</t>
  </si>
  <si>
    <t>豪森股份</t>
  </si>
  <si>
    <t>上声电子</t>
  </si>
  <si>
    <t>思瑞浦</t>
  </si>
  <si>
    <t xml:space="preserve">        652.80亿</t>
  </si>
  <si>
    <t>和辉光电-U</t>
  </si>
  <si>
    <t xml:space="preserve">        432.24亿</t>
  </si>
  <si>
    <t>瑞联新材</t>
  </si>
  <si>
    <t>科威尔</t>
  </si>
  <si>
    <t xml:space="preserve">         56.01亿</t>
  </si>
  <si>
    <t>汇宇制药-W</t>
  </si>
  <si>
    <t>泽达易盛</t>
  </si>
  <si>
    <t>高测股份</t>
  </si>
  <si>
    <t xml:space="preserve">        140.16亿</t>
  </si>
  <si>
    <t>兰剑智能</t>
  </si>
  <si>
    <t xml:space="preserve">         20.01亿</t>
  </si>
  <si>
    <t>国盛智科</t>
  </si>
  <si>
    <t xml:space="preserve">         66.08亿</t>
  </si>
  <si>
    <t>海目星</t>
  </si>
  <si>
    <t xml:space="preserve">        134.90亿</t>
  </si>
  <si>
    <t>明冠新材</t>
  </si>
  <si>
    <t xml:space="preserve">         60.19亿</t>
  </si>
  <si>
    <t>奇安信-U</t>
  </si>
  <si>
    <t xml:space="preserve">        640.95亿</t>
  </si>
  <si>
    <t>力源科技</t>
  </si>
  <si>
    <t>吉贝尔</t>
  </si>
  <si>
    <t xml:space="preserve">         39.52亿</t>
  </si>
  <si>
    <t>孚能科技</t>
  </si>
  <si>
    <t xml:space="preserve">        411.99亿</t>
  </si>
  <si>
    <t>中科星图</t>
  </si>
  <si>
    <t xml:space="preserve">        167.60亿</t>
  </si>
  <si>
    <t>铁科轨道</t>
  </si>
  <si>
    <t>杭华股份</t>
  </si>
  <si>
    <t>亚辉龙</t>
  </si>
  <si>
    <t>浙海德曼</t>
  </si>
  <si>
    <t xml:space="preserve">         35.89亿</t>
  </si>
  <si>
    <t>艾力斯-U</t>
  </si>
  <si>
    <t xml:space="preserve">        160.24亿</t>
  </si>
  <si>
    <t>山大地纬</t>
  </si>
  <si>
    <t xml:space="preserve">         45.76亿</t>
  </si>
  <si>
    <t>伟思医疗</t>
  </si>
  <si>
    <t xml:space="preserve">         71.05亿</t>
  </si>
  <si>
    <t>上纬新材</t>
  </si>
  <si>
    <t xml:space="preserve">         47.98亿</t>
  </si>
  <si>
    <t>江航装备</t>
  </si>
  <si>
    <t xml:space="preserve">        130.61亿</t>
  </si>
  <si>
    <t>凌志软件</t>
  </si>
  <si>
    <t xml:space="preserve">         59.28亿</t>
  </si>
  <si>
    <t>力合微</t>
  </si>
  <si>
    <t xml:space="preserve">         54.75亿</t>
  </si>
  <si>
    <t>新致软件</t>
  </si>
  <si>
    <t>芯海科技</t>
  </si>
  <si>
    <t xml:space="preserve">         98.11亿</t>
  </si>
  <si>
    <t>正帆科技</t>
  </si>
  <si>
    <t>煜邦电力</t>
  </si>
  <si>
    <t>金博股份</t>
  </si>
  <si>
    <t xml:space="preserve">        269.59亿</t>
  </si>
  <si>
    <t>天合光能</t>
  </si>
  <si>
    <t xml:space="preserve">       1691.65亿</t>
  </si>
  <si>
    <t>皖仪科技</t>
  </si>
  <si>
    <t>力芯微</t>
  </si>
  <si>
    <t xml:space="preserve">        117.93亿</t>
  </si>
  <si>
    <t>奥泰生物</t>
  </si>
  <si>
    <t xml:space="preserve">         60.30亿</t>
  </si>
  <si>
    <t>康众医疗</t>
  </si>
  <si>
    <t>恒玄科技</t>
  </si>
  <si>
    <t xml:space="preserve">        302.80亿</t>
  </si>
  <si>
    <t>九联科技</t>
  </si>
  <si>
    <t xml:space="preserve">         71.35亿</t>
  </si>
  <si>
    <t>杭州柯林</t>
  </si>
  <si>
    <t xml:space="preserve">         52.62亿</t>
  </si>
  <si>
    <t>奥精医疗</t>
  </si>
  <si>
    <t xml:space="preserve">         75.20亿</t>
  </si>
  <si>
    <t>西力科技</t>
  </si>
  <si>
    <t xml:space="preserve">         20.31亿</t>
  </si>
  <si>
    <t>惠泰医疗</t>
  </si>
  <si>
    <t xml:space="preserve">        190.50亿</t>
  </si>
  <si>
    <t>三旺通信</t>
  </si>
  <si>
    <t xml:space="preserve">         22.04亿</t>
  </si>
  <si>
    <t>罗普特</t>
  </si>
  <si>
    <t xml:space="preserve">         38.75亿</t>
  </si>
  <si>
    <t>阳光诺和</t>
  </si>
  <si>
    <t xml:space="preserve">         95.22亿</t>
  </si>
  <si>
    <t>禾信仪器</t>
  </si>
  <si>
    <t xml:space="preserve">         48.16亿</t>
  </si>
  <si>
    <t>呈和科技</t>
  </si>
  <si>
    <t xml:space="preserve">         77.08亿</t>
  </si>
  <si>
    <t>翔宇医疗</t>
  </si>
  <si>
    <t xml:space="preserve">         89.26亿</t>
  </si>
  <si>
    <t>优利德</t>
  </si>
  <si>
    <t>芯碁微装</t>
  </si>
  <si>
    <t xml:space="preserve">         89.74亿</t>
  </si>
  <si>
    <t>星球石墨</t>
  </si>
  <si>
    <t>智明达</t>
  </si>
  <si>
    <t xml:space="preserve">         82.50亿</t>
  </si>
  <si>
    <t>华恒生物</t>
  </si>
  <si>
    <t>迅捷兴</t>
  </si>
  <si>
    <t>浩欧博</t>
  </si>
  <si>
    <t>悦康药业</t>
  </si>
  <si>
    <t xml:space="preserve">         98.86亿</t>
  </si>
  <si>
    <t>元琛科技</t>
  </si>
  <si>
    <t xml:space="preserve">         21.44亿</t>
  </si>
  <si>
    <t>电气风电</t>
  </si>
  <si>
    <t xml:space="preserve">        194.53亿</t>
  </si>
  <si>
    <t>和林微纳</t>
  </si>
  <si>
    <t xml:space="preserve">         89.16亿</t>
  </si>
  <si>
    <t>富信科技</t>
  </si>
  <si>
    <t>新风光</t>
  </si>
  <si>
    <t xml:space="preserve">         87.47亿</t>
  </si>
  <si>
    <t>四方光电</t>
  </si>
  <si>
    <t xml:space="preserve">        121.23亿</t>
  </si>
  <si>
    <t>菱电电控</t>
  </si>
  <si>
    <t xml:space="preserve">         86.79亿</t>
  </si>
  <si>
    <t>鼎通科技</t>
  </si>
  <si>
    <t xml:space="preserve">         60.90亿</t>
  </si>
  <si>
    <t>聚石化学</t>
  </si>
  <si>
    <t>金迪克</t>
  </si>
  <si>
    <t xml:space="preserve">         70.50亿</t>
  </si>
  <si>
    <t>金盘科技</t>
  </si>
  <si>
    <t xml:space="preserve">        146.87亿</t>
  </si>
  <si>
    <t>海泰新光</t>
  </si>
  <si>
    <t xml:space="preserve">         87.08亿</t>
  </si>
  <si>
    <t>福立旺</t>
  </si>
  <si>
    <t xml:space="preserve">         57.92亿</t>
  </si>
  <si>
    <t>通源环境</t>
  </si>
  <si>
    <t xml:space="preserve">         16.47亿</t>
  </si>
  <si>
    <t>海优新材</t>
  </si>
  <si>
    <t xml:space="preserve">        295.75亿</t>
  </si>
  <si>
    <t>科汇股份</t>
  </si>
  <si>
    <t>霍莱沃</t>
  </si>
  <si>
    <t>莱尔科技</t>
  </si>
  <si>
    <t>迈信林</t>
  </si>
  <si>
    <t xml:space="preserve">         34.25亿</t>
  </si>
  <si>
    <t>奥普特</t>
  </si>
  <si>
    <t xml:space="preserve">        251.20亿</t>
  </si>
  <si>
    <t>凯因科技</t>
  </si>
  <si>
    <t>银河微电</t>
  </si>
  <si>
    <t xml:space="preserve">         61.76亿</t>
  </si>
  <si>
    <t>纳微科技</t>
  </si>
  <si>
    <t xml:space="preserve">        350.37亿</t>
  </si>
  <si>
    <t>极米科技</t>
  </si>
  <si>
    <t xml:space="preserve">        282.50亿</t>
  </si>
  <si>
    <t>纽威数控</t>
  </si>
  <si>
    <t xml:space="preserve">         63.11亿</t>
  </si>
  <si>
    <t>伟创电气</t>
  </si>
  <si>
    <t xml:space="preserve">         45.20亿</t>
  </si>
  <si>
    <t>明微电子</t>
  </si>
  <si>
    <t xml:space="preserve">        156.32亿</t>
  </si>
  <si>
    <t>东威科技</t>
  </si>
  <si>
    <t xml:space="preserve">        132.66亿</t>
  </si>
  <si>
    <t>卓锦股份</t>
  </si>
  <si>
    <t xml:space="preserve">         17.52亿</t>
  </si>
  <si>
    <t>振华新材-U</t>
  </si>
  <si>
    <t xml:space="preserve">        228.07亿</t>
  </si>
  <si>
    <t>宏微科技</t>
  </si>
  <si>
    <t xml:space="preserve">        150.89亿</t>
  </si>
  <si>
    <t>唯赛勃</t>
  </si>
  <si>
    <t xml:space="preserve">         61.68亿</t>
  </si>
  <si>
    <t>同益中</t>
  </si>
  <si>
    <t>格科微</t>
  </si>
  <si>
    <t xml:space="preserve">        800.89亿</t>
  </si>
  <si>
    <t>壹石通</t>
  </si>
  <si>
    <t xml:space="preserve">        131.98亿</t>
  </si>
  <si>
    <t>中自科技</t>
  </si>
  <si>
    <t>成大生物</t>
  </si>
  <si>
    <t xml:space="preserve">        326.54亿</t>
  </si>
  <si>
    <t>普冉股份</t>
  </si>
  <si>
    <t xml:space="preserve">        158.32亿</t>
  </si>
  <si>
    <t>博拓生物</t>
  </si>
  <si>
    <t xml:space="preserve">         67.16亿</t>
  </si>
  <si>
    <t>容知日新</t>
  </si>
  <si>
    <t xml:space="preserve">         61.69亿</t>
  </si>
  <si>
    <t>珠海冠宇</t>
  </si>
  <si>
    <t xml:space="preserve">        659.31亿</t>
  </si>
  <si>
    <t>国光电气</t>
  </si>
  <si>
    <t xml:space="preserve">        158.78亿</t>
  </si>
  <si>
    <t>中控技术</t>
  </si>
  <si>
    <t xml:space="preserve">        449.91亿</t>
  </si>
  <si>
    <t>厦钨新能</t>
  </si>
  <si>
    <t xml:space="preserve">        288.48亿</t>
  </si>
  <si>
    <t>长远锂科</t>
  </si>
  <si>
    <t xml:space="preserve">        517.03亿</t>
  </si>
  <si>
    <t>悦安新材</t>
  </si>
  <si>
    <t xml:space="preserve">         47.86亿</t>
  </si>
  <si>
    <t>海天瑞声</t>
  </si>
  <si>
    <t xml:space="preserve">         38.01亿</t>
  </si>
  <si>
    <t>科思科技</t>
  </si>
  <si>
    <t xml:space="preserve">        105.45亿</t>
  </si>
  <si>
    <t>宏华数科</t>
  </si>
  <si>
    <t xml:space="preserve">        222.68亿</t>
  </si>
  <si>
    <t>倍轻松</t>
  </si>
  <si>
    <t xml:space="preserve">         64.53亿</t>
  </si>
  <si>
    <t>艾为电子</t>
  </si>
  <si>
    <t xml:space="preserve">        378.48亿</t>
  </si>
  <si>
    <t>华纳药厂</t>
  </si>
  <si>
    <t xml:space="preserve">         38.11亿</t>
  </si>
  <si>
    <t>瑞可达</t>
  </si>
  <si>
    <t xml:space="preserve">        130.90亿</t>
  </si>
  <si>
    <t>天能股份</t>
  </si>
  <si>
    <t xml:space="preserve">        464.08亿</t>
  </si>
  <si>
    <t>中芯国际</t>
  </si>
  <si>
    <t xml:space="preserve">       1060.53亿</t>
  </si>
  <si>
    <t>九号公司-WD</t>
  </si>
  <si>
    <t xml:space="preserve">        428.94亿</t>
  </si>
  <si>
    <t>永安期货</t>
  </si>
  <si>
    <t>华塑股份</t>
  </si>
  <si>
    <t>海尔施</t>
  </si>
  <si>
    <t>富佳股份</t>
  </si>
  <si>
    <t>内蒙新华</t>
  </si>
  <si>
    <t>鑫广绿环</t>
  </si>
  <si>
    <t>炬芯科技-U</t>
  </si>
  <si>
    <t>鼎阳科技</t>
  </si>
  <si>
    <t>华强科技</t>
  </si>
  <si>
    <t>云路股份</t>
  </si>
  <si>
    <t>芯导科技</t>
  </si>
  <si>
    <t>蚂蚁集团</t>
  </si>
  <si>
    <t>数据来源:通达信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</si>
</sst>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579"/>
  <sheetViews>
    <sheetView tabSelected="1" zoomScaleSheetLayoutView="60" workbookViewId="0">
      <selection activeCell="A1" sqref="A1"/>
    </sheetView>
  </sheetViews>
  <sheetFormatPr defaultColWidth="9" defaultRowHeight="13.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tr">
        <f>"000001"</f>
        <v>000001</v>
      </c>
      <c r="B2" t="s">
        <v>21</v>
      </c>
      <c r="C2">
        <v>1.97</v>
      </c>
      <c r="D2">
        <v>18.15</v>
      </c>
      <c r="E2">
        <v>0.35</v>
      </c>
      <c r="F2">
        <v>18.14</v>
      </c>
      <c r="G2">
        <v>18.15</v>
      </c>
      <c r="H2">
        <v>786372</v>
      </c>
      <c r="I2">
        <v>11044</v>
      </c>
      <c r="J2">
        <v>0.06</v>
      </c>
      <c r="K2">
        <v>0.41</v>
      </c>
      <c r="L2">
        <v>141450.64</v>
      </c>
      <c r="M2" t="s">
        <v>22</v>
      </c>
      <c r="N2" t="s">
        <v>23</v>
      </c>
      <c r="O2">
        <v>17.8</v>
      </c>
      <c r="P2">
        <v>18.24</v>
      </c>
      <c r="Q2">
        <v>17.7</v>
      </c>
      <c r="R2">
        <v>17.8</v>
      </c>
      <c r="S2">
        <v>9.07</v>
      </c>
      <c r="T2">
        <v>1.07</v>
      </c>
      <c r="U2" t="s">
        <v>24</v>
      </c>
    </row>
    <row r="3" spans="1:21">
      <c r="A3" t="str">
        <f>"000002"</f>
        <v>000002</v>
      </c>
      <c r="B3" t="s">
        <v>25</v>
      </c>
      <c r="C3">
        <v>4.24</v>
      </c>
      <c r="D3">
        <v>19.9</v>
      </c>
      <c r="E3">
        <v>0.81</v>
      </c>
      <c r="F3">
        <v>19.89</v>
      </c>
      <c r="G3">
        <v>19.9</v>
      </c>
      <c r="H3">
        <v>1308293</v>
      </c>
      <c r="I3">
        <v>27602</v>
      </c>
      <c r="J3">
        <v>-0.14</v>
      </c>
      <c r="K3">
        <v>1.35</v>
      </c>
      <c r="L3">
        <v>257065.29</v>
      </c>
      <c r="M3" t="s">
        <v>26</v>
      </c>
      <c r="N3" t="s">
        <v>27</v>
      </c>
      <c r="O3">
        <v>19.01</v>
      </c>
      <c r="P3">
        <v>20.28</v>
      </c>
      <c r="Q3">
        <v>18.92</v>
      </c>
      <c r="R3">
        <v>19.09</v>
      </c>
      <c r="S3">
        <v>10.4</v>
      </c>
      <c r="T3">
        <v>1.35</v>
      </c>
      <c r="U3" t="s">
        <v>24</v>
      </c>
    </row>
    <row r="4" spans="1:21">
      <c r="A4" t="str">
        <f>"000004"</f>
        <v>000004</v>
      </c>
      <c r="B4" t="s">
        <v>28</v>
      </c>
      <c r="C4">
        <v>0.86</v>
      </c>
      <c r="D4">
        <v>18.76</v>
      </c>
      <c r="E4">
        <v>0.16</v>
      </c>
      <c r="F4">
        <v>18.76</v>
      </c>
      <c r="G4">
        <v>18.77</v>
      </c>
      <c r="H4">
        <v>45747</v>
      </c>
      <c r="I4">
        <v>1367</v>
      </c>
      <c r="J4">
        <v>-0.1</v>
      </c>
      <c r="K4">
        <v>3.93</v>
      </c>
      <c r="L4">
        <v>8570.64</v>
      </c>
      <c r="M4" t="s">
        <v>29</v>
      </c>
      <c r="N4" t="s">
        <v>30</v>
      </c>
      <c r="O4">
        <v>18.84</v>
      </c>
      <c r="P4">
        <v>18.95</v>
      </c>
      <c r="Q4">
        <v>18.42</v>
      </c>
      <c r="R4">
        <v>18.6</v>
      </c>
      <c r="S4">
        <v>65.06</v>
      </c>
      <c r="T4">
        <v>0.59</v>
      </c>
      <c r="U4" t="s">
        <v>24</v>
      </c>
    </row>
    <row r="5" spans="1:21">
      <c r="A5" t="str">
        <f>"000005"</f>
        <v>000005</v>
      </c>
      <c r="B5" t="s">
        <v>31</v>
      </c>
      <c r="C5">
        <v>0.93</v>
      </c>
      <c r="D5">
        <v>2.16</v>
      </c>
      <c r="E5">
        <v>0.02</v>
      </c>
      <c r="F5">
        <v>2.15</v>
      </c>
      <c r="G5">
        <v>2.16</v>
      </c>
      <c r="H5">
        <v>54486</v>
      </c>
      <c r="I5">
        <v>1201</v>
      </c>
      <c r="J5">
        <v>0</v>
      </c>
      <c r="K5">
        <v>0.52</v>
      </c>
      <c r="L5">
        <v>1170.39</v>
      </c>
      <c r="M5" t="s">
        <v>32</v>
      </c>
      <c r="N5" t="s">
        <v>33</v>
      </c>
      <c r="O5">
        <v>2.15</v>
      </c>
      <c r="P5">
        <v>2.16</v>
      </c>
      <c r="Q5">
        <v>2.11</v>
      </c>
      <c r="R5">
        <v>2.14</v>
      </c>
      <c r="S5">
        <v>8.83</v>
      </c>
      <c r="T5">
        <v>0.53</v>
      </c>
      <c r="U5" t="s">
        <v>24</v>
      </c>
    </row>
    <row r="6" spans="1:21">
      <c r="A6" t="str">
        <f>"000006"</f>
        <v>000006</v>
      </c>
      <c r="B6" t="s">
        <v>34</v>
      </c>
      <c r="C6">
        <v>1.46</v>
      </c>
      <c r="D6">
        <v>4.18</v>
      </c>
      <c r="E6">
        <v>0.06</v>
      </c>
      <c r="F6">
        <v>4.17</v>
      </c>
      <c r="G6">
        <v>4.18</v>
      </c>
      <c r="H6">
        <v>51307</v>
      </c>
      <c r="I6">
        <v>917</v>
      </c>
      <c r="J6">
        <v>0.24</v>
      </c>
      <c r="K6">
        <v>0.38</v>
      </c>
      <c r="L6">
        <v>2126.38</v>
      </c>
      <c r="M6" t="s">
        <v>35</v>
      </c>
      <c r="N6" t="s">
        <v>36</v>
      </c>
      <c r="O6">
        <v>4.12</v>
      </c>
      <c r="P6">
        <v>4.19</v>
      </c>
      <c r="Q6">
        <v>4.09</v>
      </c>
      <c r="R6">
        <v>4.12</v>
      </c>
      <c r="S6">
        <v>7.53</v>
      </c>
      <c r="T6">
        <v>1.12</v>
      </c>
      <c r="U6" t="s">
        <v>24</v>
      </c>
    </row>
    <row r="7" spans="1:21">
      <c r="A7" t="str">
        <f>"000007"</f>
        <v>000007</v>
      </c>
      <c r="B7" t="s">
        <v>37</v>
      </c>
      <c r="C7">
        <v>1.33</v>
      </c>
      <c r="D7">
        <v>6.11</v>
      </c>
      <c r="E7">
        <v>0.08</v>
      </c>
      <c r="F7">
        <v>6.11</v>
      </c>
      <c r="G7">
        <v>6.12</v>
      </c>
      <c r="H7">
        <v>74841</v>
      </c>
      <c r="I7">
        <v>472</v>
      </c>
      <c r="J7">
        <v>-0.32</v>
      </c>
      <c r="K7">
        <v>2.42</v>
      </c>
      <c r="L7">
        <v>4562.52</v>
      </c>
      <c r="M7" t="s">
        <v>38</v>
      </c>
      <c r="N7" t="s">
        <v>39</v>
      </c>
      <c r="O7">
        <v>6.02</v>
      </c>
      <c r="P7">
        <v>6.23</v>
      </c>
      <c r="Q7">
        <v>5.91</v>
      </c>
      <c r="R7">
        <v>6.03</v>
      </c>
      <c r="S7" t="s">
        <v>40</v>
      </c>
      <c r="T7">
        <v>0.82</v>
      </c>
      <c r="U7" t="s">
        <v>24</v>
      </c>
    </row>
    <row r="8" spans="1:21">
      <c r="A8" t="str">
        <f>"000008"</f>
        <v>000008</v>
      </c>
      <c r="B8" t="s">
        <v>41</v>
      </c>
      <c r="C8">
        <v>1.4</v>
      </c>
      <c r="D8">
        <v>2.17</v>
      </c>
      <c r="E8">
        <v>0.03</v>
      </c>
      <c r="F8">
        <v>2.16</v>
      </c>
      <c r="G8">
        <v>2.17</v>
      </c>
      <c r="H8">
        <v>111997</v>
      </c>
      <c r="I8">
        <v>973</v>
      </c>
      <c r="J8">
        <v>0</v>
      </c>
      <c r="K8">
        <v>0.42</v>
      </c>
      <c r="L8">
        <v>2405.43</v>
      </c>
      <c r="M8" t="s">
        <v>42</v>
      </c>
      <c r="N8" t="s">
        <v>43</v>
      </c>
      <c r="O8">
        <v>2.14</v>
      </c>
      <c r="P8">
        <v>2.17</v>
      </c>
      <c r="Q8">
        <v>2.13</v>
      </c>
      <c r="R8">
        <v>2.14</v>
      </c>
      <c r="S8" t="s">
        <v>40</v>
      </c>
      <c r="T8">
        <v>0.97</v>
      </c>
      <c r="U8" t="s">
        <v>44</v>
      </c>
    </row>
    <row r="9" spans="1:21">
      <c r="A9" t="str">
        <f>"000009"</f>
        <v>000009</v>
      </c>
      <c r="B9" t="s">
        <v>45</v>
      </c>
      <c r="C9">
        <v>-1.58</v>
      </c>
      <c r="D9">
        <v>17.39</v>
      </c>
      <c r="E9">
        <v>-0.28</v>
      </c>
      <c r="F9">
        <v>17.38</v>
      </c>
      <c r="G9">
        <v>17.39</v>
      </c>
      <c r="H9">
        <v>1070423</v>
      </c>
      <c r="I9">
        <v>9569</v>
      </c>
      <c r="J9">
        <v>0.06</v>
      </c>
      <c r="K9">
        <v>4.2</v>
      </c>
      <c r="L9">
        <v>186632.67</v>
      </c>
      <c r="M9" t="s">
        <v>46</v>
      </c>
      <c r="N9" t="s">
        <v>47</v>
      </c>
      <c r="O9">
        <v>17.61</v>
      </c>
      <c r="P9">
        <v>17.89</v>
      </c>
      <c r="Q9">
        <v>17.2</v>
      </c>
      <c r="R9">
        <v>17.67</v>
      </c>
      <c r="S9">
        <v>37.69</v>
      </c>
      <c r="T9">
        <v>0.85</v>
      </c>
      <c r="U9" t="s">
        <v>24</v>
      </c>
    </row>
    <row r="10" spans="1:21">
      <c r="A10" t="str">
        <f>"000010"</f>
        <v>000010</v>
      </c>
      <c r="B10" t="s">
        <v>48</v>
      </c>
      <c r="C10">
        <v>0.5</v>
      </c>
      <c r="D10">
        <v>4.02</v>
      </c>
      <c r="E10">
        <v>0.02</v>
      </c>
      <c r="F10">
        <v>4.01</v>
      </c>
      <c r="G10">
        <v>4.02</v>
      </c>
      <c r="H10">
        <v>65952</v>
      </c>
      <c r="I10">
        <v>964</v>
      </c>
      <c r="J10">
        <v>0.25</v>
      </c>
      <c r="K10">
        <v>1.26</v>
      </c>
      <c r="L10">
        <v>2638.18</v>
      </c>
      <c r="M10" t="s">
        <v>49</v>
      </c>
      <c r="N10" t="s">
        <v>50</v>
      </c>
      <c r="O10">
        <v>4.02</v>
      </c>
      <c r="P10">
        <v>4.05</v>
      </c>
      <c r="Q10">
        <v>3.96</v>
      </c>
      <c r="R10">
        <v>4</v>
      </c>
      <c r="S10">
        <v>114.19</v>
      </c>
      <c r="T10">
        <v>0.64</v>
      </c>
      <c r="U10" t="s">
        <v>24</v>
      </c>
    </row>
    <row r="11" spans="1:21">
      <c r="A11" t="str">
        <f>"000011"</f>
        <v>000011</v>
      </c>
      <c r="B11" t="s">
        <v>51</v>
      </c>
      <c r="C11">
        <v>1.4</v>
      </c>
      <c r="D11">
        <v>10.85</v>
      </c>
      <c r="E11">
        <v>0.15</v>
      </c>
      <c r="F11">
        <v>10.85</v>
      </c>
      <c r="G11">
        <v>10.86</v>
      </c>
      <c r="H11">
        <v>33836</v>
      </c>
      <c r="I11">
        <v>286</v>
      </c>
      <c r="J11">
        <v>-0.08</v>
      </c>
      <c r="K11">
        <v>0.64</v>
      </c>
      <c r="L11">
        <v>3647.58</v>
      </c>
      <c r="M11" t="s">
        <v>52</v>
      </c>
      <c r="N11" t="s">
        <v>36</v>
      </c>
      <c r="O11">
        <v>10.7</v>
      </c>
      <c r="P11">
        <v>10.93</v>
      </c>
      <c r="Q11">
        <v>10.64</v>
      </c>
      <c r="R11">
        <v>10.7</v>
      </c>
      <c r="S11">
        <v>6.26</v>
      </c>
      <c r="T11">
        <v>0.9</v>
      </c>
      <c r="U11" t="s">
        <v>24</v>
      </c>
    </row>
    <row r="12" spans="1:21">
      <c r="A12" t="str">
        <f>"000012"</f>
        <v>000012</v>
      </c>
      <c r="B12" t="s">
        <v>53</v>
      </c>
      <c r="C12">
        <v>-0.3</v>
      </c>
      <c r="D12">
        <v>9.98</v>
      </c>
      <c r="E12">
        <v>-0.03</v>
      </c>
      <c r="F12">
        <v>9.97</v>
      </c>
      <c r="G12">
        <v>9.98</v>
      </c>
      <c r="H12">
        <v>404536</v>
      </c>
      <c r="I12">
        <v>3804</v>
      </c>
      <c r="J12">
        <v>0.1</v>
      </c>
      <c r="K12">
        <v>2.07</v>
      </c>
      <c r="L12">
        <v>40093.98</v>
      </c>
      <c r="M12" t="s">
        <v>54</v>
      </c>
      <c r="N12" t="s">
        <v>55</v>
      </c>
      <c r="O12">
        <v>10.01</v>
      </c>
      <c r="P12">
        <v>10.08</v>
      </c>
      <c r="Q12">
        <v>9.75</v>
      </c>
      <c r="R12">
        <v>10.01</v>
      </c>
      <c r="S12">
        <v>15.22</v>
      </c>
      <c r="T12">
        <v>0.63</v>
      </c>
      <c r="U12" t="s">
        <v>24</v>
      </c>
    </row>
    <row r="13" spans="1:21">
      <c r="A13" t="str">
        <f>"000014"</f>
        <v>000014</v>
      </c>
      <c r="B13" t="s">
        <v>56</v>
      </c>
      <c r="C13">
        <v>0.84</v>
      </c>
      <c r="D13">
        <v>7.22</v>
      </c>
      <c r="E13">
        <v>0.06</v>
      </c>
      <c r="F13">
        <v>7.21</v>
      </c>
      <c r="G13">
        <v>7.22</v>
      </c>
      <c r="H13">
        <v>8833</v>
      </c>
      <c r="I13">
        <v>132</v>
      </c>
      <c r="J13">
        <v>0.14</v>
      </c>
      <c r="K13">
        <v>0.44</v>
      </c>
      <c r="L13">
        <v>634.67</v>
      </c>
      <c r="M13" t="s">
        <v>57</v>
      </c>
      <c r="N13" t="s">
        <v>27</v>
      </c>
      <c r="O13">
        <v>7.12</v>
      </c>
      <c r="P13">
        <v>7.25</v>
      </c>
      <c r="Q13">
        <v>7.1</v>
      </c>
      <c r="R13">
        <v>7.16</v>
      </c>
      <c r="S13" t="s">
        <v>40</v>
      </c>
      <c r="T13">
        <v>0.75</v>
      </c>
      <c r="U13" t="s">
        <v>24</v>
      </c>
    </row>
    <row r="14" spans="1:21">
      <c r="A14" t="str">
        <f>"000016"</f>
        <v>000016</v>
      </c>
      <c r="B14" t="s">
        <v>58</v>
      </c>
      <c r="C14">
        <v>0.65</v>
      </c>
      <c r="D14">
        <v>6.2</v>
      </c>
      <c r="E14">
        <v>0.04</v>
      </c>
      <c r="F14">
        <v>6.19</v>
      </c>
      <c r="G14">
        <v>6.2</v>
      </c>
      <c r="H14">
        <v>110638</v>
      </c>
      <c r="I14">
        <v>873</v>
      </c>
      <c r="J14">
        <v>0</v>
      </c>
      <c r="K14">
        <v>0.69</v>
      </c>
      <c r="L14">
        <v>6844.82</v>
      </c>
      <c r="M14" t="s">
        <v>59</v>
      </c>
      <c r="N14" t="s">
        <v>60</v>
      </c>
      <c r="O14">
        <v>6.16</v>
      </c>
      <c r="P14">
        <v>6.23</v>
      </c>
      <c r="Q14">
        <v>6.13</v>
      </c>
      <c r="R14">
        <v>6.16</v>
      </c>
      <c r="S14" t="s">
        <v>40</v>
      </c>
      <c r="T14">
        <v>0.85</v>
      </c>
      <c r="U14" t="s">
        <v>24</v>
      </c>
    </row>
    <row r="15" spans="1:21">
      <c r="A15" t="str">
        <f>"000017"</f>
        <v>000017</v>
      </c>
      <c r="B15" t="s">
        <v>61</v>
      </c>
      <c r="C15">
        <v>-0.27</v>
      </c>
      <c r="D15">
        <v>3.69</v>
      </c>
      <c r="E15">
        <v>-0.01</v>
      </c>
      <c r="F15">
        <v>3.69</v>
      </c>
      <c r="G15">
        <v>3.7</v>
      </c>
      <c r="H15">
        <v>34214</v>
      </c>
      <c r="I15">
        <v>424</v>
      </c>
      <c r="J15">
        <v>-0.26</v>
      </c>
      <c r="K15">
        <v>1.13</v>
      </c>
      <c r="L15">
        <v>1260.99</v>
      </c>
      <c r="M15" t="s">
        <v>62</v>
      </c>
      <c r="N15" t="s">
        <v>63</v>
      </c>
      <c r="O15">
        <v>3.68</v>
      </c>
      <c r="P15">
        <v>3.74</v>
      </c>
      <c r="Q15">
        <v>3.64</v>
      </c>
      <c r="R15">
        <v>3.7</v>
      </c>
      <c r="S15">
        <v>786.04</v>
      </c>
      <c r="T15">
        <v>0.64</v>
      </c>
      <c r="U15" t="s">
        <v>24</v>
      </c>
    </row>
    <row r="16" spans="1:21">
      <c r="A16" t="str">
        <f>"000019"</f>
        <v>000019</v>
      </c>
      <c r="B16" t="s">
        <v>64</v>
      </c>
      <c r="C16">
        <v>0.3</v>
      </c>
      <c r="D16">
        <v>6.78</v>
      </c>
      <c r="E16">
        <v>0.02</v>
      </c>
      <c r="F16">
        <v>6.77</v>
      </c>
      <c r="G16">
        <v>6.78</v>
      </c>
      <c r="H16">
        <v>36930</v>
      </c>
      <c r="I16">
        <v>910</v>
      </c>
      <c r="J16">
        <v>0</v>
      </c>
      <c r="K16">
        <v>0.89</v>
      </c>
      <c r="L16">
        <v>2485.28</v>
      </c>
      <c r="M16" t="s">
        <v>65</v>
      </c>
      <c r="N16" t="s">
        <v>66</v>
      </c>
      <c r="O16">
        <v>6.73</v>
      </c>
      <c r="P16">
        <v>6.78</v>
      </c>
      <c r="Q16">
        <v>6.67</v>
      </c>
      <c r="R16">
        <v>6.76</v>
      </c>
      <c r="S16">
        <v>19.74</v>
      </c>
      <c r="T16">
        <v>0.64</v>
      </c>
      <c r="U16" t="s">
        <v>24</v>
      </c>
    </row>
    <row r="17" spans="1:21">
      <c r="A17" t="str">
        <f>"000020"</f>
        <v>000020</v>
      </c>
      <c r="B17" t="s">
        <v>67</v>
      </c>
      <c r="C17">
        <v>0.11</v>
      </c>
      <c r="D17">
        <v>8.97</v>
      </c>
      <c r="E17">
        <v>0.01</v>
      </c>
      <c r="F17">
        <v>8.97</v>
      </c>
      <c r="G17">
        <v>9</v>
      </c>
      <c r="H17">
        <v>4461</v>
      </c>
      <c r="I17">
        <v>63</v>
      </c>
      <c r="J17">
        <v>-0.21</v>
      </c>
      <c r="K17">
        <v>0.25</v>
      </c>
      <c r="L17">
        <v>399.71</v>
      </c>
      <c r="M17" t="s">
        <v>68</v>
      </c>
      <c r="N17" t="s">
        <v>69</v>
      </c>
      <c r="O17">
        <v>8.92</v>
      </c>
      <c r="P17">
        <v>9.01</v>
      </c>
      <c r="Q17">
        <v>8.91</v>
      </c>
      <c r="R17">
        <v>8.96</v>
      </c>
      <c r="S17">
        <v>233.33</v>
      </c>
      <c r="T17">
        <v>0.89</v>
      </c>
      <c r="U17" t="s">
        <v>24</v>
      </c>
    </row>
    <row r="18" spans="1:21">
      <c r="A18" t="str">
        <f>"000021"</f>
        <v>000021</v>
      </c>
      <c r="B18" t="s">
        <v>70</v>
      </c>
      <c r="C18">
        <v>0.45</v>
      </c>
      <c r="D18">
        <v>15.68</v>
      </c>
      <c r="E18">
        <v>0.07</v>
      </c>
      <c r="F18">
        <v>15.68</v>
      </c>
      <c r="G18">
        <v>15.69</v>
      </c>
      <c r="H18">
        <v>143472</v>
      </c>
      <c r="I18">
        <v>2564</v>
      </c>
      <c r="J18">
        <v>0</v>
      </c>
      <c r="K18">
        <v>0.92</v>
      </c>
      <c r="L18">
        <v>22372.35</v>
      </c>
      <c r="M18" t="s">
        <v>71</v>
      </c>
      <c r="N18" t="s">
        <v>72</v>
      </c>
      <c r="O18">
        <v>15.51</v>
      </c>
      <c r="P18">
        <v>15.73</v>
      </c>
      <c r="Q18">
        <v>15.44</v>
      </c>
      <c r="R18">
        <v>15.61</v>
      </c>
      <c r="S18">
        <v>35.51</v>
      </c>
      <c r="T18">
        <v>0.82</v>
      </c>
      <c r="U18" t="s">
        <v>24</v>
      </c>
    </row>
    <row r="19" spans="1:21">
      <c r="A19" t="str">
        <f>"000023"</f>
        <v>000023</v>
      </c>
      <c r="B19" t="s">
        <v>73</v>
      </c>
      <c r="C19">
        <v>0.49</v>
      </c>
      <c r="D19">
        <v>12.37</v>
      </c>
      <c r="E19">
        <v>0.06</v>
      </c>
      <c r="F19">
        <v>12.36</v>
      </c>
      <c r="G19">
        <v>12.37</v>
      </c>
      <c r="H19">
        <v>6171</v>
      </c>
      <c r="I19">
        <v>17</v>
      </c>
      <c r="J19">
        <v>0</v>
      </c>
      <c r="K19">
        <v>0.44</v>
      </c>
      <c r="L19">
        <v>755.6</v>
      </c>
      <c r="M19" t="s">
        <v>74</v>
      </c>
      <c r="N19" t="s">
        <v>75</v>
      </c>
      <c r="O19">
        <v>12.31</v>
      </c>
      <c r="P19">
        <v>12.4</v>
      </c>
      <c r="Q19">
        <v>12.07</v>
      </c>
      <c r="R19">
        <v>12.31</v>
      </c>
      <c r="S19" t="s">
        <v>40</v>
      </c>
      <c r="T19">
        <v>1.29</v>
      </c>
      <c r="U19" t="s">
        <v>24</v>
      </c>
    </row>
    <row r="20" spans="1:21">
      <c r="A20" t="str">
        <f>"000025"</f>
        <v>000025</v>
      </c>
      <c r="B20" t="s">
        <v>76</v>
      </c>
      <c r="C20">
        <v>0.76</v>
      </c>
      <c r="D20">
        <v>14.52</v>
      </c>
      <c r="E20">
        <v>0.11</v>
      </c>
      <c r="F20">
        <v>14.52</v>
      </c>
      <c r="G20">
        <v>14.53</v>
      </c>
      <c r="H20">
        <v>15028</v>
      </c>
      <c r="I20">
        <v>218</v>
      </c>
      <c r="J20">
        <v>0.14</v>
      </c>
      <c r="K20">
        <v>0.38</v>
      </c>
      <c r="L20">
        <v>2173.4</v>
      </c>
      <c r="M20" t="s">
        <v>77</v>
      </c>
      <c r="N20" t="s">
        <v>78</v>
      </c>
      <c r="O20">
        <v>14.49</v>
      </c>
      <c r="P20">
        <v>14.54</v>
      </c>
      <c r="Q20">
        <v>14.35</v>
      </c>
      <c r="R20">
        <v>14.41</v>
      </c>
      <c r="S20">
        <v>67.07</v>
      </c>
      <c r="T20">
        <v>0.68</v>
      </c>
      <c r="U20" t="s">
        <v>24</v>
      </c>
    </row>
    <row r="21" spans="1:21">
      <c r="A21" t="str">
        <f>"000026"</f>
        <v>000026</v>
      </c>
      <c r="B21" t="s">
        <v>79</v>
      </c>
      <c r="C21">
        <v>-0.34</v>
      </c>
      <c r="D21">
        <v>11.69</v>
      </c>
      <c r="E21">
        <v>-0.04</v>
      </c>
      <c r="F21">
        <v>11.67</v>
      </c>
      <c r="G21">
        <v>11.69</v>
      </c>
      <c r="H21">
        <v>35840</v>
      </c>
      <c r="I21">
        <v>604</v>
      </c>
      <c r="J21">
        <v>0.17</v>
      </c>
      <c r="K21">
        <v>1</v>
      </c>
      <c r="L21">
        <v>4164.93</v>
      </c>
      <c r="M21" t="s">
        <v>80</v>
      </c>
      <c r="N21" t="s">
        <v>66</v>
      </c>
      <c r="O21">
        <v>11.75</v>
      </c>
      <c r="P21">
        <v>11.78</v>
      </c>
      <c r="Q21">
        <v>11.5</v>
      </c>
      <c r="R21">
        <v>11.73</v>
      </c>
      <c r="S21">
        <v>10.9</v>
      </c>
      <c r="T21">
        <v>0.77</v>
      </c>
      <c r="U21" t="s">
        <v>24</v>
      </c>
    </row>
    <row r="22" spans="1:21">
      <c r="A22" t="str">
        <f>"000027"</f>
        <v>000027</v>
      </c>
      <c r="B22" t="s">
        <v>81</v>
      </c>
      <c r="C22">
        <v>0.25</v>
      </c>
      <c r="D22">
        <v>7.9</v>
      </c>
      <c r="E22">
        <v>0.02</v>
      </c>
      <c r="F22">
        <v>7.9</v>
      </c>
      <c r="G22">
        <v>7.91</v>
      </c>
      <c r="H22">
        <v>206387</v>
      </c>
      <c r="I22">
        <v>8721</v>
      </c>
      <c r="J22">
        <v>0.13</v>
      </c>
      <c r="K22">
        <v>0.43</v>
      </c>
      <c r="L22">
        <v>16166.56</v>
      </c>
      <c r="M22" t="s">
        <v>82</v>
      </c>
      <c r="N22" t="s">
        <v>83</v>
      </c>
      <c r="O22">
        <v>7.84</v>
      </c>
      <c r="P22">
        <v>7.9</v>
      </c>
      <c r="Q22">
        <v>7.77</v>
      </c>
      <c r="R22">
        <v>7.88</v>
      </c>
      <c r="S22">
        <v>11.13</v>
      </c>
      <c r="T22">
        <v>1.01</v>
      </c>
      <c r="U22" t="s">
        <v>24</v>
      </c>
    </row>
    <row r="23" spans="1:21">
      <c r="A23" t="str">
        <f>"000028"</f>
        <v>000028</v>
      </c>
      <c r="B23" t="s">
        <v>84</v>
      </c>
      <c r="C23">
        <v>0.76</v>
      </c>
      <c r="D23">
        <v>33.27</v>
      </c>
      <c r="E23">
        <v>0.25</v>
      </c>
      <c r="F23">
        <v>33.27</v>
      </c>
      <c r="G23">
        <v>33.28</v>
      </c>
      <c r="H23">
        <v>11539</v>
      </c>
      <c r="I23">
        <v>148</v>
      </c>
      <c r="J23">
        <v>-0.08</v>
      </c>
      <c r="K23">
        <v>0.31</v>
      </c>
      <c r="L23">
        <v>3824.94</v>
      </c>
      <c r="M23" t="s">
        <v>85</v>
      </c>
      <c r="N23" t="s">
        <v>86</v>
      </c>
      <c r="O23">
        <v>33</v>
      </c>
      <c r="P23">
        <v>33.33</v>
      </c>
      <c r="Q23">
        <v>32.89</v>
      </c>
      <c r="R23">
        <v>33.02</v>
      </c>
      <c r="S23">
        <v>9.95</v>
      </c>
      <c r="T23">
        <v>0.78</v>
      </c>
      <c r="U23" t="s">
        <v>24</v>
      </c>
    </row>
    <row r="24" spans="1:21">
      <c r="A24" t="str">
        <f>"000029"</f>
        <v>000029</v>
      </c>
      <c r="B24" t="s">
        <v>87</v>
      </c>
      <c r="C24">
        <v>1.59</v>
      </c>
      <c r="D24">
        <v>7.02</v>
      </c>
      <c r="E24">
        <v>0.11</v>
      </c>
      <c r="F24">
        <v>7.02</v>
      </c>
      <c r="G24">
        <v>7.03</v>
      </c>
      <c r="H24">
        <v>14261</v>
      </c>
      <c r="I24">
        <v>670</v>
      </c>
      <c r="J24">
        <v>0</v>
      </c>
      <c r="K24">
        <v>0.16</v>
      </c>
      <c r="L24">
        <v>995.76</v>
      </c>
      <c r="M24" t="s">
        <v>88</v>
      </c>
      <c r="N24" t="s">
        <v>36</v>
      </c>
      <c r="O24">
        <v>6.91</v>
      </c>
      <c r="P24">
        <v>7.07</v>
      </c>
      <c r="Q24">
        <v>6.89</v>
      </c>
      <c r="R24">
        <v>6.91</v>
      </c>
      <c r="S24">
        <v>32.57</v>
      </c>
      <c r="T24">
        <v>0.97</v>
      </c>
      <c r="U24" t="s">
        <v>24</v>
      </c>
    </row>
    <row r="25" spans="1:21">
      <c r="A25" t="str">
        <f>"000030"</f>
        <v>000030</v>
      </c>
      <c r="B25" t="s">
        <v>89</v>
      </c>
      <c r="C25">
        <v>7.89</v>
      </c>
      <c r="D25">
        <v>7.38</v>
      </c>
      <c r="E25">
        <v>0.54</v>
      </c>
      <c r="F25">
        <v>7.37</v>
      </c>
      <c r="G25">
        <v>7.38</v>
      </c>
      <c r="H25">
        <v>584556</v>
      </c>
      <c r="I25">
        <v>6274</v>
      </c>
      <c r="J25">
        <v>-0.13</v>
      </c>
      <c r="K25">
        <v>3.32</v>
      </c>
      <c r="L25">
        <v>42141.26</v>
      </c>
      <c r="M25" t="s">
        <v>90</v>
      </c>
      <c r="N25" t="s">
        <v>91</v>
      </c>
      <c r="O25">
        <v>6.99</v>
      </c>
      <c r="P25">
        <v>7.52</v>
      </c>
      <c r="Q25">
        <v>6.71</v>
      </c>
      <c r="R25">
        <v>6.84</v>
      </c>
      <c r="S25">
        <v>15.55</v>
      </c>
      <c r="T25">
        <v>1.53</v>
      </c>
      <c r="U25" t="s">
        <v>92</v>
      </c>
    </row>
    <row r="26" spans="1:21">
      <c r="A26" t="str">
        <f>"000031"</f>
        <v>000031</v>
      </c>
      <c r="B26" t="s">
        <v>93</v>
      </c>
      <c r="C26">
        <v>1.19</v>
      </c>
      <c r="D26">
        <v>3.39</v>
      </c>
      <c r="E26">
        <v>0.04</v>
      </c>
      <c r="F26">
        <v>3.38</v>
      </c>
      <c r="G26">
        <v>3.39</v>
      </c>
      <c r="H26">
        <v>72151</v>
      </c>
      <c r="I26">
        <v>687</v>
      </c>
      <c r="J26">
        <v>0</v>
      </c>
      <c r="K26">
        <v>0.38</v>
      </c>
      <c r="L26">
        <v>2427.12</v>
      </c>
      <c r="M26" t="s">
        <v>94</v>
      </c>
      <c r="N26" t="s">
        <v>27</v>
      </c>
      <c r="O26">
        <v>3.35</v>
      </c>
      <c r="P26">
        <v>3.39</v>
      </c>
      <c r="Q26">
        <v>3.34</v>
      </c>
      <c r="R26">
        <v>3.35</v>
      </c>
      <c r="S26">
        <v>9.76</v>
      </c>
      <c r="T26">
        <v>0.67</v>
      </c>
      <c r="U26" t="s">
        <v>24</v>
      </c>
    </row>
    <row r="27" spans="1:21">
      <c r="A27" t="str">
        <f>"000032"</f>
        <v>000032</v>
      </c>
      <c r="B27" t="s">
        <v>95</v>
      </c>
      <c r="C27">
        <v>-1.09</v>
      </c>
      <c r="D27">
        <v>18.07</v>
      </c>
      <c r="E27">
        <v>-0.2</v>
      </c>
      <c r="F27">
        <v>18.06</v>
      </c>
      <c r="G27">
        <v>18.07</v>
      </c>
      <c r="H27">
        <v>9710</v>
      </c>
      <c r="I27">
        <v>191</v>
      </c>
      <c r="J27">
        <v>0.06</v>
      </c>
      <c r="K27">
        <v>0.24</v>
      </c>
      <c r="L27">
        <v>1765.79</v>
      </c>
      <c r="M27" t="s">
        <v>96</v>
      </c>
      <c r="N27" t="s">
        <v>69</v>
      </c>
      <c r="O27">
        <v>18.45</v>
      </c>
      <c r="P27">
        <v>18.48</v>
      </c>
      <c r="Q27">
        <v>17.95</v>
      </c>
      <c r="R27">
        <v>18.27</v>
      </c>
      <c r="S27">
        <v>1514.78</v>
      </c>
      <c r="T27">
        <v>0.81</v>
      </c>
      <c r="U27" t="s">
        <v>24</v>
      </c>
    </row>
    <row r="28" spans="1:21">
      <c r="A28" t="str">
        <f>"000034"</f>
        <v>000034</v>
      </c>
      <c r="B28" t="s">
        <v>97</v>
      </c>
      <c r="C28">
        <v>0.38</v>
      </c>
      <c r="D28">
        <v>15.69</v>
      </c>
      <c r="E28">
        <v>0.06</v>
      </c>
      <c r="F28">
        <v>15.68</v>
      </c>
      <c r="G28">
        <v>15.69</v>
      </c>
      <c r="H28">
        <v>37294</v>
      </c>
      <c r="I28">
        <v>352</v>
      </c>
      <c r="J28">
        <v>0.06</v>
      </c>
      <c r="K28">
        <v>0.69</v>
      </c>
      <c r="L28">
        <v>5840.96</v>
      </c>
      <c r="M28" t="s">
        <v>98</v>
      </c>
      <c r="N28" t="s">
        <v>99</v>
      </c>
      <c r="O28">
        <v>15.68</v>
      </c>
      <c r="P28">
        <v>15.79</v>
      </c>
      <c r="Q28">
        <v>15.51</v>
      </c>
      <c r="R28">
        <v>15.63</v>
      </c>
      <c r="S28">
        <v>169.94</v>
      </c>
      <c r="T28">
        <v>0.64</v>
      </c>
      <c r="U28" t="s">
        <v>24</v>
      </c>
    </row>
    <row r="29" spans="1:21">
      <c r="A29" t="str">
        <f>"000035"</f>
        <v>000035</v>
      </c>
      <c r="B29" t="s">
        <v>100</v>
      </c>
      <c r="C29">
        <v>0</v>
      </c>
      <c r="D29">
        <v>5.55</v>
      </c>
      <c r="E29">
        <v>0</v>
      </c>
      <c r="F29">
        <v>5.54</v>
      </c>
      <c r="G29">
        <v>5.55</v>
      </c>
      <c r="H29">
        <v>402708</v>
      </c>
      <c r="I29">
        <v>2490</v>
      </c>
      <c r="J29">
        <v>-0.17</v>
      </c>
      <c r="K29">
        <v>1.64</v>
      </c>
      <c r="L29">
        <v>22259.94</v>
      </c>
      <c r="M29" t="s">
        <v>101</v>
      </c>
      <c r="N29" t="s">
        <v>33</v>
      </c>
      <c r="O29">
        <v>5.52</v>
      </c>
      <c r="P29">
        <v>5.71</v>
      </c>
      <c r="Q29">
        <v>5.42</v>
      </c>
      <c r="R29">
        <v>5.55</v>
      </c>
      <c r="S29">
        <v>19.48</v>
      </c>
      <c r="T29">
        <v>0.86</v>
      </c>
      <c r="U29" t="s">
        <v>102</v>
      </c>
    </row>
    <row r="30" spans="1:21">
      <c r="A30" t="str">
        <f>"000036"</f>
        <v>000036</v>
      </c>
      <c r="B30" t="s">
        <v>103</v>
      </c>
      <c r="C30">
        <v>6.91</v>
      </c>
      <c r="D30">
        <v>4.95</v>
      </c>
      <c r="E30">
        <v>0.32</v>
      </c>
      <c r="F30">
        <v>4.95</v>
      </c>
      <c r="G30">
        <v>4.96</v>
      </c>
      <c r="H30">
        <v>353760</v>
      </c>
      <c r="I30">
        <v>7761</v>
      </c>
      <c r="J30">
        <v>0.2</v>
      </c>
      <c r="K30">
        <v>2.39</v>
      </c>
      <c r="L30">
        <v>17239.12</v>
      </c>
      <c r="M30" t="s">
        <v>104</v>
      </c>
      <c r="N30" t="s">
        <v>27</v>
      </c>
      <c r="O30">
        <v>4.65</v>
      </c>
      <c r="P30">
        <v>5.08</v>
      </c>
      <c r="Q30">
        <v>4.57</v>
      </c>
      <c r="R30">
        <v>4.63</v>
      </c>
      <c r="S30">
        <v>34.57</v>
      </c>
      <c r="T30">
        <v>2.83</v>
      </c>
      <c r="U30" t="s">
        <v>24</v>
      </c>
    </row>
    <row r="31" spans="1:21">
      <c r="A31" t="str">
        <f>"000037"</f>
        <v>000037</v>
      </c>
      <c r="B31" t="s">
        <v>105</v>
      </c>
      <c r="C31">
        <v>1.25</v>
      </c>
      <c r="D31">
        <v>7.3</v>
      </c>
      <c r="E31">
        <v>0.09</v>
      </c>
      <c r="F31">
        <v>7.3</v>
      </c>
      <c r="G31">
        <v>7.31</v>
      </c>
      <c r="H31">
        <v>32890</v>
      </c>
      <c r="I31">
        <v>369</v>
      </c>
      <c r="J31">
        <v>0.14</v>
      </c>
      <c r="K31">
        <v>0.97</v>
      </c>
      <c r="L31">
        <v>2373.24</v>
      </c>
      <c r="M31" t="s">
        <v>106</v>
      </c>
      <c r="N31" t="s">
        <v>83</v>
      </c>
      <c r="O31">
        <v>7.18</v>
      </c>
      <c r="P31">
        <v>7.33</v>
      </c>
      <c r="Q31">
        <v>7.11</v>
      </c>
      <c r="R31">
        <v>7.21</v>
      </c>
      <c r="S31" t="s">
        <v>40</v>
      </c>
      <c r="T31">
        <v>1.17</v>
      </c>
      <c r="U31" t="s">
        <v>24</v>
      </c>
    </row>
    <row r="32" spans="1:21">
      <c r="A32" t="str">
        <f>"000038"</f>
        <v>000038</v>
      </c>
      <c r="B32" t="s">
        <v>107</v>
      </c>
      <c r="C32">
        <v>0.24</v>
      </c>
      <c r="D32">
        <v>8.43</v>
      </c>
      <c r="E32">
        <v>0.02</v>
      </c>
      <c r="F32">
        <v>8.43</v>
      </c>
      <c r="G32">
        <v>8.44</v>
      </c>
      <c r="H32">
        <v>12601</v>
      </c>
      <c r="I32">
        <v>347</v>
      </c>
      <c r="J32">
        <v>0.12</v>
      </c>
      <c r="K32">
        <v>0.53</v>
      </c>
      <c r="L32">
        <v>1064.44</v>
      </c>
      <c r="M32" t="s">
        <v>108</v>
      </c>
      <c r="N32" t="s">
        <v>99</v>
      </c>
      <c r="O32">
        <v>8.35</v>
      </c>
      <c r="P32">
        <v>8.48</v>
      </c>
      <c r="Q32">
        <v>8.35</v>
      </c>
      <c r="R32">
        <v>8.41</v>
      </c>
      <c r="S32" t="s">
        <v>40</v>
      </c>
      <c r="T32">
        <v>0.91</v>
      </c>
      <c r="U32" t="s">
        <v>24</v>
      </c>
    </row>
    <row r="33" spans="1:21">
      <c r="A33" t="str">
        <f>"000039"</f>
        <v>000039</v>
      </c>
      <c r="B33" t="s">
        <v>109</v>
      </c>
      <c r="C33">
        <v>0</v>
      </c>
      <c r="D33">
        <v>16.41</v>
      </c>
      <c r="E33">
        <v>0</v>
      </c>
      <c r="F33">
        <v>16.41</v>
      </c>
      <c r="G33">
        <v>16.42</v>
      </c>
      <c r="H33">
        <v>149098</v>
      </c>
      <c r="I33">
        <v>1422</v>
      </c>
      <c r="J33">
        <v>-0.05</v>
      </c>
      <c r="K33">
        <v>0.97</v>
      </c>
      <c r="L33">
        <v>24309.68</v>
      </c>
      <c r="M33" t="s">
        <v>110</v>
      </c>
      <c r="N33" t="s">
        <v>111</v>
      </c>
      <c r="O33">
        <v>16.41</v>
      </c>
      <c r="P33">
        <v>16.48</v>
      </c>
      <c r="Q33">
        <v>16.11</v>
      </c>
      <c r="R33">
        <v>16.41</v>
      </c>
      <c r="S33">
        <v>5.03</v>
      </c>
      <c r="T33">
        <v>1.12</v>
      </c>
      <c r="U33" t="s">
        <v>24</v>
      </c>
    </row>
    <row r="34" spans="1:21">
      <c r="A34" t="str">
        <f>"000040"</f>
        <v>000040</v>
      </c>
      <c r="B34" t="s">
        <v>112</v>
      </c>
      <c r="C34">
        <v>0</v>
      </c>
      <c r="D34">
        <v>3.32</v>
      </c>
      <c r="E34">
        <v>0</v>
      </c>
      <c r="F34">
        <v>3.32</v>
      </c>
      <c r="G34">
        <v>3.33</v>
      </c>
      <c r="H34">
        <v>230373</v>
      </c>
      <c r="I34">
        <v>2063</v>
      </c>
      <c r="J34">
        <v>-0.29</v>
      </c>
      <c r="K34">
        <v>2.17</v>
      </c>
      <c r="L34">
        <v>7613.05</v>
      </c>
      <c r="M34" t="s">
        <v>113</v>
      </c>
      <c r="N34" t="s">
        <v>114</v>
      </c>
      <c r="O34">
        <v>3.3</v>
      </c>
      <c r="P34">
        <v>3.34</v>
      </c>
      <c r="Q34">
        <v>3.27</v>
      </c>
      <c r="R34">
        <v>3.32</v>
      </c>
      <c r="S34" t="s">
        <v>40</v>
      </c>
      <c r="T34">
        <v>0.73</v>
      </c>
      <c r="U34" t="s">
        <v>24</v>
      </c>
    </row>
    <row r="35" spans="1:21">
      <c r="A35" t="str">
        <f>"000042"</f>
        <v>000042</v>
      </c>
      <c r="B35" t="s">
        <v>115</v>
      </c>
      <c r="C35">
        <v>1.99</v>
      </c>
      <c r="D35">
        <v>7.19</v>
      </c>
      <c r="E35">
        <v>0.14</v>
      </c>
      <c r="F35">
        <v>7.18</v>
      </c>
      <c r="G35">
        <v>7.19</v>
      </c>
      <c r="H35">
        <v>13265</v>
      </c>
      <c r="I35">
        <v>122</v>
      </c>
      <c r="J35">
        <v>0.28</v>
      </c>
      <c r="K35">
        <v>0.2</v>
      </c>
      <c r="L35">
        <v>946.17</v>
      </c>
      <c r="M35" t="s">
        <v>116</v>
      </c>
      <c r="N35" t="s">
        <v>27</v>
      </c>
      <c r="O35">
        <v>7.05</v>
      </c>
      <c r="P35">
        <v>7.23</v>
      </c>
      <c r="Q35">
        <v>6.99</v>
      </c>
      <c r="R35">
        <v>7.05</v>
      </c>
      <c r="S35">
        <v>10.78</v>
      </c>
      <c r="T35">
        <v>0.97</v>
      </c>
      <c r="U35" t="s">
        <v>24</v>
      </c>
    </row>
    <row r="36" spans="1:21">
      <c r="A36" t="str">
        <f>"000045"</f>
        <v>000045</v>
      </c>
      <c r="B36" t="s">
        <v>117</v>
      </c>
      <c r="C36">
        <v>0.29</v>
      </c>
      <c r="D36">
        <v>10.37</v>
      </c>
      <c r="E36">
        <v>0.03</v>
      </c>
      <c r="F36">
        <v>10.36</v>
      </c>
      <c r="G36">
        <v>10.37</v>
      </c>
      <c r="H36">
        <v>91037</v>
      </c>
      <c r="I36">
        <v>622</v>
      </c>
      <c r="J36">
        <v>0</v>
      </c>
      <c r="K36">
        <v>1.99</v>
      </c>
      <c r="L36">
        <v>9382.54</v>
      </c>
      <c r="M36" t="s">
        <v>118</v>
      </c>
      <c r="N36" t="s">
        <v>69</v>
      </c>
      <c r="O36">
        <v>10.3</v>
      </c>
      <c r="P36">
        <v>10.55</v>
      </c>
      <c r="Q36">
        <v>10</v>
      </c>
      <c r="R36">
        <v>10.34</v>
      </c>
      <c r="S36">
        <v>48.32</v>
      </c>
      <c r="T36">
        <v>1.03</v>
      </c>
      <c r="U36" t="s">
        <v>24</v>
      </c>
    </row>
    <row r="37" spans="1:21">
      <c r="A37" t="str">
        <f>"000046"</f>
        <v>000046</v>
      </c>
      <c r="B37" t="s">
        <v>119</v>
      </c>
      <c r="C37">
        <v>1.14</v>
      </c>
      <c r="D37">
        <v>1.77</v>
      </c>
      <c r="E37">
        <v>0.02</v>
      </c>
      <c r="F37">
        <v>1.76</v>
      </c>
      <c r="G37">
        <v>1.77</v>
      </c>
      <c r="H37">
        <v>338389</v>
      </c>
      <c r="I37">
        <v>2296</v>
      </c>
      <c r="J37">
        <v>0</v>
      </c>
      <c r="K37">
        <v>0.65</v>
      </c>
      <c r="L37">
        <v>5936.68</v>
      </c>
      <c r="M37" t="s">
        <v>120</v>
      </c>
      <c r="N37" t="s">
        <v>121</v>
      </c>
      <c r="O37">
        <v>1.74</v>
      </c>
      <c r="P37">
        <v>1.77</v>
      </c>
      <c r="Q37">
        <v>1.74</v>
      </c>
      <c r="R37">
        <v>1.75</v>
      </c>
      <c r="S37" t="s">
        <v>40</v>
      </c>
      <c r="T37">
        <v>1.01</v>
      </c>
      <c r="U37" t="s">
        <v>44</v>
      </c>
    </row>
    <row r="38" spans="1:21">
      <c r="A38" t="str">
        <f>"000048"</f>
        <v>000048</v>
      </c>
      <c r="B38" t="s">
        <v>122</v>
      </c>
      <c r="C38">
        <v>-0.4</v>
      </c>
      <c r="D38">
        <v>17.52</v>
      </c>
      <c r="E38">
        <v>-0.07</v>
      </c>
      <c r="F38">
        <v>17.52</v>
      </c>
      <c r="G38">
        <v>17.54</v>
      </c>
      <c r="H38">
        <v>9339</v>
      </c>
      <c r="I38">
        <v>53</v>
      </c>
      <c r="J38">
        <v>-0.05</v>
      </c>
      <c r="K38">
        <v>0.18</v>
      </c>
      <c r="L38">
        <v>1630.61</v>
      </c>
      <c r="M38" t="s">
        <v>123</v>
      </c>
      <c r="N38" t="s">
        <v>124</v>
      </c>
      <c r="O38">
        <v>17.5</v>
      </c>
      <c r="P38">
        <v>17.58</v>
      </c>
      <c r="Q38">
        <v>17.36</v>
      </c>
      <c r="R38">
        <v>17.59</v>
      </c>
      <c r="S38">
        <v>18.27</v>
      </c>
      <c r="T38">
        <v>0.75</v>
      </c>
      <c r="U38" t="s">
        <v>24</v>
      </c>
    </row>
    <row r="39" spans="1:21">
      <c r="A39" t="str">
        <f>"000049"</f>
        <v>000049</v>
      </c>
      <c r="B39" t="s">
        <v>125</v>
      </c>
      <c r="C39">
        <v>-1.81</v>
      </c>
      <c r="D39">
        <v>44.36</v>
      </c>
      <c r="E39">
        <v>-0.82</v>
      </c>
      <c r="F39">
        <v>44.36</v>
      </c>
      <c r="G39">
        <v>44.37</v>
      </c>
      <c r="H39">
        <v>318233</v>
      </c>
      <c r="I39">
        <v>3196</v>
      </c>
      <c r="J39">
        <v>0.09</v>
      </c>
      <c r="K39">
        <v>10.66</v>
      </c>
      <c r="L39">
        <v>145596.34</v>
      </c>
      <c r="M39" t="s">
        <v>126</v>
      </c>
      <c r="N39" t="s">
        <v>47</v>
      </c>
      <c r="O39">
        <v>45.16</v>
      </c>
      <c r="P39">
        <v>47.98</v>
      </c>
      <c r="Q39">
        <v>44.05</v>
      </c>
      <c r="R39">
        <v>45.18</v>
      </c>
      <c r="S39">
        <v>20.33</v>
      </c>
      <c r="T39">
        <v>1.04</v>
      </c>
      <c r="U39" t="s">
        <v>24</v>
      </c>
    </row>
    <row r="40" spans="1:21">
      <c r="A40" t="str">
        <f>"000050"</f>
        <v>000050</v>
      </c>
      <c r="B40" t="s">
        <v>127</v>
      </c>
      <c r="C40">
        <v>0.81</v>
      </c>
      <c r="D40">
        <v>12.52</v>
      </c>
      <c r="E40">
        <v>0.1</v>
      </c>
      <c r="F40">
        <v>12.51</v>
      </c>
      <c r="G40">
        <v>12.52</v>
      </c>
      <c r="H40">
        <v>88258</v>
      </c>
      <c r="I40">
        <v>1395</v>
      </c>
      <c r="J40">
        <v>0</v>
      </c>
      <c r="K40">
        <v>0.38</v>
      </c>
      <c r="L40">
        <v>11002.35</v>
      </c>
      <c r="M40" t="s">
        <v>128</v>
      </c>
      <c r="N40" t="s">
        <v>69</v>
      </c>
      <c r="O40">
        <v>12.39</v>
      </c>
      <c r="P40">
        <v>12.56</v>
      </c>
      <c r="Q40">
        <v>12.36</v>
      </c>
      <c r="R40">
        <v>12.42</v>
      </c>
      <c r="S40">
        <v>16.37</v>
      </c>
      <c r="T40">
        <v>0.86</v>
      </c>
      <c r="U40" t="s">
        <v>24</v>
      </c>
    </row>
    <row r="41" spans="1:21">
      <c r="A41" t="str">
        <f>"000055"</f>
        <v>000055</v>
      </c>
      <c r="B41" t="s">
        <v>129</v>
      </c>
      <c r="C41">
        <v>0</v>
      </c>
      <c r="D41">
        <v>4.91</v>
      </c>
      <c r="E41">
        <v>0</v>
      </c>
      <c r="F41">
        <v>4.91</v>
      </c>
      <c r="G41">
        <v>4.92</v>
      </c>
      <c r="H41">
        <v>120929</v>
      </c>
      <c r="I41">
        <v>855</v>
      </c>
      <c r="J41">
        <v>0</v>
      </c>
      <c r="K41">
        <v>1.79</v>
      </c>
      <c r="L41">
        <v>5939.35</v>
      </c>
      <c r="M41" t="s">
        <v>130</v>
      </c>
      <c r="N41" t="s">
        <v>131</v>
      </c>
      <c r="O41">
        <v>4.88</v>
      </c>
      <c r="P41">
        <v>4.95</v>
      </c>
      <c r="Q41">
        <v>4.87</v>
      </c>
      <c r="R41">
        <v>4.91</v>
      </c>
      <c r="S41">
        <v>22.34</v>
      </c>
      <c r="T41">
        <v>0.51</v>
      </c>
      <c r="U41" t="s">
        <v>24</v>
      </c>
    </row>
    <row r="42" spans="1:21">
      <c r="A42" t="str">
        <f>"000056"</f>
        <v>000056</v>
      </c>
      <c r="B42" t="s">
        <v>132</v>
      </c>
      <c r="C42">
        <v>-2.22</v>
      </c>
      <c r="D42">
        <v>4.4</v>
      </c>
      <c r="E42">
        <v>-0.1</v>
      </c>
      <c r="F42">
        <v>4.4</v>
      </c>
      <c r="G42">
        <v>4.41</v>
      </c>
      <c r="H42">
        <v>170096</v>
      </c>
      <c r="I42">
        <v>3706</v>
      </c>
      <c r="J42">
        <v>0.23</v>
      </c>
      <c r="K42">
        <v>1.88</v>
      </c>
      <c r="L42">
        <v>7560.84</v>
      </c>
      <c r="M42" t="s">
        <v>133</v>
      </c>
      <c r="N42" t="s">
        <v>134</v>
      </c>
      <c r="O42">
        <v>4.5</v>
      </c>
      <c r="P42">
        <v>4.55</v>
      </c>
      <c r="Q42">
        <v>4.38</v>
      </c>
      <c r="R42">
        <v>4.5</v>
      </c>
      <c r="S42" t="s">
        <v>40</v>
      </c>
      <c r="T42">
        <v>0.54</v>
      </c>
      <c r="U42" t="s">
        <v>24</v>
      </c>
    </row>
    <row r="43" spans="1:21">
      <c r="A43" t="str">
        <f>"000058"</f>
        <v>000058</v>
      </c>
      <c r="B43" t="s">
        <v>135</v>
      </c>
      <c r="C43">
        <v>-3.4</v>
      </c>
      <c r="D43">
        <v>6.25</v>
      </c>
      <c r="E43">
        <v>-0.22</v>
      </c>
      <c r="F43">
        <v>6.24</v>
      </c>
      <c r="G43">
        <v>6.25</v>
      </c>
      <c r="H43">
        <v>467387</v>
      </c>
      <c r="I43">
        <v>6954</v>
      </c>
      <c r="J43">
        <v>0</v>
      </c>
      <c r="K43">
        <v>8.68</v>
      </c>
      <c r="L43">
        <v>29961.84</v>
      </c>
      <c r="M43" t="s">
        <v>136</v>
      </c>
      <c r="N43" t="s">
        <v>137</v>
      </c>
      <c r="O43">
        <v>6.48</v>
      </c>
      <c r="P43">
        <v>6.75</v>
      </c>
      <c r="Q43">
        <v>6.22</v>
      </c>
      <c r="R43">
        <v>6.47</v>
      </c>
      <c r="S43">
        <v>108.33</v>
      </c>
      <c r="T43">
        <v>4.72</v>
      </c>
      <c r="U43" t="s">
        <v>24</v>
      </c>
    </row>
    <row r="44" spans="1:21">
      <c r="A44" t="str">
        <f>"000059"</f>
        <v>000059</v>
      </c>
      <c r="B44" t="s">
        <v>138</v>
      </c>
      <c r="C44">
        <v>4.6</v>
      </c>
      <c r="D44">
        <v>6.37</v>
      </c>
      <c r="E44">
        <v>0.28</v>
      </c>
      <c r="F44">
        <v>6.37</v>
      </c>
      <c r="G44">
        <v>6.38</v>
      </c>
      <c r="H44">
        <v>313192</v>
      </c>
      <c r="I44">
        <v>1986</v>
      </c>
      <c r="J44">
        <v>-0.15</v>
      </c>
      <c r="K44">
        <v>1.96</v>
      </c>
      <c r="L44">
        <v>19729.16</v>
      </c>
      <c r="M44" t="s">
        <v>139</v>
      </c>
      <c r="N44" t="s">
        <v>140</v>
      </c>
      <c r="O44">
        <v>6.15</v>
      </c>
      <c r="P44">
        <v>6.46</v>
      </c>
      <c r="Q44">
        <v>6.03</v>
      </c>
      <c r="R44">
        <v>6.09</v>
      </c>
      <c r="S44">
        <v>14.65</v>
      </c>
      <c r="T44">
        <v>2</v>
      </c>
      <c r="U44" t="s">
        <v>141</v>
      </c>
    </row>
    <row r="45" spans="1:21">
      <c r="A45" t="str">
        <f>"000060"</f>
        <v>000060</v>
      </c>
      <c r="B45" t="s">
        <v>142</v>
      </c>
      <c r="C45">
        <v>1.26</v>
      </c>
      <c r="D45">
        <v>4.83</v>
      </c>
      <c r="E45">
        <v>0.06</v>
      </c>
      <c r="F45">
        <v>4.82</v>
      </c>
      <c r="G45">
        <v>4.83</v>
      </c>
      <c r="H45">
        <v>446979</v>
      </c>
      <c r="I45">
        <v>10982</v>
      </c>
      <c r="J45">
        <v>0.21</v>
      </c>
      <c r="K45">
        <v>1.22</v>
      </c>
      <c r="L45">
        <v>21398.51</v>
      </c>
      <c r="M45" t="s">
        <v>143</v>
      </c>
      <c r="N45" t="s">
        <v>144</v>
      </c>
      <c r="O45">
        <v>4.75</v>
      </c>
      <c r="P45">
        <v>4.83</v>
      </c>
      <c r="Q45">
        <v>4.71</v>
      </c>
      <c r="R45">
        <v>4.77</v>
      </c>
      <c r="S45">
        <v>13.35</v>
      </c>
      <c r="T45">
        <v>1.16</v>
      </c>
      <c r="U45" t="s">
        <v>24</v>
      </c>
    </row>
    <row r="46" spans="1:21">
      <c r="A46" t="str">
        <f>"000061"</f>
        <v>000061</v>
      </c>
      <c r="B46" t="s">
        <v>145</v>
      </c>
      <c r="C46">
        <v>0.81</v>
      </c>
      <c r="D46">
        <v>6.23</v>
      </c>
      <c r="E46">
        <v>0.05</v>
      </c>
      <c r="F46">
        <v>6.23</v>
      </c>
      <c r="G46">
        <v>6.24</v>
      </c>
      <c r="H46">
        <v>113881</v>
      </c>
      <c r="I46">
        <v>1600</v>
      </c>
      <c r="J46">
        <v>-0.15</v>
      </c>
      <c r="K46">
        <v>0.67</v>
      </c>
      <c r="L46">
        <v>7049.72</v>
      </c>
      <c r="M46" t="s">
        <v>146</v>
      </c>
      <c r="N46" t="s">
        <v>147</v>
      </c>
      <c r="O46">
        <v>6.17</v>
      </c>
      <c r="P46">
        <v>6.26</v>
      </c>
      <c r="Q46">
        <v>6.11</v>
      </c>
      <c r="R46">
        <v>6.18</v>
      </c>
      <c r="S46">
        <v>27.13</v>
      </c>
      <c r="T46">
        <v>0.54</v>
      </c>
      <c r="U46" t="s">
        <v>24</v>
      </c>
    </row>
    <row r="47" spans="1:21">
      <c r="A47" t="str">
        <f>"000062"</f>
        <v>000062</v>
      </c>
      <c r="B47" t="s">
        <v>148</v>
      </c>
      <c r="C47">
        <v>-0.24</v>
      </c>
      <c r="D47">
        <v>16.47</v>
      </c>
      <c r="E47">
        <v>-0.04</v>
      </c>
      <c r="F47">
        <v>16.46</v>
      </c>
      <c r="G47">
        <v>16.47</v>
      </c>
      <c r="H47">
        <v>42665</v>
      </c>
      <c r="I47">
        <v>982</v>
      </c>
      <c r="J47">
        <v>0.06</v>
      </c>
      <c r="K47">
        <v>0.41</v>
      </c>
      <c r="L47">
        <v>6992.13</v>
      </c>
      <c r="M47" t="s">
        <v>149</v>
      </c>
      <c r="N47" t="s">
        <v>150</v>
      </c>
      <c r="O47">
        <v>16.53</v>
      </c>
      <c r="P47">
        <v>16.56</v>
      </c>
      <c r="Q47">
        <v>16.2</v>
      </c>
      <c r="R47">
        <v>16.51</v>
      </c>
      <c r="S47">
        <v>18.22</v>
      </c>
      <c r="T47">
        <v>0.64</v>
      </c>
      <c r="U47" t="s">
        <v>24</v>
      </c>
    </row>
    <row r="48" spans="1:21">
      <c r="A48" t="str">
        <f>"000063"</f>
        <v>000063</v>
      </c>
      <c r="B48" t="s">
        <v>151</v>
      </c>
      <c r="C48">
        <v>0.53</v>
      </c>
      <c r="D48">
        <v>31.99</v>
      </c>
      <c r="E48">
        <v>0.17</v>
      </c>
      <c r="F48">
        <v>31.99</v>
      </c>
      <c r="G48">
        <v>32</v>
      </c>
      <c r="H48">
        <v>276697</v>
      </c>
      <c r="I48">
        <v>4498</v>
      </c>
      <c r="J48">
        <v>-0.05</v>
      </c>
      <c r="K48">
        <v>0.71</v>
      </c>
      <c r="L48">
        <v>88092.1</v>
      </c>
      <c r="M48" t="s">
        <v>152</v>
      </c>
      <c r="N48" t="s">
        <v>153</v>
      </c>
      <c r="O48">
        <v>31.7</v>
      </c>
      <c r="P48">
        <v>32.05</v>
      </c>
      <c r="Q48">
        <v>31.52</v>
      </c>
      <c r="R48">
        <v>31.82</v>
      </c>
      <c r="S48">
        <v>19.38</v>
      </c>
      <c r="T48">
        <v>0.79</v>
      </c>
      <c r="U48" t="s">
        <v>24</v>
      </c>
    </row>
    <row r="49" spans="1:21">
      <c r="A49" t="str">
        <f>"000065"</f>
        <v>000065</v>
      </c>
      <c r="B49" t="s">
        <v>154</v>
      </c>
      <c r="C49">
        <v>1.03</v>
      </c>
      <c r="D49">
        <v>7.81</v>
      </c>
      <c r="E49">
        <v>0.08</v>
      </c>
      <c r="F49">
        <v>7.8</v>
      </c>
      <c r="G49">
        <v>7.81</v>
      </c>
      <c r="H49">
        <v>41573</v>
      </c>
      <c r="I49">
        <v>763</v>
      </c>
      <c r="J49">
        <v>0</v>
      </c>
      <c r="K49">
        <v>0.61</v>
      </c>
      <c r="L49">
        <v>3219.9</v>
      </c>
      <c r="M49" t="s">
        <v>155</v>
      </c>
      <c r="N49" t="s">
        <v>50</v>
      </c>
      <c r="O49">
        <v>7.71</v>
      </c>
      <c r="P49">
        <v>7.81</v>
      </c>
      <c r="Q49">
        <v>7.67</v>
      </c>
      <c r="R49">
        <v>7.73</v>
      </c>
      <c r="S49">
        <v>9.22</v>
      </c>
      <c r="T49">
        <v>1.04</v>
      </c>
      <c r="U49" t="s">
        <v>44</v>
      </c>
    </row>
    <row r="50" spans="1:21">
      <c r="A50" t="str">
        <f>"000066"</f>
        <v>000066</v>
      </c>
      <c r="B50" t="s">
        <v>156</v>
      </c>
      <c r="C50">
        <v>1.7</v>
      </c>
      <c r="D50">
        <v>13.76</v>
      </c>
      <c r="E50">
        <v>0.23</v>
      </c>
      <c r="F50">
        <v>13.75</v>
      </c>
      <c r="G50">
        <v>13.76</v>
      </c>
      <c r="H50">
        <v>350466</v>
      </c>
      <c r="I50">
        <v>4678</v>
      </c>
      <c r="J50">
        <v>-0.06</v>
      </c>
      <c r="K50">
        <v>1.19</v>
      </c>
      <c r="L50">
        <v>47696.16</v>
      </c>
      <c r="M50" t="s">
        <v>157</v>
      </c>
      <c r="N50" t="s">
        <v>72</v>
      </c>
      <c r="O50">
        <v>13.52</v>
      </c>
      <c r="P50">
        <v>13.8</v>
      </c>
      <c r="Q50">
        <v>13.38</v>
      </c>
      <c r="R50">
        <v>13.53</v>
      </c>
      <c r="S50">
        <v>294.82</v>
      </c>
      <c r="T50">
        <v>0.98</v>
      </c>
      <c r="U50" t="s">
        <v>24</v>
      </c>
    </row>
    <row r="51" spans="1:21">
      <c r="A51" t="str">
        <f>"000068"</f>
        <v>000068</v>
      </c>
      <c r="B51" t="s">
        <v>158</v>
      </c>
      <c r="C51">
        <v>0.32</v>
      </c>
      <c r="D51">
        <v>3.14</v>
      </c>
      <c r="E51">
        <v>0.01</v>
      </c>
      <c r="F51">
        <v>3.13</v>
      </c>
      <c r="G51">
        <v>3.14</v>
      </c>
      <c r="H51">
        <v>130733</v>
      </c>
      <c r="I51">
        <v>622</v>
      </c>
      <c r="J51">
        <v>0</v>
      </c>
      <c r="K51">
        <v>1.3</v>
      </c>
      <c r="L51">
        <v>4051.05</v>
      </c>
      <c r="M51" t="s">
        <v>159</v>
      </c>
      <c r="N51" t="s">
        <v>33</v>
      </c>
      <c r="O51">
        <v>3.08</v>
      </c>
      <c r="P51">
        <v>3.16</v>
      </c>
      <c r="Q51">
        <v>3.05</v>
      </c>
      <c r="R51">
        <v>3.13</v>
      </c>
      <c r="S51" t="s">
        <v>40</v>
      </c>
      <c r="T51">
        <v>1.15</v>
      </c>
      <c r="U51" t="s">
        <v>24</v>
      </c>
    </row>
    <row r="52" spans="1:21">
      <c r="A52" t="str">
        <f>"000069"</f>
        <v>000069</v>
      </c>
      <c r="B52" t="s">
        <v>160</v>
      </c>
      <c r="C52">
        <v>2.42</v>
      </c>
      <c r="D52">
        <v>6.35</v>
      </c>
      <c r="E52">
        <v>0.15</v>
      </c>
      <c r="F52">
        <v>6.34</v>
      </c>
      <c r="G52">
        <v>6.35</v>
      </c>
      <c r="H52">
        <v>314360</v>
      </c>
      <c r="I52">
        <v>4387</v>
      </c>
      <c r="J52">
        <v>0</v>
      </c>
      <c r="K52">
        <v>0.45</v>
      </c>
      <c r="L52">
        <v>19753.52</v>
      </c>
      <c r="M52" t="s">
        <v>161</v>
      </c>
      <c r="N52" t="s">
        <v>162</v>
      </c>
      <c r="O52">
        <v>6.28</v>
      </c>
      <c r="P52">
        <v>6.39</v>
      </c>
      <c r="Q52">
        <v>6.2</v>
      </c>
      <c r="R52">
        <v>6.2</v>
      </c>
      <c r="S52">
        <v>11.42</v>
      </c>
      <c r="T52">
        <v>0.9</v>
      </c>
      <c r="U52" t="s">
        <v>24</v>
      </c>
    </row>
    <row r="53" spans="1:21">
      <c r="A53" t="str">
        <f>"000070"</f>
        <v>000070</v>
      </c>
      <c r="B53" t="s">
        <v>163</v>
      </c>
      <c r="C53">
        <v>0.8</v>
      </c>
      <c r="D53">
        <v>6.33</v>
      </c>
      <c r="E53">
        <v>0.05</v>
      </c>
      <c r="F53">
        <v>6.33</v>
      </c>
      <c r="G53">
        <v>6.34</v>
      </c>
      <c r="H53">
        <v>50469</v>
      </c>
      <c r="I53">
        <v>561</v>
      </c>
      <c r="J53">
        <v>0</v>
      </c>
      <c r="K53">
        <v>0.63</v>
      </c>
      <c r="L53">
        <v>3184.28</v>
      </c>
      <c r="M53" t="s">
        <v>164</v>
      </c>
      <c r="N53" t="s">
        <v>153</v>
      </c>
      <c r="O53">
        <v>6.25</v>
      </c>
      <c r="P53">
        <v>6.35</v>
      </c>
      <c r="Q53">
        <v>6.23</v>
      </c>
      <c r="R53">
        <v>6.28</v>
      </c>
      <c r="S53" t="s">
        <v>40</v>
      </c>
      <c r="T53">
        <v>0.75</v>
      </c>
      <c r="U53" t="s">
        <v>24</v>
      </c>
    </row>
    <row r="54" spans="1:21">
      <c r="A54" t="str">
        <f>"000078"</f>
        <v>000078</v>
      </c>
      <c r="B54" t="s">
        <v>165</v>
      </c>
      <c r="C54">
        <v>0.96</v>
      </c>
      <c r="D54">
        <v>3.15</v>
      </c>
      <c r="E54">
        <v>0.03</v>
      </c>
      <c r="F54">
        <v>3.14</v>
      </c>
      <c r="G54">
        <v>3.15</v>
      </c>
      <c r="H54">
        <v>106850</v>
      </c>
      <c r="I54">
        <v>736</v>
      </c>
      <c r="J54">
        <v>0</v>
      </c>
      <c r="K54">
        <v>0.41</v>
      </c>
      <c r="L54">
        <v>3354.74</v>
      </c>
      <c r="M54" t="s">
        <v>166</v>
      </c>
      <c r="N54" t="s">
        <v>86</v>
      </c>
      <c r="O54">
        <v>3.12</v>
      </c>
      <c r="P54">
        <v>3.16</v>
      </c>
      <c r="Q54">
        <v>3.11</v>
      </c>
      <c r="R54">
        <v>3.12</v>
      </c>
      <c r="S54">
        <v>30.41</v>
      </c>
      <c r="T54">
        <v>1.24</v>
      </c>
      <c r="U54" t="s">
        <v>24</v>
      </c>
    </row>
    <row r="55" spans="1:21">
      <c r="A55" t="str">
        <f>"000088"</f>
        <v>000088</v>
      </c>
      <c r="B55" t="s">
        <v>167</v>
      </c>
      <c r="C55">
        <v>0.19</v>
      </c>
      <c r="D55">
        <v>5.19</v>
      </c>
      <c r="E55">
        <v>0.01</v>
      </c>
      <c r="F55">
        <v>5.18</v>
      </c>
      <c r="G55">
        <v>5.19</v>
      </c>
      <c r="H55">
        <v>37084</v>
      </c>
      <c r="I55">
        <v>638</v>
      </c>
      <c r="J55">
        <v>0.19</v>
      </c>
      <c r="K55">
        <v>0.16</v>
      </c>
      <c r="L55">
        <v>1919.3</v>
      </c>
      <c r="M55" t="s">
        <v>168</v>
      </c>
      <c r="N55" t="s">
        <v>169</v>
      </c>
      <c r="O55">
        <v>5.17</v>
      </c>
      <c r="P55">
        <v>5.19</v>
      </c>
      <c r="Q55">
        <v>5.16</v>
      </c>
      <c r="R55">
        <v>5.18</v>
      </c>
      <c r="S55">
        <v>25.5</v>
      </c>
      <c r="T55">
        <v>1.31</v>
      </c>
      <c r="U55" t="s">
        <v>24</v>
      </c>
    </row>
    <row r="56" spans="1:21">
      <c r="A56" t="str">
        <f>"000089"</f>
        <v>000089</v>
      </c>
      <c r="B56" t="s">
        <v>170</v>
      </c>
      <c r="C56">
        <v>0.56</v>
      </c>
      <c r="D56">
        <v>7.22</v>
      </c>
      <c r="E56">
        <v>0.04</v>
      </c>
      <c r="F56">
        <v>7.22</v>
      </c>
      <c r="G56">
        <v>7.23</v>
      </c>
      <c r="H56">
        <v>71755</v>
      </c>
      <c r="I56">
        <v>920</v>
      </c>
      <c r="J56">
        <v>-0.27</v>
      </c>
      <c r="K56">
        <v>0.35</v>
      </c>
      <c r="L56">
        <v>5168.47</v>
      </c>
      <c r="M56" t="s">
        <v>171</v>
      </c>
      <c r="N56" t="s">
        <v>172</v>
      </c>
      <c r="O56">
        <v>7.19</v>
      </c>
      <c r="P56">
        <v>7.27</v>
      </c>
      <c r="Q56">
        <v>7.15</v>
      </c>
      <c r="R56">
        <v>7.18</v>
      </c>
      <c r="S56">
        <v>921.81</v>
      </c>
      <c r="T56">
        <v>0.78</v>
      </c>
      <c r="U56" t="s">
        <v>24</v>
      </c>
    </row>
    <row r="57" spans="1:21">
      <c r="A57" t="str">
        <f>"000090"</f>
        <v>000090</v>
      </c>
      <c r="B57" t="s">
        <v>173</v>
      </c>
      <c r="C57">
        <v>1.8</v>
      </c>
      <c r="D57">
        <v>5.09</v>
      </c>
      <c r="E57">
        <v>0.09</v>
      </c>
      <c r="F57">
        <v>5.07</v>
      </c>
      <c r="G57">
        <v>5.09</v>
      </c>
      <c r="H57">
        <v>70597</v>
      </c>
      <c r="I57">
        <v>1134</v>
      </c>
      <c r="J57">
        <v>0.2</v>
      </c>
      <c r="K57">
        <v>0.38</v>
      </c>
      <c r="L57">
        <v>3563.57</v>
      </c>
      <c r="M57" t="s">
        <v>174</v>
      </c>
      <c r="N57" t="s">
        <v>50</v>
      </c>
      <c r="O57">
        <v>5</v>
      </c>
      <c r="P57">
        <v>5.09</v>
      </c>
      <c r="Q57">
        <v>4.98</v>
      </c>
      <c r="R57">
        <v>5</v>
      </c>
      <c r="S57">
        <v>5.09</v>
      </c>
      <c r="T57">
        <v>1.11</v>
      </c>
      <c r="U57" t="s">
        <v>24</v>
      </c>
    </row>
    <row r="58" spans="1:21">
      <c r="A58" t="str">
        <f>"000096"</f>
        <v>000096</v>
      </c>
      <c r="B58" t="s">
        <v>175</v>
      </c>
      <c r="C58">
        <v>-0.12</v>
      </c>
      <c r="D58">
        <v>8.55</v>
      </c>
      <c r="E58">
        <v>-0.01</v>
      </c>
      <c r="F58">
        <v>8.55</v>
      </c>
      <c r="G58">
        <v>8.56</v>
      </c>
      <c r="H58">
        <v>15300</v>
      </c>
      <c r="I58">
        <v>193</v>
      </c>
      <c r="J58">
        <v>0.35</v>
      </c>
      <c r="K58">
        <v>0.3</v>
      </c>
      <c r="L58">
        <v>1303.47</v>
      </c>
      <c r="M58" t="s">
        <v>176</v>
      </c>
      <c r="N58" t="s">
        <v>177</v>
      </c>
      <c r="O58">
        <v>8.56</v>
      </c>
      <c r="P58">
        <v>8.62</v>
      </c>
      <c r="Q58">
        <v>8.45</v>
      </c>
      <c r="R58">
        <v>8.56</v>
      </c>
      <c r="S58">
        <v>34.68</v>
      </c>
      <c r="T58">
        <v>0.97</v>
      </c>
      <c r="U58" t="s">
        <v>24</v>
      </c>
    </row>
    <row r="59" spans="1:21">
      <c r="A59" t="str">
        <f>"000099"</f>
        <v>000099</v>
      </c>
      <c r="B59" t="s">
        <v>178</v>
      </c>
      <c r="C59">
        <v>-0.72</v>
      </c>
      <c r="D59">
        <v>8.26</v>
      </c>
      <c r="E59">
        <v>-0.06</v>
      </c>
      <c r="F59">
        <v>8.25</v>
      </c>
      <c r="G59">
        <v>8.26</v>
      </c>
      <c r="H59">
        <v>659350</v>
      </c>
      <c r="I59">
        <v>4220</v>
      </c>
      <c r="J59">
        <v>-0.11</v>
      </c>
      <c r="K59">
        <v>10.88</v>
      </c>
      <c r="L59">
        <v>55505.77</v>
      </c>
      <c r="M59" t="s">
        <v>179</v>
      </c>
      <c r="N59" t="s">
        <v>180</v>
      </c>
      <c r="O59">
        <v>8.4</v>
      </c>
      <c r="P59">
        <v>8.7</v>
      </c>
      <c r="Q59">
        <v>8.17</v>
      </c>
      <c r="R59">
        <v>8.32</v>
      </c>
      <c r="S59">
        <v>23.15</v>
      </c>
      <c r="T59">
        <v>5.05</v>
      </c>
      <c r="U59" t="s">
        <v>24</v>
      </c>
    </row>
    <row r="60" spans="1:21">
      <c r="A60" t="str">
        <f>"000100"</f>
        <v>000100</v>
      </c>
      <c r="B60" t="s">
        <v>181</v>
      </c>
      <c r="C60">
        <v>0.95</v>
      </c>
      <c r="D60">
        <v>6.36</v>
      </c>
      <c r="E60">
        <v>0.06</v>
      </c>
      <c r="F60">
        <v>6.36</v>
      </c>
      <c r="G60">
        <v>6.37</v>
      </c>
      <c r="H60">
        <v>1101730</v>
      </c>
      <c r="I60">
        <v>19512</v>
      </c>
      <c r="J60">
        <v>0.16</v>
      </c>
      <c r="K60">
        <v>0.82</v>
      </c>
      <c r="L60">
        <v>69759.67</v>
      </c>
      <c r="M60" t="s">
        <v>182</v>
      </c>
      <c r="N60" t="s">
        <v>69</v>
      </c>
      <c r="O60">
        <v>6.28</v>
      </c>
      <c r="P60">
        <v>6.37</v>
      </c>
      <c r="Q60">
        <v>6.27</v>
      </c>
      <c r="R60">
        <v>6.3</v>
      </c>
      <c r="S60">
        <v>7.35</v>
      </c>
      <c r="T60">
        <v>0.66</v>
      </c>
      <c r="U60" t="s">
        <v>183</v>
      </c>
    </row>
    <row r="61" spans="1:21">
      <c r="A61" t="str">
        <f>"000150"</f>
        <v>000150</v>
      </c>
      <c r="B61" t="s">
        <v>184</v>
      </c>
      <c r="C61">
        <v>1.12</v>
      </c>
      <c r="D61">
        <v>3.6</v>
      </c>
      <c r="E61">
        <v>0.04</v>
      </c>
      <c r="F61">
        <v>3.6</v>
      </c>
      <c r="G61">
        <v>3.61</v>
      </c>
      <c r="H61">
        <v>460213</v>
      </c>
      <c r="I61">
        <v>5508</v>
      </c>
      <c r="J61">
        <v>0</v>
      </c>
      <c r="K61">
        <v>5.71</v>
      </c>
      <c r="L61">
        <v>16609.08</v>
      </c>
      <c r="M61" t="s">
        <v>185</v>
      </c>
      <c r="N61" t="s">
        <v>186</v>
      </c>
      <c r="O61">
        <v>3.57</v>
      </c>
      <c r="P61">
        <v>3.71</v>
      </c>
      <c r="Q61">
        <v>3.52</v>
      </c>
      <c r="R61">
        <v>3.56</v>
      </c>
      <c r="S61" t="s">
        <v>40</v>
      </c>
      <c r="T61">
        <v>0.92</v>
      </c>
      <c r="U61" t="s">
        <v>183</v>
      </c>
    </row>
    <row r="62" spans="1:21">
      <c r="A62" t="str">
        <f>"000151"</f>
        <v>000151</v>
      </c>
      <c r="B62" t="s">
        <v>187</v>
      </c>
      <c r="C62">
        <v>-1.12</v>
      </c>
      <c r="D62">
        <v>7.95</v>
      </c>
      <c r="E62">
        <v>-0.09</v>
      </c>
      <c r="F62">
        <v>7.95</v>
      </c>
      <c r="G62">
        <v>7.97</v>
      </c>
      <c r="H62">
        <v>38686</v>
      </c>
      <c r="I62">
        <v>154</v>
      </c>
      <c r="J62">
        <v>-0.24</v>
      </c>
      <c r="K62">
        <v>1.45</v>
      </c>
      <c r="L62">
        <v>3111.76</v>
      </c>
      <c r="M62" t="s">
        <v>188</v>
      </c>
      <c r="N62" t="s">
        <v>189</v>
      </c>
      <c r="O62">
        <v>8.17</v>
      </c>
      <c r="P62">
        <v>8.18</v>
      </c>
      <c r="Q62">
        <v>7.9</v>
      </c>
      <c r="R62">
        <v>8.04</v>
      </c>
      <c r="S62" t="s">
        <v>40</v>
      </c>
      <c r="T62">
        <v>1.11</v>
      </c>
      <c r="U62" t="s">
        <v>44</v>
      </c>
    </row>
    <row r="63" spans="1:21">
      <c r="A63" t="str">
        <f>"000153"</f>
        <v>000153</v>
      </c>
      <c r="B63" t="s">
        <v>190</v>
      </c>
      <c r="C63">
        <v>-0.54</v>
      </c>
      <c r="D63">
        <v>10.99</v>
      </c>
      <c r="E63">
        <v>-0.06</v>
      </c>
      <c r="F63">
        <v>10.98</v>
      </c>
      <c r="G63">
        <v>10.99</v>
      </c>
      <c r="H63">
        <v>75529</v>
      </c>
      <c r="I63">
        <v>565</v>
      </c>
      <c r="J63">
        <v>0.18</v>
      </c>
      <c r="K63">
        <v>2.42</v>
      </c>
      <c r="L63">
        <v>8309.67</v>
      </c>
      <c r="M63" t="s">
        <v>191</v>
      </c>
      <c r="N63" t="s">
        <v>192</v>
      </c>
      <c r="O63">
        <v>11</v>
      </c>
      <c r="P63">
        <v>11.15</v>
      </c>
      <c r="Q63">
        <v>10.9</v>
      </c>
      <c r="R63">
        <v>11.05</v>
      </c>
      <c r="S63">
        <v>28.52</v>
      </c>
      <c r="T63">
        <v>0.55</v>
      </c>
      <c r="U63" t="s">
        <v>193</v>
      </c>
    </row>
    <row r="64" spans="1:21">
      <c r="A64" t="str">
        <f>"000155"</f>
        <v>000155</v>
      </c>
      <c r="B64" t="s">
        <v>194</v>
      </c>
      <c r="C64">
        <v>-2.28</v>
      </c>
      <c r="D64">
        <v>27.38</v>
      </c>
      <c r="E64">
        <v>-0.64</v>
      </c>
      <c r="F64">
        <v>27.37</v>
      </c>
      <c r="G64">
        <v>27.38</v>
      </c>
      <c r="H64">
        <v>1050318</v>
      </c>
      <c r="I64">
        <v>10607</v>
      </c>
      <c r="J64">
        <v>0.04</v>
      </c>
      <c r="K64">
        <v>8.27</v>
      </c>
      <c r="L64">
        <v>287788.26</v>
      </c>
      <c r="M64" t="s">
        <v>195</v>
      </c>
      <c r="N64" t="s">
        <v>114</v>
      </c>
      <c r="O64">
        <v>27.85</v>
      </c>
      <c r="P64">
        <v>28.09</v>
      </c>
      <c r="Q64">
        <v>26.56</v>
      </c>
      <c r="R64">
        <v>28.02</v>
      </c>
      <c r="S64">
        <v>115.86</v>
      </c>
      <c r="T64">
        <v>1.63</v>
      </c>
      <c r="U64" t="s">
        <v>196</v>
      </c>
    </row>
    <row r="65" spans="1:21">
      <c r="A65" t="str">
        <f>"000156"</f>
        <v>000156</v>
      </c>
      <c r="B65" t="s">
        <v>197</v>
      </c>
      <c r="C65">
        <v>0.53</v>
      </c>
      <c r="D65">
        <v>7.56</v>
      </c>
      <c r="E65">
        <v>0.04</v>
      </c>
      <c r="F65">
        <v>7.56</v>
      </c>
      <c r="G65">
        <v>7.57</v>
      </c>
      <c r="H65">
        <v>67304</v>
      </c>
      <c r="I65">
        <v>835</v>
      </c>
      <c r="J65">
        <v>-0.25</v>
      </c>
      <c r="K65">
        <v>0.53</v>
      </c>
      <c r="L65">
        <v>5080.43</v>
      </c>
      <c r="M65" t="s">
        <v>198</v>
      </c>
      <c r="N65" t="s">
        <v>199</v>
      </c>
      <c r="O65">
        <v>7.54</v>
      </c>
      <c r="P65">
        <v>7.6</v>
      </c>
      <c r="Q65">
        <v>7.5</v>
      </c>
      <c r="R65">
        <v>7.52</v>
      </c>
      <c r="S65">
        <v>16.41</v>
      </c>
      <c r="T65">
        <v>0.67</v>
      </c>
      <c r="U65" t="s">
        <v>200</v>
      </c>
    </row>
    <row r="66" spans="1:21">
      <c r="A66" t="str">
        <f>"000157"</f>
        <v>000157</v>
      </c>
      <c r="B66" t="s">
        <v>201</v>
      </c>
      <c r="C66">
        <v>0.15</v>
      </c>
      <c r="D66">
        <v>6.89</v>
      </c>
      <c r="E66">
        <v>0.01</v>
      </c>
      <c r="F66">
        <v>6.88</v>
      </c>
      <c r="G66">
        <v>6.89</v>
      </c>
      <c r="H66">
        <v>669021</v>
      </c>
      <c r="I66">
        <v>7250</v>
      </c>
      <c r="J66">
        <v>0.15</v>
      </c>
      <c r="K66">
        <v>0.95</v>
      </c>
      <c r="L66">
        <v>45780.22</v>
      </c>
      <c r="M66" t="s">
        <v>202</v>
      </c>
      <c r="N66" t="s">
        <v>203</v>
      </c>
      <c r="O66">
        <v>6.87</v>
      </c>
      <c r="P66">
        <v>6.9</v>
      </c>
      <c r="Q66">
        <v>6.8</v>
      </c>
      <c r="R66">
        <v>6.88</v>
      </c>
      <c r="S66">
        <v>7.8</v>
      </c>
      <c r="T66">
        <v>1.45</v>
      </c>
      <c r="U66" t="s">
        <v>204</v>
      </c>
    </row>
    <row r="67" spans="1:21">
      <c r="A67" t="str">
        <f>"000158"</f>
        <v>000158</v>
      </c>
      <c r="B67" t="s">
        <v>205</v>
      </c>
      <c r="C67">
        <v>0.58</v>
      </c>
      <c r="D67">
        <v>6.91</v>
      </c>
      <c r="E67">
        <v>0.04</v>
      </c>
      <c r="F67">
        <v>6.91</v>
      </c>
      <c r="G67">
        <v>6.92</v>
      </c>
      <c r="H67">
        <v>230284</v>
      </c>
      <c r="I67">
        <v>2657</v>
      </c>
      <c r="J67">
        <v>-0.13</v>
      </c>
      <c r="K67">
        <v>1.46</v>
      </c>
      <c r="L67">
        <v>15897.45</v>
      </c>
      <c r="M67" t="s">
        <v>206</v>
      </c>
      <c r="N67" t="s">
        <v>30</v>
      </c>
      <c r="O67">
        <v>6.84</v>
      </c>
      <c r="P67">
        <v>6.97</v>
      </c>
      <c r="Q67">
        <v>6.83</v>
      </c>
      <c r="R67">
        <v>6.87</v>
      </c>
      <c r="S67" t="s">
        <v>40</v>
      </c>
      <c r="T67">
        <v>0.77</v>
      </c>
      <c r="U67" t="s">
        <v>207</v>
      </c>
    </row>
    <row r="68" spans="1:21">
      <c r="A68" t="str">
        <f>"000159"</f>
        <v>000159</v>
      </c>
      <c r="B68" t="s">
        <v>208</v>
      </c>
      <c r="C68">
        <v>0.16</v>
      </c>
      <c r="D68">
        <v>6.36</v>
      </c>
      <c r="E68">
        <v>0.01</v>
      </c>
      <c r="F68">
        <v>6.36</v>
      </c>
      <c r="G68">
        <v>6.37</v>
      </c>
      <c r="H68">
        <v>114570</v>
      </c>
      <c r="I68">
        <v>795</v>
      </c>
      <c r="J68">
        <v>0</v>
      </c>
      <c r="K68">
        <v>2.38</v>
      </c>
      <c r="L68">
        <v>7246.02</v>
      </c>
      <c r="M68" t="s">
        <v>209</v>
      </c>
      <c r="N68" t="s">
        <v>177</v>
      </c>
      <c r="O68">
        <v>6.3</v>
      </c>
      <c r="P68">
        <v>6.4</v>
      </c>
      <c r="Q68">
        <v>6.24</v>
      </c>
      <c r="R68">
        <v>6.35</v>
      </c>
      <c r="S68">
        <v>38.38</v>
      </c>
      <c r="T68">
        <v>0.62</v>
      </c>
      <c r="U68" t="s">
        <v>210</v>
      </c>
    </row>
    <row r="69" spans="1:21">
      <c r="A69" t="str">
        <f>"000166"</f>
        <v>000166</v>
      </c>
      <c r="B69" t="s">
        <v>211</v>
      </c>
      <c r="C69">
        <v>1.77</v>
      </c>
      <c r="D69">
        <v>5.18</v>
      </c>
      <c r="E69">
        <v>0.09</v>
      </c>
      <c r="F69">
        <v>5.18</v>
      </c>
      <c r="G69">
        <v>5.19</v>
      </c>
      <c r="H69">
        <v>1211240</v>
      </c>
      <c r="I69">
        <v>13021</v>
      </c>
      <c r="J69">
        <v>-0.18</v>
      </c>
      <c r="K69">
        <v>0.54</v>
      </c>
      <c r="L69">
        <v>62425.04</v>
      </c>
      <c r="M69" t="s">
        <v>212</v>
      </c>
      <c r="N69" t="s">
        <v>213</v>
      </c>
      <c r="O69">
        <v>5.09</v>
      </c>
      <c r="P69">
        <v>5.22</v>
      </c>
      <c r="Q69">
        <v>5.08</v>
      </c>
      <c r="R69">
        <v>5.09</v>
      </c>
      <c r="S69">
        <v>13.13</v>
      </c>
      <c r="T69">
        <v>0.77</v>
      </c>
      <c r="U69" t="s">
        <v>210</v>
      </c>
    </row>
    <row r="70" spans="1:21">
      <c r="A70" t="str">
        <f>"000301"</f>
        <v>000301</v>
      </c>
      <c r="B70" t="s">
        <v>214</v>
      </c>
      <c r="C70">
        <v>3.45</v>
      </c>
      <c r="D70">
        <v>23.1</v>
      </c>
      <c r="E70">
        <v>0.77</v>
      </c>
      <c r="F70">
        <v>23.09</v>
      </c>
      <c r="G70">
        <v>23.1</v>
      </c>
      <c r="H70">
        <v>589029</v>
      </c>
      <c r="I70">
        <v>10096</v>
      </c>
      <c r="J70">
        <v>0.13</v>
      </c>
      <c r="K70">
        <v>3.4</v>
      </c>
      <c r="L70">
        <v>134624.32</v>
      </c>
      <c r="M70" t="s">
        <v>215</v>
      </c>
      <c r="N70" t="s">
        <v>216</v>
      </c>
      <c r="O70">
        <v>22.66</v>
      </c>
      <c r="P70">
        <v>23.42</v>
      </c>
      <c r="Q70">
        <v>22.22</v>
      </c>
      <c r="R70">
        <v>22.33</v>
      </c>
      <c r="S70">
        <v>58.55</v>
      </c>
      <c r="T70">
        <v>1.17</v>
      </c>
      <c r="U70" t="s">
        <v>102</v>
      </c>
    </row>
    <row r="71" spans="1:21">
      <c r="A71" t="str">
        <f>"000333"</f>
        <v>000333</v>
      </c>
      <c r="B71" t="s">
        <v>217</v>
      </c>
      <c r="C71">
        <v>-0.31</v>
      </c>
      <c r="D71">
        <v>70</v>
      </c>
      <c r="E71">
        <v>-0.22</v>
      </c>
      <c r="F71">
        <v>70</v>
      </c>
      <c r="G71">
        <v>70.01</v>
      </c>
      <c r="H71">
        <v>251030</v>
      </c>
      <c r="I71">
        <v>4219</v>
      </c>
      <c r="J71">
        <v>-0.05</v>
      </c>
      <c r="K71">
        <v>0.37</v>
      </c>
      <c r="L71">
        <v>175097.56</v>
      </c>
      <c r="M71" t="s">
        <v>218</v>
      </c>
      <c r="N71" t="s">
        <v>60</v>
      </c>
      <c r="O71">
        <v>70.22</v>
      </c>
      <c r="P71">
        <v>70.5</v>
      </c>
      <c r="Q71">
        <v>69.31</v>
      </c>
      <c r="R71">
        <v>70.22</v>
      </c>
      <c r="S71">
        <v>15.63</v>
      </c>
      <c r="T71">
        <v>1.22</v>
      </c>
      <c r="U71" t="s">
        <v>183</v>
      </c>
    </row>
    <row r="72" spans="1:21">
      <c r="A72" t="str">
        <f>"000338"</f>
        <v>000338</v>
      </c>
      <c r="B72" t="s">
        <v>219</v>
      </c>
      <c r="C72">
        <v>4.68</v>
      </c>
      <c r="D72">
        <v>16.1</v>
      </c>
      <c r="E72">
        <v>0.72</v>
      </c>
      <c r="F72">
        <v>16.09</v>
      </c>
      <c r="G72">
        <v>16.1</v>
      </c>
      <c r="H72">
        <v>1439304</v>
      </c>
      <c r="I72">
        <v>8944</v>
      </c>
      <c r="J72">
        <v>0.06</v>
      </c>
      <c r="K72">
        <v>3.39</v>
      </c>
      <c r="L72">
        <v>229279.69</v>
      </c>
      <c r="M72" t="s">
        <v>220</v>
      </c>
      <c r="N72" t="s">
        <v>91</v>
      </c>
      <c r="O72">
        <v>15.28</v>
      </c>
      <c r="P72">
        <v>16.3</v>
      </c>
      <c r="Q72">
        <v>15.2</v>
      </c>
      <c r="R72">
        <v>15.38</v>
      </c>
      <c r="S72">
        <v>13.34</v>
      </c>
      <c r="T72">
        <v>2.63</v>
      </c>
      <c r="U72" t="s">
        <v>221</v>
      </c>
    </row>
    <row r="73" spans="1:21">
      <c r="A73" t="str">
        <f>"000400"</f>
        <v>000400</v>
      </c>
      <c r="B73" t="s">
        <v>222</v>
      </c>
      <c r="C73">
        <v>5.97</v>
      </c>
      <c r="D73">
        <v>23.96</v>
      </c>
      <c r="E73">
        <v>1.35</v>
      </c>
      <c r="F73">
        <v>23.95</v>
      </c>
      <c r="G73">
        <v>23.96</v>
      </c>
      <c r="H73">
        <v>1163836</v>
      </c>
      <c r="I73">
        <v>11451</v>
      </c>
      <c r="J73">
        <v>0.42</v>
      </c>
      <c r="K73">
        <v>11.54</v>
      </c>
      <c r="L73">
        <v>271808.59</v>
      </c>
      <c r="M73" t="s">
        <v>223</v>
      </c>
      <c r="N73" t="s">
        <v>47</v>
      </c>
      <c r="O73">
        <v>23.2</v>
      </c>
      <c r="P73">
        <v>24.17</v>
      </c>
      <c r="Q73">
        <v>22.43</v>
      </c>
      <c r="R73">
        <v>22.61</v>
      </c>
      <c r="S73">
        <v>31.29</v>
      </c>
      <c r="T73">
        <v>1.69</v>
      </c>
      <c r="U73" t="s">
        <v>224</v>
      </c>
    </row>
    <row r="74" spans="1:21">
      <c r="A74" t="str">
        <f>"000401"</f>
        <v>000401</v>
      </c>
      <c r="B74" t="s">
        <v>225</v>
      </c>
      <c r="C74">
        <v>0.17</v>
      </c>
      <c r="D74">
        <v>11.95</v>
      </c>
      <c r="E74">
        <v>0.02</v>
      </c>
      <c r="F74">
        <v>11.94</v>
      </c>
      <c r="G74">
        <v>11.95</v>
      </c>
      <c r="H74">
        <v>100177</v>
      </c>
      <c r="I74">
        <v>1623</v>
      </c>
      <c r="J74">
        <v>0.08</v>
      </c>
      <c r="K74">
        <v>0.71</v>
      </c>
      <c r="L74">
        <v>11948.64</v>
      </c>
      <c r="M74" t="s">
        <v>226</v>
      </c>
      <c r="N74" t="s">
        <v>75</v>
      </c>
      <c r="O74">
        <v>11.93</v>
      </c>
      <c r="P74">
        <v>12.02</v>
      </c>
      <c r="Q74">
        <v>11.83</v>
      </c>
      <c r="R74">
        <v>11.93</v>
      </c>
      <c r="S74">
        <v>6.96</v>
      </c>
      <c r="T74">
        <v>1.05</v>
      </c>
      <c r="U74" t="s">
        <v>207</v>
      </c>
    </row>
    <row r="75" spans="1:21">
      <c r="A75" t="str">
        <f>"000402"</f>
        <v>000402</v>
      </c>
      <c r="B75" t="s">
        <v>227</v>
      </c>
      <c r="C75">
        <v>0.89</v>
      </c>
      <c r="D75">
        <v>5.69</v>
      </c>
      <c r="E75">
        <v>0.05</v>
      </c>
      <c r="F75">
        <v>5.69</v>
      </c>
      <c r="G75">
        <v>5.7</v>
      </c>
      <c r="H75">
        <v>113827</v>
      </c>
      <c r="I75">
        <v>3179</v>
      </c>
      <c r="J75">
        <v>-0.34</v>
      </c>
      <c r="K75">
        <v>0.38</v>
      </c>
      <c r="L75">
        <v>6448.87</v>
      </c>
      <c r="M75" t="s">
        <v>228</v>
      </c>
      <c r="N75" t="s">
        <v>27</v>
      </c>
      <c r="O75">
        <v>5.65</v>
      </c>
      <c r="P75">
        <v>5.71</v>
      </c>
      <c r="Q75">
        <v>5.62</v>
      </c>
      <c r="R75">
        <v>5.64</v>
      </c>
      <c r="S75">
        <v>11.45</v>
      </c>
      <c r="T75">
        <v>0.62</v>
      </c>
      <c r="U75" t="s">
        <v>44</v>
      </c>
    </row>
    <row r="76" spans="1:21">
      <c r="A76" t="str">
        <f>"000403"</f>
        <v>000403</v>
      </c>
      <c r="B76" t="s">
        <v>229</v>
      </c>
      <c r="C76">
        <v>-1.72</v>
      </c>
      <c r="D76">
        <v>30.88</v>
      </c>
      <c r="E76">
        <v>-0.54</v>
      </c>
      <c r="F76">
        <v>30.87</v>
      </c>
      <c r="G76">
        <v>30.88</v>
      </c>
      <c r="H76">
        <v>34054</v>
      </c>
      <c r="I76">
        <v>207</v>
      </c>
      <c r="J76">
        <v>-0.02</v>
      </c>
      <c r="K76">
        <v>0.64</v>
      </c>
      <c r="L76">
        <v>10517.64</v>
      </c>
      <c r="M76" t="s">
        <v>230</v>
      </c>
      <c r="N76" t="s">
        <v>231</v>
      </c>
      <c r="O76">
        <v>30.96</v>
      </c>
      <c r="P76">
        <v>31.32</v>
      </c>
      <c r="Q76">
        <v>30.64</v>
      </c>
      <c r="R76">
        <v>31.42</v>
      </c>
      <c r="S76">
        <v>55.84</v>
      </c>
      <c r="T76">
        <v>0.61</v>
      </c>
      <c r="U76" t="s">
        <v>232</v>
      </c>
    </row>
    <row r="77" spans="1:21">
      <c r="A77" t="str">
        <f>"000404"</f>
        <v>000404</v>
      </c>
      <c r="B77" t="s">
        <v>233</v>
      </c>
      <c r="C77">
        <v>0.67</v>
      </c>
      <c r="D77">
        <v>4.49</v>
      </c>
      <c r="E77">
        <v>0.03</v>
      </c>
      <c r="F77">
        <v>4.48</v>
      </c>
      <c r="G77">
        <v>4.49</v>
      </c>
      <c r="H77">
        <v>115110</v>
      </c>
      <c r="I77">
        <v>2230</v>
      </c>
      <c r="J77">
        <v>0.22</v>
      </c>
      <c r="K77">
        <v>1.66</v>
      </c>
      <c r="L77">
        <v>5163.16</v>
      </c>
      <c r="M77" t="s">
        <v>234</v>
      </c>
      <c r="N77" t="s">
        <v>60</v>
      </c>
      <c r="O77">
        <v>4.5</v>
      </c>
      <c r="P77">
        <v>4.53</v>
      </c>
      <c r="Q77">
        <v>4.45</v>
      </c>
      <c r="R77">
        <v>4.46</v>
      </c>
      <c r="S77">
        <v>24.24</v>
      </c>
      <c r="T77">
        <v>0.63</v>
      </c>
      <c r="U77" t="s">
        <v>235</v>
      </c>
    </row>
    <row r="78" spans="1:21">
      <c r="A78" t="str">
        <f>"000407"</f>
        <v>000407</v>
      </c>
      <c r="B78" t="s">
        <v>236</v>
      </c>
      <c r="C78">
        <v>0.71</v>
      </c>
      <c r="D78">
        <v>4.26</v>
      </c>
      <c r="E78">
        <v>0.03</v>
      </c>
      <c r="F78">
        <v>4.25</v>
      </c>
      <c r="G78">
        <v>4.26</v>
      </c>
      <c r="H78">
        <v>86806</v>
      </c>
      <c r="I78">
        <v>2851</v>
      </c>
      <c r="J78">
        <v>0</v>
      </c>
      <c r="K78">
        <v>0.99</v>
      </c>
      <c r="L78">
        <v>3674.03</v>
      </c>
      <c r="M78" t="s">
        <v>237</v>
      </c>
      <c r="N78" t="s">
        <v>238</v>
      </c>
      <c r="O78">
        <v>4.22</v>
      </c>
      <c r="P78">
        <v>4.27</v>
      </c>
      <c r="Q78">
        <v>4.18</v>
      </c>
      <c r="R78">
        <v>4.23</v>
      </c>
      <c r="S78">
        <v>14.9</v>
      </c>
      <c r="T78">
        <v>0.76</v>
      </c>
      <c r="U78" t="s">
        <v>221</v>
      </c>
    </row>
    <row r="79" spans="1:21">
      <c r="A79" t="str">
        <f>"000408"</f>
        <v>000408</v>
      </c>
      <c r="B79" t="s">
        <v>239</v>
      </c>
      <c r="C79">
        <v>-2.12</v>
      </c>
      <c r="D79">
        <v>26.75</v>
      </c>
      <c r="E79">
        <v>-0.58</v>
      </c>
      <c r="F79">
        <v>26.74</v>
      </c>
      <c r="G79">
        <v>26.75</v>
      </c>
      <c r="H79">
        <v>184298</v>
      </c>
      <c r="I79">
        <v>1218</v>
      </c>
      <c r="J79">
        <v>-0.1</v>
      </c>
      <c r="K79">
        <v>3.89</v>
      </c>
      <c r="L79">
        <v>49623.84</v>
      </c>
      <c r="M79" t="s">
        <v>240</v>
      </c>
      <c r="N79" t="s">
        <v>241</v>
      </c>
      <c r="O79">
        <v>27.03</v>
      </c>
      <c r="P79">
        <v>27.78</v>
      </c>
      <c r="Q79">
        <v>26.39</v>
      </c>
      <c r="R79">
        <v>27.33</v>
      </c>
      <c r="S79">
        <v>48.48</v>
      </c>
      <c r="T79">
        <v>1.08</v>
      </c>
      <c r="U79" t="s">
        <v>242</v>
      </c>
    </row>
    <row r="80" spans="1:21">
      <c r="A80" t="str">
        <f>"000409"</f>
        <v>000409</v>
      </c>
      <c r="B80" t="s">
        <v>243</v>
      </c>
      <c r="C80">
        <v>2.59</v>
      </c>
      <c r="D80">
        <v>5.14</v>
      </c>
      <c r="E80">
        <v>0.13</v>
      </c>
      <c r="F80">
        <v>5.13</v>
      </c>
      <c r="G80">
        <v>5.14</v>
      </c>
      <c r="H80">
        <v>60872</v>
      </c>
      <c r="I80">
        <v>348</v>
      </c>
      <c r="J80">
        <v>0</v>
      </c>
      <c r="K80">
        <v>1.5</v>
      </c>
      <c r="L80">
        <v>3102.33</v>
      </c>
      <c r="M80" t="s">
        <v>244</v>
      </c>
      <c r="N80" t="s">
        <v>30</v>
      </c>
      <c r="O80">
        <v>5.01</v>
      </c>
      <c r="P80">
        <v>5.18</v>
      </c>
      <c r="Q80">
        <v>4.96</v>
      </c>
      <c r="R80">
        <v>5.01</v>
      </c>
      <c r="S80">
        <v>136.46</v>
      </c>
      <c r="T80">
        <v>1.02</v>
      </c>
      <c r="U80" t="s">
        <v>221</v>
      </c>
    </row>
    <row r="81" spans="1:21">
      <c r="A81" t="str">
        <f>"000410"</f>
        <v>000410</v>
      </c>
      <c r="B81" t="s">
        <v>245</v>
      </c>
      <c r="C81">
        <v>0.22</v>
      </c>
      <c r="D81">
        <v>4.6</v>
      </c>
      <c r="E81">
        <v>0.01</v>
      </c>
      <c r="F81">
        <v>4.6</v>
      </c>
      <c r="G81">
        <v>4.61</v>
      </c>
      <c r="H81">
        <v>21373</v>
      </c>
      <c r="I81">
        <v>269</v>
      </c>
      <c r="J81">
        <v>-0.21</v>
      </c>
      <c r="K81">
        <v>0.13</v>
      </c>
      <c r="L81">
        <v>982.66</v>
      </c>
      <c r="M81" t="s">
        <v>246</v>
      </c>
      <c r="N81" t="s">
        <v>247</v>
      </c>
      <c r="O81">
        <v>4.56</v>
      </c>
      <c r="P81">
        <v>4.63</v>
      </c>
      <c r="Q81">
        <v>4.56</v>
      </c>
      <c r="R81">
        <v>4.59</v>
      </c>
      <c r="S81" t="s">
        <v>40</v>
      </c>
      <c r="T81">
        <v>0.59</v>
      </c>
      <c r="U81" t="s">
        <v>141</v>
      </c>
    </row>
    <row r="82" spans="1:21">
      <c r="A82" t="str">
        <f>"000411"</f>
        <v>000411</v>
      </c>
      <c r="B82" t="s">
        <v>248</v>
      </c>
      <c r="C82">
        <v>0.83</v>
      </c>
      <c r="D82">
        <v>13.4</v>
      </c>
      <c r="E82">
        <v>0.11</v>
      </c>
      <c r="F82">
        <v>13.4</v>
      </c>
      <c r="G82">
        <v>13.41</v>
      </c>
      <c r="H82">
        <v>26875</v>
      </c>
      <c r="I82">
        <v>848</v>
      </c>
      <c r="J82">
        <v>0</v>
      </c>
      <c r="K82">
        <v>1.3</v>
      </c>
      <c r="L82">
        <v>3579.38</v>
      </c>
      <c r="M82" t="s">
        <v>249</v>
      </c>
      <c r="N82" t="s">
        <v>86</v>
      </c>
      <c r="O82">
        <v>13.32</v>
      </c>
      <c r="P82">
        <v>13.44</v>
      </c>
      <c r="Q82">
        <v>13.18</v>
      </c>
      <c r="R82">
        <v>13.29</v>
      </c>
      <c r="S82">
        <v>18.44</v>
      </c>
      <c r="T82">
        <v>0.84</v>
      </c>
      <c r="U82" t="s">
        <v>200</v>
      </c>
    </row>
    <row r="83" spans="1:21">
      <c r="A83" t="str">
        <f>"000413"</f>
        <v>000413</v>
      </c>
      <c r="B83" t="s">
        <v>250</v>
      </c>
      <c r="C83">
        <v>0.48</v>
      </c>
      <c r="D83">
        <v>2.09</v>
      </c>
      <c r="E83">
        <v>0.01</v>
      </c>
      <c r="F83">
        <v>2.08</v>
      </c>
      <c r="G83">
        <v>2.09</v>
      </c>
      <c r="H83">
        <v>303932</v>
      </c>
      <c r="I83">
        <v>7802</v>
      </c>
      <c r="J83">
        <v>0</v>
      </c>
      <c r="K83">
        <v>0.62</v>
      </c>
      <c r="L83">
        <v>6308.19</v>
      </c>
      <c r="M83" t="s">
        <v>251</v>
      </c>
      <c r="N83" t="s">
        <v>69</v>
      </c>
      <c r="O83">
        <v>2.08</v>
      </c>
      <c r="P83">
        <v>2.09</v>
      </c>
      <c r="Q83">
        <v>2.06</v>
      </c>
      <c r="R83">
        <v>2.08</v>
      </c>
      <c r="S83" t="s">
        <v>40</v>
      </c>
      <c r="T83">
        <v>0.7</v>
      </c>
      <c r="U83" t="s">
        <v>207</v>
      </c>
    </row>
    <row r="84" spans="1:21">
      <c r="A84" t="str">
        <f>"000415"</f>
        <v>000415</v>
      </c>
      <c r="B84" t="s">
        <v>252</v>
      </c>
      <c r="C84">
        <v>1.06</v>
      </c>
      <c r="D84">
        <v>2.85</v>
      </c>
      <c r="E84">
        <v>0.03</v>
      </c>
      <c r="F84">
        <v>2.84</v>
      </c>
      <c r="G84">
        <v>2.85</v>
      </c>
      <c r="H84">
        <v>192493</v>
      </c>
      <c r="I84">
        <v>2165</v>
      </c>
      <c r="J84">
        <v>0.35</v>
      </c>
      <c r="K84">
        <v>0.54</v>
      </c>
      <c r="L84">
        <v>5403.83</v>
      </c>
      <c r="M84" t="s">
        <v>253</v>
      </c>
      <c r="N84" t="s">
        <v>121</v>
      </c>
      <c r="O84">
        <v>2.82</v>
      </c>
      <c r="P84">
        <v>2.85</v>
      </c>
      <c r="Q84">
        <v>2.77</v>
      </c>
      <c r="R84">
        <v>2.82</v>
      </c>
      <c r="S84" t="s">
        <v>40</v>
      </c>
      <c r="T84">
        <v>0.83</v>
      </c>
      <c r="U84" t="s">
        <v>210</v>
      </c>
    </row>
    <row r="85" spans="1:21">
      <c r="A85" t="str">
        <f>"000416"</f>
        <v>000416</v>
      </c>
      <c r="B85" t="s">
        <v>254</v>
      </c>
      <c r="C85">
        <v>0.86</v>
      </c>
      <c r="D85">
        <v>4.69</v>
      </c>
      <c r="E85">
        <v>0.04</v>
      </c>
      <c r="F85">
        <v>4.68</v>
      </c>
      <c r="G85">
        <v>4.69</v>
      </c>
      <c r="H85">
        <v>264433</v>
      </c>
      <c r="I85">
        <v>6174</v>
      </c>
      <c r="J85">
        <v>-0.2</v>
      </c>
      <c r="K85">
        <v>4.97</v>
      </c>
      <c r="L85">
        <v>12419.63</v>
      </c>
      <c r="M85" t="s">
        <v>255</v>
      </c>
      <c r="N85" t="s">
        <v>121</v>
      </c>
      <c r="O85">
        <v>4.87</v>
      </c>
      <c r="P85">
        <v>4.94</v>
      </c>
      <c r="Q85">
        <v>4.55</v>
      </c>
      <c r="R85">
        <v>4.65</v>
      </c>
      <c r="S85">
        <v>268.38</v>
      </c>
      <c r="T85">
        <v>0.83</v>
      </c>
      <c r="U85" t="s">
        <v>221</v>
      </c>
    </row>
    <row r="86" spans="1:21">
      <c r="A86" t="str">
        <f>"000417"</f>
        <v>000417</v>
      </c>
      <c r="B86" t="s">
        <v>256</v>
      </c>
      <c r="C86">
        <v>0.96</v>
      </c>
      <c r="D86">
        <v>4.19</v>
      </c>
      <c r="E86">
        <v>0.04</v>
      </c>
      <c r="F86">
        <v>4.18</v>
      </c>
      <c r="G86">
        <v>4.19</v>
      </c>
      <c r="H86">
        <v>29407</v>
      </c>
      <c r="I86">
        <v>398</v>
      </c>
      <c r="J86">
        <v>0</v>
      </c>
      <c r="K86">
        <v>0.38</v>
      </c>
      <c r="L86">
        <v>1225.76</v>
      </c>
      <c r="M86" t="s">
        <v>257</v>
      </c>
      <c r="N86" t="s">
        <v>258</v>
      </c>
      <c r="O86">
        <v>4.15</v>
      </c>
      <c r="P86">
        <v>4.2</v>
      </c>
      <c r="Q86">
        <v>4.14</v>
      </c>
      <c r="R86">
        <v>4.15</v>
      </c>
      <c r="S86">
        <v>15.49</v>
      </c>
      <c r="T86">
        <v>0.96</v>
      </c>
      <c r="U86" t="s">
        <v>193</v>
      </c>
    </row>
    <row r="87" spans="1:21">
      <c r="A87" t="str">
        <f>"000419"</f>
        <v>000419</v>
      </c>
      <c r="B87" t="s">
        <v>259</v>
      </c>
      <c r="C87">
        <v>1.44</v>
      </c>
      <c r="D87">
        <v>4.24</v>
      </c>
      <c r="E87">
        <v>0.06</v>
      </c>
      <c r="F87">
        <v>4.23</v>
      </c>
      <c r="G87">
        <v>4.24</v>
      </c>
      <c r="H87">
        <v>18356</v>
      </c>
      <c r="I87">
        <v>528</v>
      </c>
      <c r="J87">
        <v>0.24</v>
      </c>
      <c r="K87">
        <v>0.34</v>
      </c>
      <c r="L87">
        <v>772.7</v>
      </c>
      <c r="M87" t="s">
        <v>260</v>
      </c>
      <c r="N87" t="s">
        <v>258</v>
      </c>
      <c r="O87">
        <v>4.18</v>
      </c>
      <c r="P87">
        <v>4.24</v>
      </c>
      <c r="Q87">
        <v>4.15</v>
      </c>
      <c r="R87">
        <v>4.18</v>
      </c>
      <c r="S87">
        <v>13.94</v>
      </c>
      <c r="T87">
        <v>1.37</v>
      </c>
      <c r="U87" t="s">
        <v>204</v>
      </c>
    </row>
    <row r="88" spans="1:21">
      <c r="A88" t="str">
        <f>"000420"</f>
        <v>000420</v>
      </c>
      <c r="B88" t="s">
        <v>261</v>
      </c>
      <c r="C88">
        <v>3.82</v>
      </c>
      <c r="D88">
        <v>5.98</v>
      </c>
      <c r="E88">
        <v>0.22</v>
      </c>
      <c r="F88">
        <v>5.97</v>
      </c>
      <c r="G88">
        <v>5.98</v>
      </c>
      <c r="H88">
        <v>1313510</v>
      </c>
      <c r="I88">
        <v>13892</v>
      </c>
      <c r="J88">
        <v>0.5</v>
      </c>
      <c r="K88">
        <v>6.06</v>
      </c>
      <c r="L88">
        <v>77836.77</v>
      </c>
      <c r="M88" t="s">
        <v>262</v>
      </c>
      <c r="N88" t="s">
        <v>216</v>
      </c>
      <c r="O88">
        <v>5.84</v>
      </c>
      <c r="P88">
        <v>6.04</v>
      </c>
      <c r="Q88">
        <v>5.76</v>
      </c>
      <c r="R88">
        <v>5.76</v>
      </c>
      <c r="S88">
        <v>7301.51</v>
      </c>
      <c r="T88">
        <v>0.84</v>
      </c>
      <c r="U88" t="s">
        <v>92</v>
      </c>
    </row>
    <row r="89" spans="1:21">
      <c r="A89" t="str">
        <f>"000421"</f>
        <v>000421</v>
      </c>
      <c r="B89" t="s">
        <v>263</v>
      </c>
      <c r="C89">
        <v>0.66</v>
      </c>
      <c r="D89">
        <v>4.57</v>
      </c>
      <c r="E89">
        <v>0.03</v>
      </c>
      <c r="F89">
        <v>4.56</v>
      </c>
      <c r="G89">
        <v>4.57</v>
      </c>
      <c r="H89">
        <v>19273</v>
      </c>
      <c r="I89">
        <v>251</v>
      </c>
      <c r="J89">
        <v>0.22</v>
      </c>
      <c r="K89">
        <v>0.34</v>
      </c>
      <c r="L89">
        <v>875.3</v>
      </c>
      <c r="M89" t="s">
        <v>264</v>
      </c>
      <c r="N89" t="s">
        <v>238</v>
      </c>
      <c r="O89">
        <v>4.54</v>
      </c>
      <c r="P89">
        <v>4.58</v>
      </c>
      <c r="Q89">
        <v>4.48</v>
      </c>
      <c r="R89">
        <v>4.54</v>
      </c>
      <c r="S89">
        <v>1761.1</v>
      </c>
      <c r="T89">
        <v>0.88</v>
      </c>
      <c r="U89" t="s">
        <v>102</v>
      </c>
    </row>
    <row r="90" spans="1:21">
      <c r="A90" t="str">
        <f>"000422"</f>
        <v>000422</v>
      </c>
      <c r="B90" t="s">
        <v>265</v>
      </c>
      <c r="C90">
        <v>1.96</v>
      </c>
      <c r="D90">
        <v>25.48</v>
      </c>
      <c r="E90">
        <v>0.49</v>
      </c>
      <c r="F90">
        <v>25.48</v>
      </c>
      <c r="G90">
        <v>25.49</v>
      </c>
      <c r="H90">
        <v>1080024</v>
      </c>
      <c r="I90">
        <v>10784</v>
      </c>
      <c r="J90">
        <v>-0.03</v>
      </c>
      <c r="K90">
        <v>12.03</v>
      </c>
      <c r="L90">
        <v>272520.96</v>
      </c>
      <c r="M90" t="s">
        <v>266</v>
      </c>
      <c r="N90" t="s">
        <v>241</v>
      </c>
      <c r="O90">
        <v>25.25</v>
      </c>
      <c r="P90">
        <v>26.3</v>
      </c>
      <c r="Q90">
        <v>24.29</v>
      </c>
      <c r="R90">
        <v>24.99</v>
      </c>
      <c r="S90">
        <v>11.54</v>
      </c>
      <c r="T90">
        <v>0.93</v>
      </c>
      <c r="U90" t="s">
        <v>267</v>
      </c>
    </row>
    <row r="91" spans="1:21">
      <c r="A91" t="str">
        <f>"000423"</f>
        <v>000423</v>
      </c>
      <c r="B91" t="s">
        <v>268</v>
      </c>
      <c r="C91">
        <v>-0.24</v>
      </c>
      <c r="D91">
        <v>41.7</v>
      </c>
      <c r="E91">
        <v>-0.1</v>
      </c>
      <c r="F91">
        <v>41.7</v>
      </c>
      <c r="G91">
        <v>41.71</v>
      </c>
      <c r="H91">
        <v>65834</v>
      </c>
      <c r="I91">
        <v>538</v>
      </c>
      <c r="J91">
        <v>0.05</v>
      </c>
      <c r="K91">
        <v>1.01</v>
      </c>
      <c r="L91">
        <v>27494.6</v>
      </c>
      <c r="M91" t="s">
        <v>269</v>
      </c>
      <c r="N91" t="s">
        <v>270</v>
      </c>
      <c r="O91">
        <v>41.59</v>
      </c>
      <c r="P91">
        <v>42.48</v>
      </c>
      <c r="Q91">
        <v>41.23</v>
      </c>
      <c r="R91">
        <v>41.8</v>
      </c>
      <c r="S91">
        <v>67.89</v>
      </c>
      <c r="T91">
        <v>0.77</v>
      </c>
      <c r="U91" t="s">
        <v>221</v>
      </c>
    </row>
    <row r="92" spans="1:21">
      <c r="A92" t="str">
        <f>"000425"</f>
        <v>000425</v>
      </c>
      <c r="B92" t="s">
        <v>271</v>
      </c>
      <c r="C92">
        <v>0.33</v>
      </c>
      <c r="D92">
        <v>6.03</v>
      </c>
      <c r="E92">
        <v>0.02</v>
      </c>
      <c r="F92">
        <v>6.03</v>
      </c>
      <c r="G92">
        <v>6.04</v>
      </c>
      <c r="H92">
        <v>496246</v>
      </c>
      <c r="I92">
        <v>4529</v>
      </c>
      <c r="J92">
        <v>0</v>
      </c>
      <c r="K92">
        <v>0.63</v>
      </c>
      <c r="L92">
        <v>29739.38</v>
      </c>
      <c r="M92" t="s">
        <v>272</v>
      </c>
      <c r="N92" t="s">
        <v>203</v>
      </c>
      <c r="O92">
        <v>6</v>
      </c>
      <c r="P92">
        <v>6.04</v>
      </c>
      <c r="Q92">
        <v>5.96</v>
      </c>
      <c r="R92">
        <v>6.01</v>
      </c>
      <c r="S92">
        <v>7.69</v>
      </c>
      <c r="T92">
        <v>1.3</v>
      </c>
      <c r="U92" t="s">
        <v>102</v>
      </c>
    </row>
    <row r="93" spans="1:21">
      <c r="A93" t="str">
        <f>"000426"</f>
        <v>000426</v>
      </c>
      <c r="B93" t="s">
        <v>273</v>
      </c>
      <c r="C93">
        <v>3.58</v>
      </c>
      <c r="D93">
        <v>7.82</v>
      </c>
      <c r="E93">
        <v>0.27</v>
      </c>
      <c r="F93">
        <v>7.81</v>
      </c>
      <c r="G93">
        <v>7.82</v>
      </c>
      <c r="H93">
        <v>398672</v>
      </c>
      <c r="I93">
        <v>2577</v>
      </c>
      <c r="J93">
        <v>0.26</v>
      </c>
      <c r="K93">
        <v>2.7</v>
      </c>
      <c r="L93">
        <v>31041.78</v>
      </c>
      <c r="M93" t="s">
        <v>274</v>
      </c>
      <c r="N93" t="s">
        <v>144</v>
      </c>
      <c r="O93">
        <v>7.61</v>
      </c>
      <c r="P93">
        <v>7.89</v>
      </c>
      <c r="Q93">
        <v>7.61</v>
      </c>
      <c r="R93">
        <v>7.55</v>
      </c>
      <c r="S93">
        <v>40.53</v>
      </c>
      <c r="T93">
        <v>2.36</v>
      </c>
      <c r="U93" t="s">
        <v>275</v>
      </c>
    </row>
    <row r="94" spans="1:21">
      <c r="A94" t="str">
        <f>"000428"</f>
        <v>000428</v>
      </c>
      <c r="B94" t="s">
        <v>276</v>
      </c>
      <c r="C94">
        <v>0.33</v>
      </c>
      <c r="D94">
        <v>3.03</v>
      </c>
      <c r="E94">
        <v>0.01</v>
      </c>
      <c r="F94">
        <v>3.02</v>
      </c>
      <c r="G94">
        <v>3.03</v>
      </c>
      <c r="H94">
        <v>70281</v>
      </c>
      <c r="I94">
        <v>816</v>
      </c>
      <c r="J94">
        <v>0</v>
      </c>
      <c r="K94">
        <v>0.69</v>
      </c>
      <c r="L94">
        <v>2114.77</v>
      </c>
      <c r="M94" t="s">
        <v>277</v>
      </c>
      <c r="N94" t="s">
        <v>39</v>
      </c>
      <c r="O94">
        <v>3.07</v>
      </c>
      <c r="P94">
        <v>3.07</v>
      </c>
      <c r="Q94">
        <v>2.97</v>
      </c>
      <c r="R94">
        <v>3.02</v>
      </c>
      <c r="S94" t="s">
        <v>40</v>
      </c>
      <c r="T94">
        <v>0.62</v>
      </c>
      <c r="U94" t="s">
        <v>204</v>
      </c>
    </row>
    <row r="95" spans="1:21">
      <c r="A95" t="str">
        <f>"000429"</f>
        <v>000429</v>
      </c>
      <c r="B95" t="s">
        <v>278</v>
      </c>
      <c r="C95">
        <v>0.28</v>
      </c>
      <c r="D95">
        <v>7.05</v>
      </c>
      <c r="E95">
        <v>0.02</v>
      </c>
      <c r="F95">
        <v>7.04</v>
      </c>
      <c r="G95">
        <v>7.05</v>
      </c>
      <c r="H95">
        <v>25042</v>
      </c>
      <c r="I95">
        <v>891</v>
      </c>
      <c r="J95">
        <v>0.14</v>
      </c>
      <c r="K95">
        <v>0.19</v>
      </c>
      <c r="L95">
        <v>1764.36</v>
      </c>
      <c r="M95" t="s">
        <v>279</v>
      </c>
      <c r="N95" t="s">
        <v>280</v>
      </c>
      <c r="O95">
        <v>7.03</v>
      </c>
      <c r="P95">
        <v>7.07</v>
      </c>
      <c r="Q95">
        <v>7.02</v>
      </c>
      <c r="R95">
        <v>7.03</v>
      </c>
      <c r="S95">
        <v>7.93</v>
      </c>
      <c r="T95">
        <v>1.13</v>
      </c>
      <c r="U95" t="s">
        <v>183</v>
      </c>
    </row>
    <row r="96" spans="1:21">
      <c r="A96" t="str">
        <f>"000430"</f>
        <v>000430</v>
      </c>
      <c r="B96" t="s">
        <v>281</v>
      </c>
      <c r="C96">
        <v>1.88</v>
      </c>
      <c r="D96">
        <v>5.42</v>
      </c>
      <c r="E96">
        <v>0.1</v>
      </c>
      <c r="F96">
        <v>5.41</v>
      </c>
      <c r="G96">
        <v>5.42</v>
      </c>
      <c r="H96">
        <v>105932</v>
      </c>
      <c r="I96">
        <v>759</v>
      </c>
      <c r="J96">
        <v>0.18</v>
      </c>
      <c r="K96">
        <v>3.19</v>
      </c>
      <c r="L96">
        <v>5783.2</v>
      </c>
      <c r="M96" t="s">
        <v>282</v>
      </c>
      <c r="N96" t="s">
        <v>162</v>
      </c>
      <c r="O96">
        <v>5.53</v>
      </c>
      <c r="P96">
        <v>5.67</v>
      </c>
      <c r="Q96">
        <v>5.35</v>
      </c>
      <c r="R96">
        <v>5.32</v>
      </c>
      <c r="S96" t="s">
        <v>40</v>
      </c>
      <c r="T96">
        <v>2.25</v>
      </c>
      <c r="U96" t="s">
        <v>204</v>
      </c>
    </row>
    <row r="97" spans="1:21">
      <c r="A97" t="str">
        <f>"000488"</f>
        <v>000488</v>
      </c>
      <c r="B97" t="s">
        <v>283</v>
      </c>
      <c r="C97">
        <v>0.28</v>
      </c>
      <c r="D97">
        <v>7.06</v>
      </c>
      <c r="E97">
        <v>0.02</v>
      </c>
      <c r="F97">
        <v>7.06</v>
      </c>
      <c r="G97">
        <v>7.07</v>
      </c>
      <c r="H97">
        <v>205968</v>
      </c>
      <c r="I97">
        <v>2081</v>
      </c>
      <c r="J97">
        <v>0</v>
      </c>
      <c r="K97">
        <v>1.24</v>
      </c>
      <c r="L97">
        <v>14434.24</v>
      </c>
      <c r="M97" t="s">
        <v>284</v>
      </c>
      <c r="N97" t="s">
        <v>285</v>
      </c>
      <c r="O97">
        <v>7.03</v>
      </c>
      <c r="P97">
        <v>7.07</v>
      </c>
      <c r="Q97">
        <v>6.94</v>
      </c>
      <c r="R97">
        <v>7.04</v>
      </c>
      <c r="S97">
        <v>7.24</v>
      </c>
      <c r="T97">
        <v>1.27</v>
      </c>
      <c r="U97" t="s">
        <v>221</v>
      </c>
    </row>
    <row r="98" spans="1:21">
      <c r="A98" t="str">
        <f>"000498"</f>
        <v>000498</v>
      </c>
      <c r="B98" t="s">
        <v>286</v>
      </c>
      <c r="C98">
        <v>-0.16</v>
      </c>
      <c r="D98">
        <v>6.12</v>
      </c>
      <c r="E98">
        <v>-0.01</v>
      </c>
      <c r="F98">
        <v>6.12</v>
      </c>
      <c r="G98">
        <v>6.13</v>
      </c>
      <c r="H98">
        <v>78245</v>
      </c>
      <c r="I98">
        <v>1660</v>
      </c>
      <c r="J98">
        <v>0</v>
      </c>
      <c r="K98">
        <v>1.05</v>
      </c>
      <c r="L98">
        <v>4743.14</v>
      </c>
      <c r="M98" t="s">
        <v>287</v>
      </c>
      <c r="N98" t="s">
        <v>50</v>
      </c>
      <c r="O98">
        <v>6.17</v>
      </c>
      <c r="P98">
        <v>6.17</v>
      </c>
      <c r="Q98">
        <v>6</v>
      </c>
      <c r="R98">
        <v>6.13</v>
      </c>
      <c r="S98">
        <v>5.51</v>
      </c>
      <c r="T98">
        <v>0.84</v>
      </c>
      <c r="U98" t="s">
        <v>221</v>
      </c>
    </row>
    <row r="99" spans="1:21">
      <c r="A99" t="str">
        <f>"000501"</f>
        <v>000501</v>
      </c>
      <c r="B99" t="s">
        <v>288</v>
      </c>
      <c r="C99">
        <v>1.2</v>
      </c>
      <c r="D99">
        <v>10.14</v>
      </c>
      <c r="E99">
        <v>0.12</v>
      </c>
      <c r="F99">
        <v>10.13</v>
      </c>
      <c r="G99">
        <v>10.14</v>
      </c>
      <c r="H99">
        <v>52614</v>
      </c>
      <c r="I99">
        <v>658</v>
      </c>
      <c r="J99">
        <v>0.1</v>
      </c>
      <c r="K99">
        <v>0.69</v>
      </c>
      <c r="L99">
        <v>5292.4</v>
      </c>
      <c r="M99" t="s">
        <v>289</v>
      </c>
      <c r="N99" t="s">
        <v>258</v>
      </c>
      <c r="O99">
        <v>10.03</v>
      </c>
      <c r="P99">
        <v>10.15</v>
      </c>
      <c r="Q99">
        <v>9.97</v>
      </c>
      <c r="R99">
        <v>10.02</v>
      </c>
      <c r="S99">
        <v>10.67</v>
      </c>
      <c r="T99">
        <v>1.2</v>
      </c>
      <c r="U99" t="s">
        <v>267</v>
      </c>
    </row>
    <row r="100" spans="1:21">
      <c r="A100" t="str">
        <f>"000502"</f>
        <v>000502</v>
      </c>
      <c r="B100" t="s">
        <v>290</v>
      </c>
      <c r="C100">
        <v>-0.33</v>
      </c>
      <c r="D100">
        <v>6.1</v>
      </c>
      <c r="E100">
        <v>-0.02</v>
      </c>
      <c r="F100">
        <v>6.1</v>
      </c>
      <c r="G100">
        <v>6.11</v>
      </c>
      <c r="H100">
        <v>5150</v>
      </c>
      <c r="I100">
        <v>19</v>
      </c>
      <c r="J100">
        <v>0</v>
      </c>
      <c r="K100">
        <v>0.28</v>
      </c>
      <c r="L100">
        <v>314.83</v>
      </c>
      <c r="M100" t="s">
        <v>291</v>
      </c>
      <c r="N100" t="s">
        <v>99</v>
      </c>
      <c r="O100">
        <v>6.1</v>
      </c>
      <c r="P100">
        <v>6.14</v>
      </c>
      <c r="Q100">
        <v>6.08</v>
      </c>
      <c r="R100">
        <v>6.12</v>
      </c>
      <c r="S100" t="s">
        <v>40</v>
      </c>
      <c r="T100">
        <v>0.93</v>
      </c>
      <c r="U100" t="s">
        <v>183</v>
      </c>
    </row>
    <row r="101" spans="1:21">
      <c r="A101" t="str">
        <f>"000503"</f>
        <v>000503</v>
      </c>
      <c r="B101" t="s">
        <v>292</v>
      </c>
      <c r="C101">
        <v>1.03</v>
      </c>
      <c r="D101">
        <v>6.88</v>
      </c>
      <c r="E101">
        <v>0.07</v>
      </c>
      <c r="F101">
        <v>6.88</v>
      </c>
      <c r="G101">
        <v>6.89</v>
      </c>
      <c r="H101">
        <v>142934</v>
      </c>
      <c r="I101">
        <v>963</v>
      </c>
      <c r="J101">
        <v>-0.28</v>
      </c>
      <c r="K101">
        <v>1.59</v>
      </c>
      <c r="L101">
        <v>9739.98</v>
      </c>
      <c r="M101" t="s">
        <v>293</v>
      </c>
      <c r="N101" t="s">
        <v>186</v>
      </c>
      <c r="O101">
        <v>6.75</v>
      </c>
      <c r="P101">
        <v>6.92</v>
      </c>
      <c r="Q101">
        <v>6.69</v>
      </c>
      <c r="R101">
        <v>6.81</v>
      </c>
      <c r="S101" t="s">
        <v>40</v>
      </c>
      <c r="T101">
        <v>1.28</v>
      </c>
      <c r="U101" t="s">
        <v>294</v>
      </c>
    </row>
    <row r="102" spans="1:21">
      <c r="A102" t="str">
        <f>"000504"</f>
        <v>000504</v>
      </c>
      <c r="B102" t="s">
        <v>295</v>
      </c>
      <c r="C102">
        <v>2.34</v>
      </c>
      <c r="D102">
        <v>17.06</v>
      </c>
      <c r="E102">
        <v>0.39</v>
      </c>
      <c r="F102">
        <v>17.05</v>
      </c>
      <c r="G102">
        <v>17.06</v>
      </c>
      <c r="H102">
        <v>12750</v>
      </c>
      <c r="I102">
        <v>107</v>
      </c>
      <c r="J102">
        <v>0.06</v>
      </c>
      <c r="K102">
        <v>0.41</v>
      </c>
      <c r="L102">
        <v>2154.77</v>
      </c>
      <c r="M102" t="s">
        <v>296</v>
      </c>
      <c r="N102" t="s">
        <v>231</v>
      </c>
      <c r="O102">
        <v>16.52</v>
      </c>
      <c r="P102">
        <v>17.18</v>
      </c>
      <c r="Q102">
        <v>16.47</v>
      </c>
      <c r="R102">
        <v>16.67</v>
      </c>
      <c r="S102" t="s">
        <v>40</v>
      </c>
      <c r="T102">
        <v>0.82</v>
      </c>
      <c r="U102" t="s">
        <v>204</v>
      </c>
    </row>
    <row r="103" spans="1:21">
      <c r="A103" t="str">
        <f>"000505"</f>
        <v>000505</v>
      </c>
      <c r="B103" t="s">
        <v>297</v>
      </c>
      <c r="C103">
        <v>0.7</v>
      </c>
      <c r="D103">
        <v>7.19</v>
      </c>
      <c r="E103">
        <v>0.05</v>
      </c>
      <c r="F103">
        <v>7.19</v>
      </c>
      <c r="G103">
        <v>7.2</v>
      </c>
      <c r="H103">
        <v>62222</v>
      </c>
      <c r="I103">
        <v>1221</v>
      </c>
      <c r="J103">
        <v>0</v>
      </c>
      <c r="K103">
        <v>1</v>
      </c>
      <c r="L103">
        <v>4455</v>
      </c>
      <c r="M103" t="s">
        <v>298</v>
      </c>
      <c r="N103" t="s">
        <v>299</v>
      </c>
      <c r="O103">
        <v>7.11</v>
      </c>
      <c r="P103">
        <v>7.2</v>
      </c>
      <c r="Q103">
        <v>7.1</v>
      </c>
      <c r="R103">
        <v>7.14</v>
      </c>
      <c r="S103">
        <v>30.6</v>
      </c>
      <c r="T103">
        <v>0.54</v>
      </c>
      <c r="U103" t="s">
        <v>294</v>
      </c>
    </row>
    <row r="104" spans="1:21">
      <c r="A104" t="str">
        <f>"000506"</f>
        <v>000506</v>
      </c>
      <c r="B104" t="s">
        <v>300</v>
      </c>
      <c r="C104">
        <v>0.65</v>
      </c>
      <c r="D104">
        <v>3.09</v>
      </c>
      <c r="E104">
        <v>0.02</v>
      </c>
      <c r="F104">
        <v>3.09</v>
      </c>
      <c r="G104">
        <v>3.1</v>
      </c>
      <c r="H104">
        <v>109722</v>
      </c>
      <c r="I104">
        <v>1394</v>
      </c>
      <c r="J104">
        <v>-0.31</v>
      </c>
      <c r="K104">
        <v>1.18</v>
      </c>
      <c r="L104">
        <v>3370.2</v>
      </c>
      <c r="M104" t="s">
        <v>301</v>
      </c>
      <c r="N104" t="s">
        <v>302</v>
      </c>
      <c r="O104">
        <v>3.07</v>
      </c>
      <c r="P104">
        <v>3.1</v>
      </c>
      <c r="Q104">
        <v>3.05</v>
      </c>
      <c r="R104">
        <v>3.07</v>
      </c>
      <c r="S104" t="s">
        <v>40</v>
      </c>
      <c r="T104">
        <v>0.79</v>
      </c>
      <c r="U104" t="s">
        <v>221</v>
      </c>
    </row>
    <row r="105" spans="1:21">
      <c r="A105" t="str">
        <f>"000507"</f>
        <v>000507</v>
      </c>
      <c r="B105" t="s">
        <v>303</v>
      </c>
      <c r="C105">
        <v>-0.45</v>
      </c>
      <c r="D105">
        <v>6.57</v>
      </c>
      <c r="E105">
        <v>-0.03</v>
      </c>
      <c r="F105">
        <v>6.57</v>
      </c>
      <c r="G105">
        <v>6.58</v>
      </c>
      <c r="H105">
        <v>156093</v>
      </c>
      <c r="I105">
        <v>627</v>
      </c>
      <c r="J105">
        <v>0</v>
      </c>
      <c r="K105">
        <v>1.88</v>
      </c>
      <c r="L105">
        <v>10186.15</v>
      </c>
      <c r="M105" t="s">
        <v>304</v>
      </c>
      <c r="N105" t="s">
        <v>169</v>
      </c>
      <c r="O105">
        <v>6.6</v>
      </c>
      <c r="P105">
        <v>6.6</v>
      </c>
      <c r="Q105">
        <v>6.45</v>
      </c>
      <c r="R105">
        <v>6.6</v>
      </c>
      <c r="S105">
        <v>15.92</v>
      </c>
      <c r="T105">
        <v>1.04</v>
      </c>
      <c r="U105" t="s">
        <v>183</v>
      </c>
    </row>
    <row r="106" spans="1:21">
      <c r="A106" t="str">
        <f>"000509"</f>
        <v>000509</v>
      </c>
      <c r="B106" t="s">
        <v>305</v>
      </c>
      <c r="C106">
        <v>-0.34</v>
      </c>
      <c r="D106">
        <v>2.96</v>
      </c>
      <c r="E106">
        <v>-0.01</v>
      </c>
      <c r="F106">
        <v>2.95</v>
      </c>
      <c r="G106">
        <v>2.96</v>
      </c>
      <c r="H106">
        <v>24897</v>
      </c>
      <c r="I106">
        <v>740</v>
      </c>
      <c r="J106">
        <v>0</v>
      </c>
      <c r="K106">
        <v>0.3</v>
      </c>
      <c r="L106">
        <v>735.08</v>
      </c>
      <c r="M106" t="s">
        <v>306</v>
      </c>
      <c r="N106" t="s">
        <v>186</v>
      </c>
      <c r="O106">
        <v>2.99</v>
      </c>
      <c r="P106">
        <v>2.99</v>
      </c>
      <c r="Q106">
        <v>2.94</v>
      </c>
      <c r="R106">
        <v>2.97</v>
      </c>
      <c r="S106">
        <v>1158.33</v>
      </c>
      <c r="T106">
        <v>0.83</v>
      </c>
      <c r="U106" t="s">
        <v>196</v>
      </c>
    </row>
    <row r="107" spans="1:21">
      <c r="A107" t="str">
        <f>"000510"</f>
        <v>000510</v>
      </c>
      <c r="B107" t="s">
        <v>307</v>
      </c>
      <c r="C107">
        <v>5.14</v>
      </c>
      <c r="D107">
        <v>5.52</v>
      </c>
      <c r="E107">
        <v>0.27</v>
      </c>
      <c r="F107">
        <v>5.51</v>
      </c>
      <c r="G107">
        <v>5.52</v>
      </c>
      <c r="H107">
        <v>290970</v>
      </c>
      <c r="I107">
        <v>2501</v>
      </c>
      <c r="J107">
        <v>0.18</v>
      </c>
      <c r="K107">
        <v>5.17</v>
      </c>
      <c r="L107">
        <v>15698.59</v>
      </c>
      <c r="M107" t="s">
        <v>308</v>
      </c>
      <c r="N107" t="s">
        <v>309</v>
      </c>
      <c r="O107">
        <v>5.26</v>
      </c>
      <c r="P107">
        <v>5.52</v>
      </c>
      <c r="Q107">
        <v>5.25</v>
      </c>
      <c r="R107">
        <v>5.25</v>
      </c>
      <c r="S107">
        <v>11.98</v>
      </c>
      <c r="T107">
        <v>1.37</v>
      </c>
      <c r="U107" t="s">
        <v>196</v>
      </c>
    </row>
    <row r="108" spans="1:21">
      <c r="A108" t="str">
        <f>"000513"</f>
        <v>000513</v>
      </c>
      <c r="B108" t="s">
        <v>310</v>
      </c>
      <c r="C108">
        <v>0.3</v>
      </c>
      <c r="D108">
        <v>36.76</v>
      </c>
      <c r="E108">
        <v>0.11</v>
      </c>
      <c r="F108">
        <v>36.76</v>
      </c>
      <c r="G108">
        <v>36.77</v>
      </c>
      <c r="H108">
        <v>36985</v>
      </c>
      <c r="I108">
        <v>424</v>
      </c>
      <c r="J108">
        <v>0.03</v>
      </c>
      <c r="K108">
        <v>0.61</v>
      </c>
      <c r="L108">
        <v>13526.95</v>
      </c>
      <c r="M108" t="s">
        <v>311</v>
      </c>
      <c r="N108" t="s">
        <v>192</v>
      </c>
      <c r="O108">
        <v>36.6</v>
      </c>
      <c r="P108">
        <v>36.81</v>
      </c>
      <c r="Q108">
        <v>36.25</v>
      </c>
      <c r="R108">
        <v>36.65</v>
      </c>
      <c r="S108">
        <v>17.79</v>
      </c>
      <c r="T108">
        <v>0.46</v>
      </c>
      <c r="U108" t="s">
        <v>183</v>
      </c>
    </row>
    <row r="109" spans="1:21">
      <c r="A109" t="str">
        <f>"000514"</f>
        <v>000514</v>
      </c>
      <c r="B109" t="s">
        <v>312</v>
      </c>
      <c r="C109">
        <v>1.65</v>
      </c>
      <c r="D109">
        <v>3.08</v>
      </c>
      <c r="E109">
        <v>0.05</v>
      </c>
      <c r="F109">
        <v>3.08</v>
      </c>
      <c r="G109">
        <v>3.09</v>
      </c>
      <c r="H109">
        <v>22623</v>
      </c>
      <c r="I109">
        <v>557</v>
      </c>
      <c r="J109">
        <v>-0.31</v>
      </c>
      <c r="K109">
        <v>0.27</v>
      </c>
      <c r="L109">
        <v>693.11</v>
      </c>
      <c r="M109" t="s">
        <v>313</v>
      </c>
      <c r="N109" t="s">
        <v>36</v>
      </c>
      <c r="O109">
        <v>3.03</v>
      </c>
      <c r="P109">
        <v>3.09</v>
      </c>
      <c r="Q109">
        <v>3.03</v>
      </c>
      <c r="R109">
        <v>3.03</v>
      </c>
      <c r="S109" t="s">
        <v>40</v>
      </c>
      <c r="T109">
        <v>1.21</v>
      </c>
      <c r="U109" t="s">
        <v>314</v>
      </c>
    </row>
    <row r="110" spans="1:21">
      <c r="A110" t="str">
        <f>"000516"</f>
        <v>000516</v>
      </c>
      <c r="B110" t="s">
        <v>315</v>
      </c>
      <c r="C110">
        <v>-2.3</v>
      </c>
      <c r="D110">
        <v>10.61</v>
      </c>
      <c r="E110">
        <v>-0.25</v>
      </c>
      <c r="F110">
        <v>10.61</v>
      </c>
      <c r="G110">
        <v>10.62</v>
      </c>
      <c r="H110">
        <v>282742</v>
      </c>
      <c r="I110">
        <v>2612</v>
      </c>
      <c r="J110">
        <v>0</v>
      </c>
      <c r="K110">
        <v>1.49</v>
      </c>
      <c r="L110">
        <v>30056.77</v>
      </c>
      <c r="M110" t="s">
        <v>316</v>
      </c>
      <c r="N110" t="s">
        <v>186</v>
      </c>
      <c r="O110">
        <v>10.83</v>
      </c>
      <c r="P110">
        <v>10.84</v>
      </c>
      <c r="Q110">
        <v>10.55</v>
      </c>
      <c r="R110">
        <v>10.86</v>
      </c>
      <c r="S110" t="s">
        <v>40</v>
      </c>
      <c r="T110">
        <v>0.8</v>
      </c>
      <c r="U110" t="s">
        <v>317</v>
      </c>
    </row>
    <row r="111" spans="1:21">
      <c r="A111" t="str">
        <f>"000517"</f>
        <v>000517</v>
      </c>
      <c r="B111" t="s">
        <v>318</v>
      </c>
      <c r="C111">
        <v>1.74</v>
      </c>
      <c r="D111">
        <v>2.34</v>
      </c>
      <c r="E111">
        <v>0.04</v>
      </c>
      <c r="F111">
        <v>2.33</v>
      </c>
      <c r="G111">
        <v>2.34</v>
      </c>
      <c r="H111">
        <v>104340</v>
      </c>
      <c r="I111">
        <v>1392</v>
      </c>
      <c r="J111">
        <v>0</v>
      </c>
      <c r="K111">
        <v>0.42</v>
      </c>
      <c r="L111">
        <v>2429.6</v>
      </c>
      <c r="M111" t="s">
        <v>319</v>
      </c>
      <c r="N111" t="s">
        <v>36</v>
      </c>
      <c r="O111">
        <v>2.3</v>
      </c>
      <c r="P111">
        <v>2.38</v>
      </c>
      <c r="Q111">
        <v>2.28</v>
      </c>
      <c r="R111">
        <v>2.3</v>
      </c>
      <c r="S111">
        <v>7.54</v>
      </c>
      <c r="T111">
        <v>1.51</v>
      </c>
      <c r="U111" t="s">
        <v>200</v>
      </c>
    </row>
    <row r="112" spans="1:21">
      <c r="A112" t="str">
        <f>"000518"</f>
        <v>000518</v>
      </c>
      <c r="B112" t="s">
        <v>320</v>
      </c>
      <c r="C112">
        <v>0.95</v>
      </c>
      <c r="D112">
        <v>3.2</v>
      </c>
      <c r="E112">
        <v>0.03</v>
      </c>
      <c r="F112">
        <v>3.19</v>
      </c>
      <c r="G112">
        <v>3.2</v>
      </c>
      <c r="H112">
        <v>21931</v>
      </c>
      <c r="I112">
        <v>671</v>
      </c>
      <c r="J112">
        <v>0</v>
      </c>
      <c r="K112">
        <v>0.21</v>
      </c>
      <c r="L112">
        <v>698.32</v>
      </c>
      <c r="M112" t="s">
        <v>321</v>
      </c>
      <c r="N112" t="s">
        <v>231</v>
      </c>
      <c r="O112">
        <v>3.17</v>
      </c>
      <c r="P112">
        <v>3.2</v>
      </c>
      <c r="Q112">
        <v>3.17</v>
      </c>
      <c r="R112">
        <v>3.17</v>
      </c>
      <c r="S112" t="s">
        <v>40</v>
      </c>
      <c r="T112">
        <v>0.46</v>
      </c>
      <c r="U112" t="s">
        <v>102</v>
      </c>
    </row>
    <row r="113" spans="1:21">
      <c r="A113" t="str">
        <f>"000519"</f>
        <v>000519</v>
      </c>
      <c r="B113" t="s">
        <v>322</v>
      </c>
      <c r="C113">
        <v>-1.43</v>
      </c>
      <c r="D113">
        <v>30.26</v>
      </c>
      <c r="E113">
        <v>-0.44</v>
      </c>
      <c r="F113">
        <v>30.26</v>
      </c>
      <c r="G113">
        <v>30.27</v>
      </c>
      <c r="H113">
        <v>390061</v>
      </c>
      <c r="I113">
        <v>4305</v>
      </c>
      <c r="J113">
        <v>0</v>
      </c>
      <c r="K113">
        <v>2.8</v>
      </c>
      <c r="L113">
        <v>119319.77</v>
      </c>
      <c r="M113" t="s">
        <v>323</v>
      </c>
      <c r="N113" t="s">
        <v>324</v>
      </c>
      <c r="O113">
        <v>30.33</v>
      </c>
      <c r="P113">
        <v>31.3</v>
      </c>
      <c r="Q113">
        <v>30.16</v>
      </c>
      <c r="R113">
        <v>30.7</v>
      </c>
      <c r="S113">
        <v>52.09</v>
      </c>
      <c r="T113">
        <v>0.66</v>
      </c>
      <c r="U113" t="s">
        <v>204</v>
      </c>
    </row>
    <row r="114" spans="1:21">
      <c r="A114" t="str">
        <f>"000520"</f>
        <v>000520</v>
      </c>
      <c r="B114" t="s">
        <v>325</v>
      </c>
      <c r="C114">
        <v>1.21</v>
      </c>
      <c r="D114">
        <v>3.34</v>
      </c>
      <c r="E114">
        <v>0.04</v>
      </c>
      <c r="F114">
        <v>3.33</v>
      </c>
      <c r="G114">
        <v>3.34</v>
      </c>
      <c r="H114">
        <v>75462</v>
      </c>
      <c r="I114">
        <v>412</v>
      </c>
      <c r="J114">
        <v>0.3</v>
      </c>
      <c r="K114">
        <v>0.75</v>
      </c>
      <c r="L114">
        <v>2506.75</v>
      </c>
      <c r="M114" t="s">
        <v>326</v>
      </c>
      <c r="N114" t="s">
        <v>327</v>
      </c>
      <c r="O114">
        <v>3.31</v>
      </c>
      <c r="P114">
        <v>3.35</v>
      </c>
      <c r="Q114">
        <v>3.29</v>
      </c>
      <c r="R114">
        <v>3.3</v>
      </c>
      <c r="S114">
        <v>42.43</v>
      </c>
      <c r="T114">
        <v>0.99</v>
      </c>
      <c r="U114" t="s">
        <v>267</v>
      </c>
    </row>
    <row r="115" spans="1:21">
      <c r="A115" t="str">
        <f>"000521"</f>
        <v>000521</v>
      </c>
      <c r="B115" t="s">
        <v>328</v>
      </c>
      <c r="C115">
        <v>1.22</v>
      </c>
      <c r="D115">
        <v>3.31</v>
      </c>
      <c r="E115">
        <v>0.04</v>
      </c>
      <c r="F115">
        <v>3.31</v>
      </c>
      <c r="G115">
        <v>3.32</v>
      </c>
      <c r="H115">
        <v>107879</v>
      </c>
      <c r="I115">
        <v>860</v>
      </c>
      <c r="J115">
        <v>0</v>
      </c>
      <c r="K115">
        <v>1.23</v>
      </c>
      <c r="L115">
        <v>3558.99</v>
      </c>
      <c r="M115" t="s">
        <v>329</v>
      </c>
      <c r="N115" t="s">
        <v>60</v>
      </c>
      <c r="O115">
        <v>3.28</v>
      </c>
      <c r="P115">
        <v>3.32</v>
      </c>
      <c r="Q115">
        <v>3.25</v>
      </c>
      <c r="R115">
        <v>3.27</v>
      </c>
      <c r="S115">
        <v>41.65</v>
      </c>
      <c r="T115">
        <v>0.95</v>
      </c>
      <c r="U115" t="s">
        <v>193</v>
      </c>
    </row>
    <row r="116" spans="1:21">
      <c r="A116" t="str">
        <f>"000523"</f>
        <v>000523</v>
      </c>
      <c r="B116" t="s">
        <v>330</v>
      </c>
      <c r="C116">
        <v>1.17</v>
      </c>
      <c r="D116">
        <v>3.45</v>
      </c>
      <c r="E116">
        <v>0.04</v>
      </c>
      <c r="F116">
        <v>3.45</v>
      </c>
      <c r="G116">
        <v>3.46</v>
      </c>
      <c r="H116">
        <v>37019</v>
      </c>
      <c r="I116">
        <v>927</v>
      </c>
      <c r="J116">
        <v>-0.57</v>
      </c>
      <c r="K116">
        <v>0.59</v>
      </c>
      <c r="L116">
        <v>1275.61</v>
      </c>
      <c r="M116" t="s">
        <v>331</v>
      </c>
      <c r="N116" t="s">
        <v>332</v>
      </c>
      <c r="O116">
        <v>3.44</v>
      </c>
      <c r="P116">
        <v>3.49</v>
      </c>
      <c r="Q116">
        <v>3.4</v>
      </c>
      <c r="R116">
        <v>3.41</v>
      </c>
      <c r="S116" t="s">
        <v>40</v>
      </c>
      <c r="T116">
        <v>0.5</v>
      </c>
      <c r="U116" t="s">
        <v>183</v>
      </c>
    </row>
    <row r="117" spans="1:21">
      <c r="A117" t="str">
        <f>"000524"</f>
        <v>000524</v>
      </c>
      <c r="B117" t="s">
        <v>333</v>
      </c>
      <c r="C117">
        <v>0</v>
      </c>
      <c r="D117">
        <v>7.13</v>
      </c>
      <c r="E117">
        <v>0</v>
      </c>
      <c r="F117">
        <v>7.13</v>
      </c>
      <c r="G117">
        <v>7.14</v>
      </c>
      <c r="H117">
        <v>13449</v>
      </c>
      <c r="I117">
        <v>66</v>
      </c>
      <c r="J117">
        <v>-0.13</v>
      </c>
      <c r="K117">
        <v>0.2</v>
      </c>
      <c r="L117">
        <v>959.63</v>
      </c>
      <c r="M117" t="s">
        <v>334</v>
      </c>
      <c r="N117" t="s">
        <v>39</v>
      </c>
      <c r="O117">
        <v>7.14</v>
      </c>
      <c r="P117">
        <v>7.21</v>
      </c>
      <c r="Q117">
        <v>7.09</v>
      </c>
      <c r="R117">
        <v>7.13</v>
      </c>
      <c r="S117" t="s">
        <v>40</v>
      </c>
      <c r="T117">
        <v>0.39</v>
      </c>
      <c r="U117" t="s">
        <v>183</v>
      </c>
    </row>
    <row r="118" spans="1:21">
      <c r="A118" t="str">
        <f>"000525"</f>
        <v>000525</v>
      </c>
      <c r="B118" t="s">
        <v>335</v>
      </c>
      <c r="C118">
        <v>0</v>
      </c>
      <c r="D118">
        <v>5.39</v>
      </c>
      <c r="E118">
        <v>0</v>
      </c>
      <c r="F118">
        <v>5.39</v>
      </c>
      <c r="G118">
        <v>5.4</v>
      </c>
      <c r="H118">
        <v>40935</v>
      </c>
      <c r="I118">
        <v>694</v>
      </c>
      <c r="J118">
        <v>0</v>
      </c>
      <c r="K118">
        <v>0.71</v>
      </c>
      <c r="L118">
        <v>2203.26</v>
      </c>
      <c r="M118" t="s">
        <v>336</v>
      </c>
      <c r="N118" t="s">
        <v>241</v>
      </c>
      <c r="O118">
        <v>5.35</v>
      </c>
      <c r="P118">
        <v>5.41</v>
      </c>
      <c r="Q118">
        <v>5.35</v>
      </c>
      <c r="R118">
        <v>5.39</v>
      </c>
      <c r="S118">
        <v>64.65</v>
      </c>
      <c r="T118">
        <v>0.58</v>
      </c>
      <c r="U118" t="s">
        <v>102</v>
      </c>
    </row>
    <row r="119" spans="1:21">
      <c r="A119" t="str">
        <f>"000526"</f>
        <v>000526</v>
      </c>
      <c r="B119" t="s">
        <v>337</v>
      </c>
      <c r="C119">
        <v>-0.34</v>
      </c>
      <c r="D119">
        <v>17.53</v>
      </c>
      <c r="E119">
        <v>-0.06</v>
      </c>
      <c r="F119">
        <v>17.52</v>
      </c>
      <c r="G119">
        <v>17.53</v>
      </c>
      <c r="H119">
        <v>30350</v>
      </c>
      <c r="I119">
        <v>638</v>
      </c>
      <c r="J119">
        <v>0.06</v>
      </c>
      <c r="K119">
        <v>2.72</v>
      </c>
      <c r="L119">
        <v>5327.87</v>
      </c>
      <c r="M119" t="s">
        <v>338</v>
      </c>
      <c r="N119" t="s">
        <v>63</v>
      </c>
      <c r="O119">
        <v>17.57</v>
      </c>
      <c r="P119">
        <v>17.71</v>
      </c>
      <c r="Q119">
        <v>17.42</v>
      </c>
      <c r="R119">
        <v>17.59</v>
      </c>
      <c r="S119">
        <v>34.58</v>
      </c>
      <c r="T119">
        <v>0.61</v>
      </c>
      <c r="U119" t="s">
        <v>339</v>
      </c>
    </row>
    <row r="120" spans="1:21">
      <c r="A120" t="str">
        <f>"000528"</f>
        <v>000528</v>
      </c>
      <c r="B120" t="s">
        <v>340</v>
      </c>
      <c r="C120">
        <v>-0.4</v>
      </c>
      <c r="D120">
        <v>7.55</v>
      </c>
      <c r="E120">
        <v>-0.03</v>
      </c>
      <c r="F120">
        <v>7.55</v>
      </c>
      <c r="G120">
        <v>7.56</v>
      </c>
      <c r="H120">
        <v>92528</v>
      </c>
      <c r="I120">
        <v>1793</v>
      </c>
      <c r="J120">
        <v>0</v>
      </c>
      <c r="K120">
        <v>0.63</v>
      </c>
      <c r="L120">
        <v>6962.07</v>
      </c>
      <c r="M120" t="s">
        <v>341</v>
      </c>
      <c r="N120" t="s">
        <v>203</v>
      </c>
      <c r="O120">
        <v>7.54</v>
      </c>
      <c r="P120">
        <v>7.59</v>
      </c>
      <c r="Q120">
        <v>7.46</v>
      </c>
      <c r="R120">
        <v>7.58</v>
      </c>
      <c r="S120">
        <v>9.4</v>
      </c>
      <c r="T120">
        <v>1.06</v>
      </c>
      <c r="U120" t="s">
        <v>342</v>
      </c>
    </row>
    <row r="121" spans="1:21">
      <c r="A121" t="str">
        <f>"000529"</f>
        <v>000529</v>
      </c>
      <c r="B121" t="s">
        <v>343</v>
      </c>
      <c r="C121">
        <v>1.56</v>
      </c>
      <c r="D121">
        <v>5.87</v>
      </c>
      <c r="E121">
        <v>0.09</v>
      </c>
      <c r="F121">
        <v>5.86</v>
      </c>
      <c r="G121">
        <v>5.87</v>
      </c>
      <c r="H121">
        <v>30197</v>
      </c>
      <c r="I121">
        <v>1294</v>
      </c>
      <c r="J121">
        <v>0.17</v>
      </c>
      <c r="K121">
        <v>0.53</v>
      </c>
      <c r="L121">
        <v>1757.71</v>
      </c>
      <c r="M121" t="s">
        <v>344</v>
      </c>
      <c r="N121" t="s">
        <v>299</v>
      </c>
      <c r="O121">
        <v>5.78</v>
      </c>
      <c r="P121">
        <v>5.87</v>
      </c>
      <c r="Q121">
        <v>5.74</v>
      </c>
      <c r="R121">
        <v>5.78</v>
      </c>
      <c r="S121">
        <v>10.47</v>
      </c>
      <c r="T121">
        <v>0.55</v>
      </c>
      <c r="U121" t="s">
        <v>183</v>
      </c>
    </row>
    <row r="122" spans="1:21">
      <c r="A122" t="str">
        <f>"000530"</f>
        <v>000530</v>
      </c>
      <c r="B122" t="s">
        <v>345</v>
      </c>
      <c r="C122">
        <v>2.28</v>
      </c>
      <c r="D122">
        <v>4.04</v>
      </c>
      <c r="E122">
        <v>0.09</v>
      </c>
      <c r="F122">
        <v>4.04</v>
      </c>
      <c r="G122">
        <v>4.05</v>
      </c>
      <c r="H122">
        <v>177963</v>
      </c>
      <c r="I122">
        <v>2274</v>
      </c>
      <c r="J122">
        <v>-0.24</v>
      </c>
      <c r="K122">
        <v>2.97</v>
      </c>
      <c r="L122">
        <v>7188.13</v>
      </c>
      <c r="M122" t="s">
        <v>346</v>
      </c>
      <c r="N122" t="s">
        <v>347</v>
      </c>
      <c r="O122">
        <v>3.99</v>
      </c>
      <c r="P122">
        <v>4.12</v>
      </c>
      <c r="Q122">
        <v>3.97</v>
      </c>
      <c r="R122">
        <v>3.95</v>
      </c>
      <c r="S122" t="s">
        <v>40</v>
      </c>
      <c r="T122">
        <v>1.34</v>
      </c>
      <c r="U122" t="s">
        <v>141</v>
      </c>
    </row>
    <row r="123" spans="1:21">
      <c r="A123" t="str">
        <f>"000531"</f>
        <v>000531</v>
      </c>
      <c r="B123" t="s">
        <v>348</v>
      </c>
      <c r="C123">
        <v>2.07</v>
      </c>
      <c r="D123">
        <v>7.88</v>
      </c>
      <c r="E123">
        <v>0.16</v>
      </c>
      <c r="F123">
        <v>7.87</v>
      </c>
      <c r="G123">
        <v>7.88</v>
      </c>
      <c r="H123">
        <v>72238</v>
      </c>
      <c r="I123">
        <v>1163</v>
      </c>
      <c r="J123">
        <v>-0.12</v>
      </c>
      <c r="K123">
        <v>1.05</v>
      </c>
      <c r="L123">
        <v>5607.75</v>
      </c>
      <c r="M123" t="s">
        <v>349</v>
      </c>
      <c r="N123" t="s">
        <v>83</v>
      </c>
      <c r="O123">
        <v>7.68</v>
      </c>
      <c r="P123">
        <v>7.92</v>
      </c>
      <c r="Q123">
        <v>7.56</v>
      </c>
      <c r="R123">
        <v>7.72</v>
      </c>
      <c r="S123">
        <v>18.29</v>
      </c>
      <c r="T123">
        <v>1.94</v>
      </c>
      <c r="U123" t="s">
        <v>183</v>
      </c>
    </row>
    <row r="124" spans="1:21">
      <c r="A124" t="str">
        <f>"000532"</f>
        <v>000532</v>
      </c>
      <c r="B124" t="s">
        <v>350</v>
      </c>
      <c r="C124">
        <v>1.09</v>
      </c>
      <c r="D124">
        <v>12.09</v>
      </c>
      <c r="E124">
        <v>0.13</v>
      </c>
      <c r="F124">
        <v>12.08</v>
      </c>
      <c r="G124">
        <v>12.09</v>
      </c>
      <c r="H124">
        <v>35791</v>
      </c>
      <c r="I124">
        <v>121</v>
      </c>
      <c r="J124">
        <v>0</v>
      </c>
      <c r="K124">
        <v>1.04</v>
      </c>
      <c r="L124">
        <v>4288.51</v>
      </c>
      <c r="M124" t="s">
        <v>351</v>
      </c>
      <c r="N124" t="s">
        <v>121</v>
      </c>
      <c r="O124">
        <v>11.99</v>
      </c>
      <c r="P124">
        <v>12.15</v>
      </c>
      <c r="Q124">
        <v>11.8</v>
      </c>
      <c r="R124">
        <v>11.96</v>
      </c>
      <c r="S124">
        <v>33.88</v>
      </c>
      <c r="T124">
        <v>1.2</v>
      </c>
      <c r="U124" t="s">
        <v>183</v>
      </c>
    </row>
    <row r="125" spans="1:21">
      <c r="A125" t="str">
        <f>"000533"</f>
        <v>000533</v>
      </c>
      <c r="B125" t="s">
        <v>352</v>
      </c>
      <c r="C125">
        <v>9.92</v>
      </c>
      <c r="D125">
        <v>3.99</v>
      </c>
      <c r="E125">
        <v>0.36</v>
      </c>
      <c r="F125">
        <v>3.99</v>
      </c>
      <c r="G125" t="s">
        <v>40</v>
      </c>
      <c r="H125">
        <v>825274</v>
      </c>
      <c r="I125">
        <v>791</v>
      </c>
      <c r="J125">
        <v>0</v>
      </c>
      <c r="K125">
        <v>12.05</v>
      </c>
      <c r="L125">
        <v>31648.22</v>
      </c>
      <c r="M125" t="s">
        <v>353</v>
      </c>
      <c r="N125" t="s">
        <v>47</v>
      </c>
      <c r="O125">
        <v>3.65</v>
      </c>
      <c r="P125">
        <v>3.99</v>
      </c>
      <c r="Q125">
        <v>3.59</v>
      </c>
      <c r="R125">
        <v>3.63</v>
      </c>
      <c r="S125" t="s">
        <v>40</v>
      </c>
      <c r="T125">
        <v>1.82</v>
      </c>
      <c r="U125" t="s">
        <v>183</v>
      </c>
    </row>
    <row r="126" spans="1:21">
      <c r="A126" t="str">
        <f>"000534"</f>
        <v>000534</v>
      </c>
      <c r="B126" t="s">
        <v>354</v>
      </c>
      <c r="C126">
        <v>10</v>
      </c>
      <c r="D126">
        <v>15.4</v>
      </c>
      <c r="E126">
        <v>1.4</v>
      </c>
      <c r="F126">
        <v>15.4</v>
      </c>
      <c r="G126" t="s">
        <v>40</v>
      </c>
      <c r="H126">
        <v>89747</v>
      </c>
      <c r="I126">
        <v>56</v>
      </c>
      <c r="J126">
        <v>0</v>
      </c>
      <c r="K126">
        <v>1.83</v>
      </c>
      <c r="L126">
        <v>13638.27</v>
      </c>
      <c r="M126" t="s">
        <v>355</v>
      </c>
      <c r="N126" t="s">
        <v>231</v>
      </c>
      <c r="O126">
        <v>14.06</v>
      </c>
      <c r="P126">
        <v>15.4</v>
      </c>
      <c r="Q126">
        <v>14.06</v>
      </c>
      <c r="R126">
        <v>14</v>
      </c>
      <c r="S126">
        <v>67.24</v>
      </c>
      <c r="T126">
        <v>3.78</v>
      </c>
      <c r="U126" t="s">
        <v>183</v>
      </c>
    </row>
    <row r="127" spans="1:21">
      <c r="A127" t="str">
        <f>"000536"</f>
        <v>000536</v>
      </c>
      <c r="B127" t="s">
        <v>356</v>
      </c>
      <c r="C127">
        <v>0.39</v>
      </c>
      <c r="D127">
        <v>2.57</v>
      </c>
      <c r="E127">
        <v>0.01</v>
      </c>
      <c r="F127">
        <v>2.57</v>
      </c>
      <c r="G127">
        <v>2.58</v>
      </c>
      <c r="H127">
        <v>375723</v>
      </c>
      <c r="I127">
        <v>5797</v>
      </c>
      <c r="J127">
        <v>0</v>
      </c>
      <c r="K127">
        <v>1.36</v>
      </c>
      <c r="L127">
        <v>9652.43</v>
      </c>
      <c r="M127" t="s">
        <v>357</v>
      </c>
      <c r="N127" t="s">
        <v>69</v>
      </c>
      <c r="O127">
        <v>2.54</v>
      </c>
      <c r="P127">
        <v>2.61</v>
      </c>
      <c r="Q127">
        <v>2.52</v>
      </c>
      <c r="R127">
        <v>2.56</v>
      </c>
      <c r="S127" t="s">
        <v>40</v>
      </c>
      <c r="T127">
        <v>0.54</v>
      </c>
      <c r="U127" t="s">
        <v>339</v>
      </c>
    </row>
    <row r="128" spans="1:21">
      <c r="A128" t="str">
        <f>"000537"</f>
        <v>000537</v>
      </c>
      <c r="B128" t="s">
        <v>358</v>
      </c>
      <c r="C128">
        <v>9.24</v>
      </c>
      <c r="D128">
        <v>19.03</v>
      </c>
      <c r="E128">
        <v>1.61</v>
      </c>
      <c r="F128">
        <v>19.02</v>
      </c>
      <c r="G128">
        <v>19.03</v>
      </c>
      <c r="H128">
        <v>467285</v>
      </c>
      <c r="I128">
        <v>4461</v>
      </c>
      <c r="J128">
        <v>0.05</v>
      </c>
      <c r="K128">
        <v>2.7</v>
      </c>
      <c r="L128">
        <v>85535.24</v>
      </c>
      <c r="M128" t="s">
        <v>359</v>
      </c>
      <c r="N128" t="s">
        <v>36</v>
      </c>
      <c r="O128">
        <v>17.3</v>
      </c>
      <c r="P128">
        <v>19.09</v>
      </c>
      <c r="Q128">
        <v>17.17</v>
      </c>
      <c r="R128">
        <v>17.42</v>
      </c>
      <c r="S128" t="s">
        <v>40</v>
      </c>
      <c r="T128">
        <v>1.33</v>
      </c>
      <c r="U128" t="s">
        <v>360</v>
      </c>
    </row>
    <row r="129" spans="1:21">
      <c r="A129" t="str">
        <f>"000538"</f>
        <v>000538</v>
      </c>
      <c r="B129" t="s">
        <v>361</v>
      </c>
      <c r="C129">
        <v>0.02</v>
      </c>
      <c r="D129">
        <v>90.02</v>
      </c>
      <c r="E129">
        <v>0.02</v>
      </c>
      <c r="F129">
        <v>90.01</v>
      </c>
      <c r="G129">
        <v>90.02</v>
      </c>
      <c r="H129">
        <v>20968</v>
      </c>
      <c r="I129">
        <v>248</v>
      </c>
      <c r="J129">
        <v>0.03</v>
      </c>
      <c r="K129">
        <v>0.35</v>
      </c>
      <c r="L129">
        <v>18866.04</v>
      </c>
      <c r="M129" t="s">
        <v>362</v>
      </c>
      <c r="N129" t="s">
        <v>270</v>
      </c>
      <c r="O129">
        <v>89.54</v>
      </c>
      <c r="P129">
        <v>90.45</v>
      </c>
      <c r="Q129">
        <v>89.51</v>
      </c>
      <c r="R129">
        <v>90</v>
      </c>
      <c r="S129">
        <v>35.24</v>
      </c>
      <c r="T129">
        <v>0.58</v>
      </c>
      <c r="U129" t="s">
        <v>363</v>
      </c>
    </row>
    <row r="130" spans="1:21">
      <c r="A130" t="str">
        <f>"000539"</f>
        <v>000539</v>
      </c>
      <c r="B130" t="s">
        <v>364</v>
      </c>
      <c r="C130">
        <v>-0.91</v>
      </c>
      <c r="D130">
        <v>4.34</v>
      </c>
      <c r="E130">
        <v>-0.04</v>
      </c>
      <c r="F130">
        <v>4.34</v>
      </c>
      <c r="G130">
        <v>4.35</v>
      </c>
      <c r="H130">
        <v>190759</v>
      </c>
      <c r="I130">
        <v>3305</v>
      </c>
      <c r="J130">
        <v>-0.22</v>
      </c>
      <c r="K130">
        <v>0.75</v>
      </c>
      <c r="L130">
        <v>8284.71</v>
      </c>
      <c r="M130" t="s">
        <v>365</v>
      </c>
      <c r="N130" t="s">
        <v>83</v>
      </c>
      <c r="O130">
        <v>4.4</v>
      </c>
      <c r="P130">
        <v>4.49</v>
      </c>
      <c r="Q130">
        <v>4.25</v>
      </c>
      <c r="R130">
        <v>4.38</v>
      </c>
      <c r="S130" t="s">
        <v>40</v>
      </c>
      <c r="T130">
        <v>0.92</v>
      </c>
      <c r="U130" t="s">
        <v>183</v>
      </c>
    </row>
    <row r="131" spans="1:21">
      <c r="A131" t="str">
        <f>"000540"</f>
        <v>000540</v>
      </c>
      <c r="B131" t="s">
        <v>366</v>
      </c>
      <c r="C131">
        <v>1.48</v>
      </c>
      <c r="D131">
        <v>2.74</v>
      </c>
      <c r="E131">
        <v>0.04</v>
      </c>
      <c r="F131">
        <v>2.73</v>
      </c>
      <c r="G131">
        <v>2.74</v>
      </c>
      <c r="H131">
        <v>376110</v>
      </c>
      <c r="I131">
        <v>4065</v>
      </c>
      <c r="J131">
        <v>0.37</v>
      </c>
      <c r="K131">
        <v>0.54</v>
      </c>
      <c r="L131">
        <v>10236.89</v>
      </c>
      <c r="M131" t="s">
        <v>367</v>
      </c>
      <c r="N131" t="s">
        <v>121</v>
      </c>
      <c r="O131">
        <v>2.69</v>
      </c>
      <c r="P131">
        <v>2.77</v>
      </c>
      <c r="Q131">
        <v>2.67</v>
      </c>
      <c r="R131">
        <v>2.7</v>
      </c>
      <c r="S131" t="s">
        <v>40</v>
      </c>
      <c r="T131">
        <v>0.94</v>
      </c>
      <c r="U131" t="s">
        <v>368</v>
      </c>
    </row>
    <row r="132" spans="1:21">
      <c r="A132" t="str">
        <f>"000541"</f>
        <v>000541</v>
      </c>
      <c r="B132" t="s">
        <v>369</v>
      </c>
      <c r="C132">
        <v>0.89</v>
      </c>
      <c r="D132">
        <v>5.67</v>
      </c>
      <c r="E132">
        <v>0.05</v>
      </c>
      <c r="F132">
        <v>5.67</v>
      </c>
      <c r="G132">
        <v>5.68</v>
      </c>
      <c r="H132">
        <v>26323</v>
      </c>
      <c r="I132">
        <v>115</v>
      </c>
      <c r="J132">
        <v>-0.34</v>
      </c>
      <c r="K132">
        <v>0.25</v>
      </c>
      <c r="L132">
        <v>1491.59</v>
      </c>
      <c r="M132" t="s">
        <v>370</v>
      </c>
      <c r="N132" t="s">
        <v>60</v>
      </c>
      <c r="O132">
        <v>5.62</v>
      </c>
      <c r="P132">
        <v>5.71</v>
      </c>
      <c r="Q132">
        <v>5.61</v>
      </c>
      <c r="R132">
        <v>5.62</v>
      </c>
      <c r="S132">
        <v>30.99</v>
      </c>
      <c r="T132">
        <v>0.91</v>
      </c>
      <c r="U132" t="s">
        <v>183</v>
      </c>
    </row>
    <row r="133" spans="1:21">
      <c r="A133" t="str">
        <f>"000543"</f>
        <v>000543</v>
      </c>
      <c r="B133" t="s">
        <v>371</v>
      </c>
      <c r="C133">
        <v>-0.52</v>
      </c>
      <c r="D133">
        <v>3.83</v>
      </c>
      <c r="E133">
        <v>-0.02</v>
      </c>
      <c r="F133">
        <v>3.83</v>
      </c>
      <c r="G133">
        <v>3.84</v>
      </c>
      <c r="H133">
        <v>218620</v>
      </c>
      <c r="I133">
        <v>23895</v>
      </c>
      <c r="J133">
        <v>0</v>
      </c>
      <c r="K133">
        <v>1.22</v>
      </c>
      <c r="L133">
        <v>8339.47</v>
      </c>
      <c r="M133" t="s">
        <v>372</v>
      </c>
      <c r="N133" t="s">
        <v>83</v>
      </c>
      <c r="O133">
        <v>3.85</v>
      </c>
      <c r="P133">
        <v>3.85</v>
      </c>
      <c r="Q133">
        <v>3.78</v>
      </c>
      <c r="R133">
        <v>3.85</v>
      </c>
      <c r="S133" t="s">
        <v>40</v>
      </c>
      <c r="T133">
        <v>0.96</v>
      </c>
      <c r="U133" t="s">
        <v>193</v>
      </c>
    </row>
    <row r="134" spans="1:21">
      <c r="A134" t="str">
        <f>"000544"</f>
        <v>000544</v>
      </c>
      <c r="B134" t="s">
        <v>373</v>
      </c>
      <c r="C134">
        <v>0.32</v>
      </c>
      <c r="D134">
        <v>6.28</v>
      </c>
      <c r="E134">
        <v>0.02</v>
      </c>
      <c r="F134">
        <v>6.28</v>
      </c>
      <c r="G134">
        <v>6.29</v>
      </c>
      <c r="H134">
        <v>28780</v>
      </c>
      <c r="I134">
        <v>187</v>
      </c>
      <c r="J134">
        <v>-0.15</v>
      </c>
      <c r="K134">
        <v>0.3</v>
      </c>
      <c r="L134">
        <v>1799.45</v>
      </c>
      <c r="M134" t="s">
        <v>374</v>
      </c>
      <c r="N134" t="s">
        <v>33</v>
      </c>
      <c r="O134">
        <v>6.27</v>
      </c>
      <c r="P134">
        <v>6.29</v>
      </c>
      <c r="Q134">
        <v>6.21</v>
      </c>
      <c r="R134">
        <v>6.26</v>
      </c>
      <c r="S134">
        <v>9.85</v>
      </c>
      <c r="T134">
        <v>1.01</v>
      </c>
      <c r="U134" t="s">
        <v>224</v>
      </c>
    </row>
    <row r="135" spans="1:21">
      <c r="A135" t="str">
        <f>"000545"</f>
        <v>000545</v>
      </c>
      <c r="B135" t="s">
        <v>375</v>
      </c>
      <c r="C135">
        <v>1.04</v>
      </c>
      <c r="D135">
        <v>3.9</v>
      </c>
      <c r="E135">
        <v>0.04</v>
      </c>
      <c r="F135">
        <v>3.9</v>
      </c>
      <c r="G135">
        <v>3.91</v>
      </c>
      <c r="H135">
        <v>291166</v>
      </c>
      <c r="I135">
        <v>5350</v>
      </c>
      <c r="J135">
        <v>0.26</v>
      </c>
      <c r="K135">
        <v>2.95</v>
      </c>
      <c r="L135">
        <v>11200.67</v>
      </c>
      <c r="M135" t="s">
        <v>376</v>
      </c>
      <c r="N135" t="s">
        <v>309</v>
      </c>
      <c r="O135">
        <v>3.85</v>
      </c>
      <c r="P135">
        <v>3.92</v>
      </c>
      <c r="Q135">
        <v>3.76</v>
      </c>
      <c r="R135">
        <v>3.86</v>
      </c>
      <c r="S135">
        <v>18.37</v>
      </c>
      <c r="T135">
        <v>1.19</v>
      </c>
      <c r="U135" t="s">
        <v>92</v>
      </c>
    </row>
    <row r="136" spans="1:21">
      <c r="A136" t="str">
        <f>"000546"</f>
        <v>000546</v>
      </c>
      <c r="B136" t="s">
        <v>377</v>
      </c>
      <c r="C136">
        <v>-4.93</v>
      </c>
      <c r="D136">
        <v>13.1</v>
      </c>
      <c r="E136">
        <v>-0.68</v>
      </c>
      <c r="F136">
        <v>13.1</v>
      </c>
      <c r="G136">
        <v>13.11</v>
      </c>
      <c r="H136">
        <v>878584</v>
      </c>
      <c r="I136">
        <v>14360</v>
      </c>
      <c r="J136">
        <v>-0.75</v>
      </c>
      <c r="K136">
        <v>12.3</v>
      </c>
      <c r="L136">
        <v>119222.41</v>
      </c>
      <c r="M136" t="s">
        <v>378</v>
      </c>
      <c r="N136" t="s">
        <v>33</v>
      </c>
      <c r="O136">
        <v>13.73</v>
      </c>
      <c r="P136">
        <v>14.17</v>
      </c>
      <c r="Q136">
        <v>13.06</v>
      </c>
      <c r="R136">
        <v>13.78</v>
      </c>
      <c r="S136">
        <v>20.21</v>
      </c>
      <c r="T136">
        <v>0.99</v>
      </c>
      <c r="U136" t="s">
        <v>92</v>
      </c>
    </row>
    <row r="137" spans="1:21">
      <c r="A137" t="str">
        <f>"000547"</f>
        <v>000547</v>
      </c>
      <c r="B137" t="s">
        <v>379</v>
      </c>
      <c r="C137">
        <v>0.88</v>
      </c>
      <c r="D137">
        <v>17.18</v>
      </c>
      <c r="E137">
        <v>0.15</v>
      </c>
      <c r="F137">
        <v>17.18</v>
      </c>
      <c r="G137">
        <v>17.19</v>
      </c>
      <c r="H137">
        <v>313060</v>
      </c>
      <c r="I137">
        <v>3115</v>
      </c>
      <c r="J137">
        <v>-0.05</v>
      </c>
      <c r="K137">
        <v>2.54</v>
      </c>
      <c r="L137">
        <v>53715.64</v>
      </c>
      <c r="M137" t="s">
        <v>380</v>
      </c>
      <c r="N137" t="s">
        <v>153</v>
      </c>
      <c r="O137">
        <v>17.04</v>
      </c>
      <c r="P137">
        <v>17.38</v>
      </c>
      <c r="Q137">
        <v>16.87</v>
      </c>
      <c r="R137">
        <v>17.03</v>
      </c>
      <c r="S137">
        <v>45.84</v>
      </c>
      <c r="T137">
        <v>0.67</v>
      </c>
      <c r="U137" t="s">
        <v>339</v>
      </c>
    </row>
    <row r="138" spans="1:21">
      <c r="A138" t="str">
        <f>"000548"</f>
        <v>000548</v>
      </c>
      <c r="B138" t="s">
        <v>381</v>
      </c>
      <c r="C138">
        <v>0.54</v>
      </c>
      <c r="D138">
        <v>3.72</v>
      </c>
      <c r="E138">
        <v>0.02</v>
      </c>
      <c r="F138">
        <v>3.72</v>
      </c>
      <c r="G138">
        <v>3.73</v>
      </c>
      <c r="H138">
        <v>20246</v>
      </c>
      <c r="I138">
        <v>97</v>
      </c>
      <c r="J138">
        <v>-0.26</v>
      </c>
      <c r="K138">
        <v>0.41</v>
      </c>
      <c r="L138">
        <v>750.6</v>
      </c>
      <c r="M138" t="s">
        <v>382</v>
      </c>
      <c r="N138" t="s">
        <v>280</v>
      </c>
      <c r="O138">
        <v>3.71</v>
      </c>
      <c r="P138">
        <v>3.73</v>
      </c>
      <c r="Q138">
        <v>3.68</v>
      </c>
      <c r="R138">
        <v>3.7</v>
      </c>
      <c r="S138">
        <v>36.71</v>
      </c>
      <c r="T138">
        <v>1.24</v>
      </c>
      <c r="U138" t="s">
        <v>204</v>
      </c>
    </row>
    <row r="139" spans="1:21">
      <c r="A139" t="str">
        <f>"000550"</f>
        <v>000550</v>
      </c>
      <c r="B139" t="s">
        <v>383</v>
      </c>
      <c r="C139">
        <v>1.47</v>
      </c>
      <c r="D139">
        <v>15.89</v>
      </c>
      <c r="E139">
        <v>0.23</v>
      </c>
      <c r="F139">
        <v>15.89</v>
      </c>
      <c r="G139">
        <v>15.9</v>
      </c>
      <c r="H139">
        <v>45906</v>
      </c>
      <c r="I139">
        <v>358</v>
      </c>
      <c r="J139">
        <v>0</v>
      </c>
      <c r="K139">
        <v>0.89</v>
      </c>
      <c r="L139">
        <v>7252.46</v>
      </c>
      <c r="M139" t="s">
        <v>384</v>
      </c>
      <c r="N139" t="s">
        <v>385</v>
      </c>
      <c r="O139">
        <v>15.66</v>
      </c>
      <c r="P139">
        <v>16.07</v>
      </c>
      <c r="Q139">
        <v>15.5</v>
      </c>
      <c r="R139">
        <v>15.66</v>
      </c>
      <c r="S139">
        <v>21.55</v>
      </c>
      <c r="T139">
        <v>1.04</v>
      </c>
      <c r="U139" t="s">
        <v>235</v>
      </c>
    </row>
    <row r="140" spans="1:21">
      <c r="A140" t="str">
        <f>"000551"</f>
        <v>000551</v>
      </c>
      <c r="B140" t="s">
        <v>386</v>
      </c>
      <c r="C140">
        <v>3.14</v>
      </c>
      <c r="D140">
        <v>10.5</v>
      </c>
      <c r="E140">
        <v>0.32</v>
      </c>
      <c r="F140">
        <v>10.49</v>
      </c>
      <c r="G140">
        <v>10.5</v>
      </c>
      <c r="H140">
        <v>71323</v>
      </c>
      <c r="I140">
        <v>723</v>
      </c>
      <c r="J140">
        <v>0.1</v>
      </c>
      <c r="K140">
        <v>1.78</v>
      </c>
      <c r="L140">
        <v>7385.29</v>
      </c>
      <c r="M140" t="s">
        <v>387</v>
      </c>
      <c r="N140" t="s">
        <v>324</v>
      </c>
      <c r="O140">
        <v>10.18</v>
      </c>
      <c r="P140">
        <v>10.5</v>
      </c>
      <c r="Q140">
        <v>10.12</v>
      </c>
      <c r="R140">
        <v>10.18</v>
      </c>
      <c r="S140">
        <v>34.18</v>
      </c>
      <c r="T140">
        <v>0.82</v>
      </c>
      <c r="U140" t="s">
        <v>102</v>
      </c>
    </row>
    <row r="141" spans="1:21">
      <c r="A141" t="str">
        <f>"000552"</f>
        <v>000552</v>
      </c>
      <c r="B141" t="s">
        <v>388</v>
      </c>
      <c r="C141">
        <v>2.06</v>
      </c>
      <c r="D141">
        <v>2.97</v>
      </c>
      <c r="E141">
        <v>0.06</v>
      </c>
      <c r="F141">
        <v>2.97</v>
      </c>
      <c r="G141">
        <v>2.98</v>
      </c>
      <c r="H141">
        <v>461812</v>
      </c>
      <c r="I141">
        <v>8895</v>
      </c>
      <c r="J141">
        <v>-0.66</v>
      </c>
      <c r="K141">
        <v>2.02</v>
      </c>
      <c r="L141">
        <v>13672.73</v>
      </c>
      <c r="M141" t="s">
        <v>389</v>
      </c>
      <c r="N141" t="s">
        <v>390</v>
      </c>
      <c r="O141">
        <v>2.94</v>
      </c>
      <c r="P141">
        <v>2.99</v>
      </c>
      <c r="Q141">
        <v>2.91</v>
      </c>
      <c r="R141">
        <v>2.91</v>
      </c>
      <c r="S141">
        <v>10.97</v>
      </c>
      <c r="T141">
        <v>1.68</v>
      </c>
      <c r="U141" t="s">
        <v>391</v>
      </c>
    </row>
    <row r="142" spans="1:21">
      <c r="A142" t="str">
        <f>"000553"</f>
        <v>000553</v>
      </c>
      <c r="B142" t="s">
        <v>392</v>
      </c>
      <c r="C142">
        <v>1.45</v>
      </c>
      <c r="D142">
        <v>7.72</v>
      </c>
      <c r="E142">
        <v>0.11</v>
      </c>
      <c r="F142">
        <v>7.71</v>
      </c>
      <c r="G142">
        <v>7.72</v>
      </c>
      <c r="H142">
        <v>32150</v>
      </c>
      <c r="I142">
        <v>375</v>
      </c>
      <c r="J142">
        <v>0</v>
      </c>
      <c r="K142">
        <v>0.15</v>
      </c>
      <c r="L142">
        <v>2463.94</v>
      </c>
      <c r="M142" t="s">
        <v>393</v>
      </c>
      <c r="N142" t="s">
        <v>241</v>
      </c>
      <c r="O142">
        <v>7.62</v>
      </c>
      <c r="P142">
        <v>7.73</v>
      </c>
      <c r="Q142">
        <v>7.58</v>
      </c>
      <c r="R142">
        <v>7.61</v>
      </c>
      <c r="S142" t="s">
        <v>40</v>
      </c>
      <c r="T142">
        <v>0.92</v>
      </c>
      <c r="U142" t="s">
        <v>267</v>
      </c>
    </row>
    <row r="143" spans="1:21">
      <c r="A143" t="str">
        <f>"000554"</f>
        <v>000554</v>
      </c>
      <c r="B143" t="s">
        <v>394</v>
      </c>
      <c r="C143">
        <v>2.81</v>
      </c>
      <c r="D143">
        <v>4.75</v>
      </c>
      <c r="E143">
        <v>0.13</v>
      </c>
      <c r="F143">
        <v>4.75</v>
      </c>
      <c r="G143">
        <v>4.76</v>
      </c>
      <c r="H143">
        <v>89563</v>
      </c>
      <c r="I143">
        <v>662</v>
      </c>
      <c r="J143">
        <v>-0.2</v>
      </c>
      <c r="K143">
        <v>2.47</v>
      </c>
      <c r="L143">
        <v>4220.13</v>
      </c>
      <c r="M143" t="s">
        <v>395</v>
      </c>
      <c r="N143" t="s">
        <v>177</v>
      </c>
      <c r="O143">
        <v>4.65</v>
      </c>
      <c r="P143">
        <v>4.77</v>
      </c>
      <c r="Q143">
        <v>4.62</v>
      </c>
      <c r="R143">
        <v>4.62</v>
      </c>
      <c r="S143">
        <v>429.23</v>
      </c>
      <c r="T143">
        <v>1.06</v>
      </c>
      <c r="U143" t="s">
        <v>221</v>
      </c>
    </row>
    <row r="144" spans="1:21">
      <c r="A144" t="str">
        <f>"000555"</f>
        <v>000555</v>
      </c>
      <c r="B144" t="s">
        <v>396</v>
      </c>
      <c r="C144">
        <v>0.78</v>
      </c>
      <c r="D144">
        <v>11.61</v>
      </c>
      <c r="E144">
        <v>0.09</v>
      </c>
      <c r="F144">
        <v>11.61</v>
      </c>
      <c r="G144">
        <v>11.62</v>
      </c>
      <c r="H144">
        <v>44840</v>
      </c>
      <c r="I144">
        <v>588</v>
      </c>
      <c r="J144">
        <v>0</v>
      </c>
      <c r="K144">
        <v>0.46</v>
      </c>
      <c r="L144">
        <v>5188.15</v>
      </c>
      <c r="M144" t="s">
        <v>397</v>
      </c>
      <c r="N144" t="s">
        <v>30</v>
      </c>
      <c r="O144">
        <v>11.51</v>
      </c>
      <c r="P144">
        <v>11.65</v>
      </c>
      <c r="Q144">
        <v>11.48</v>
      </c>
      <c r="R144">
        <v>11.52</v>
      </c>
      <c r="S144">
        <v>43.16</v>
      </c>
      <c r="T144">
        <v>0.85</v>
      </c>
      <c r="U144" t="s">
        <v>24</v>
      </c>
    </row>
    <row r="145" spans="1:21">
      <c r="A145" t="str">
        <f>"000557"</f>
        <v>000557</v>
      </c>
      <c r="B145" t="s">
        <v>398</v>
      </c>
      <c r="C145">
        <v>0.56</v>
      </c>
      <c r="D145">
        <v>3.57</v>
      </c>
      <c r="E145">
        <v>0.02</v>
      </c>
      <c r="F145">
        <v>3.56</v>
      </c>
      <c r="G145">
        <v>3.57</v>
      </c>
      <c r="H145">
        <v>48512</v>
      </c>
      <c r="I145">
        <v>2033</v>
      </c>
      <c r="J145">
        <v>0</v>
      </c>
      <c r="K145">
        <v>0.33</v>
      </c>
      <c r="L145">
        <v>1729.41</v>
      </c>
      <c r="M145" t="s">
        <v>399</v>
      </c>
      <c r="N145" t="s">
        <v>400</v>
      </c>
      <c r="O145">
        <v>3.55</v>
      </c>
      <c r="P145">
        <v>3.6</v>
      </c>
      <c r="Q145">
        <v>3.52</v>
      </c>
      <c r="R145">
        <v>3.55</v>
      </c>
      <c r="S145">
        <v>19.94</v>
      </c>
      <c r="T145">
        <v>0.69</v>
      </c>
      <c r="U145" t="s">
        <v>401</v>
      </c>
    </row>
    <row r="146" spans="1:21">
      <c r="A146" t="str">
        <f>"000558"</f>
        <v>000558</v>
      </c>
      <c r="B146" t="s">
        <v>402</v>
      </c>
      <c r="C146">
        <v>0.27</v>
      </c>
      <c r="D146">
        <v>3.67</v>
      </c>
      <c r="E146">
        <v>0.01</v>
      </c>
      <c r="F146">
        <v>3.67</v>
      </c>
      <c r="G146">
        <v>3.68</v>
      </c>
      <c r="H146">
        <v>267082</v>
      </c>
      <c r="I146">
        <v>6114</v>
      </c>
      <c r="J146">
        <v>-0.26</v>
      </c>
      <c r="K146">
        <v>2.07</v>
      </c>
      <c r="L146">
        <v>9877.3</v>
      </c>
      <c r="M146" t="s">
        <v>403</v>
      </c>
      <c r="N146" t="s">
        <v>63</v>
      </c>
      <c r="O146">
        <v>3.65</v>
      </c>
      <c r="P146">
        <v>3.78</v>
      </c>
      <c r="Q146">
        <v>3.64</v>
      </c>
      <c r="R146">
        <v>3.66</v>
      </c>
      <c r="S146" t="s">
        <v>40</v>
      </c>
      <c r="T146">
        <v>0.65</v>
      </c>
      <c r="U146" t="s">
        <v>200</v>
      </c>
    </row>
    <row r="147" spans="1:21">
      <c r="A147" t="str">
        <f>"000559"</f>
        <v>000559</v>
      </c>
      <c r="B147" t="s">
        <v>404</v>
      </c>
      <c r="C147">
        <v>0.81</v>
      </c>
      <c r="D147">
        <v>6.19</v>
      </c>
      <c r="E147">
        <v>0.05</v>
      </c>
      <c r="F147">
        <v>6.18</v>
      </c>
      <c r="G147">
        <v>6.19</v>
      </c>
      <c r="H147">
        <v>217155</v>
      </c>
      <c r="I147">
        <v>2161</v>
      </c>
      <c r="J147">
        <v>0.16</v>
      </c>
      <c r="K147">
        <v>0.79</v>
      </c>
      <c r="L147">
        <v>13352.75</v>
      </c>
      <c r="M147" t="s">
        <v>405</v>
      </c>
      <c r="N147" t="s">
        <v>91</v>
      </c>
      <c r="O147">
        <v>6.14</v>
      </c>
      <c r="P147">
        <v>6.2</v>
      </c>
      <c r="Q147">
        <v>6.07</v>
      </c>
      <c r="R147">
        <v>6.14</v>
      </c>
      <c r="S147">
        <v>29.81</v>
      </c>
      <c r="T147">
        <v>0.62</v>
      </c>
      <c r="U147" t="s">
        <v>200</v>
      </c>
    </row>
    <row r="148" spans="1:21">
      <c r="A148" t="str">
        <f>"000560"</f>
        <v>000560</v>
      </c>
      <c r="B148" t="s">
        <v>406</v>
      </c>
      <c r="C148">
        <v>1.35</v>
      </c>
      <c r="D148">
        <v>3.01</v>
      </c>
      <c r="E148">
        <v>0.04</v>
      </c>
      <c r="F148">
        <v>3.01</v>
      </c>
      <c r="G148">
        <v>3.02</v>
      </c>
      <c r="H148">
        <v>108170</v>
      </c>
      <c r="I148">
        <v>1491</v>
      </c>
      <c r="J148">
        <v>-0.32</v>
      </c>
      <c r="K148">
        <v>0.48</v>
      </c>
      <c r="L148">
        <v>3236.24</v>
      </c>
      <c r="M148" t="s">
        <v>407</v>
      </c>
      <c r="N148" t="s">
        <v>134</v>
      </c>
      <c r="O148">
        <v>2.97</v>
      </c>
      <c r="P148">
        <v>3.03</v>
      </c>
      <c r="Q148">
        <v>2.96</v>
      </c>
      <c r="R148">
        <v>2.97</v>
      </c>
      <c r="S148">
        <v>11.15</v>
      </c>
      <c r="T148">
        <v>0.81</v>
      </c>
      <c r="U148" t="s">
        <v>363</v>
      </c>
    </row>
    <row r="149" spans="1:21">
      <c r="A149" t="str">
        <f>"000561"</f>
        <v>000561</v>
      </c>
      <c r="B149" t="s">
        <v>408</v>
      </c>
      <c r="C149">
        <v>-0.26</v>
      </c>
      <c r="D149">
        <v>7.73</v>
      </c>
      <c r="E149">
        <v>-0.02</v>
      </c>
      <c r="F149">
        <v>7.72</v>
      </c>
      <c r="G149">
        <v>7.73</v>
      </c>
      <c r="H149">
        <v>50247</v>
      </c>
      <c r="I149">
        <v>377</v>
      </c>
      <c r="J149">
        <v>0.13</v>
      </c>
      <c r="K149">
        <v>0.83</v>
      </c>
      <c r="L149">
        <v>3883.98</v>
      </c>
      <c r="M149" t="s">
        <v>409</v>
      </c>
      <c r="N149" t="s">
        <v>153</v>
      </c>
      <c r="O149">
        <v>7.74</v>
      </c>
      <c r="P149">
        <v>7.78</v>
      </c>
      <c r="Q149">
        <v>7.67</v>
      </c>
      <c r="R149">
        <v>7.75</v>
      </c>
      <c r="S149">
        <v>632.92</v>
      </c>
      <c r="T149">
        <v>0.65</v>
      </c>
      <c r="U149" t="s">
        <v>317</v>
      </c>
    </row>
    <row r="150" spans="1:21">
      <c r="A150" t="str">
        <f>"000563"</f>
        <v>000563</v>
      </c>
      <c r="B150" t="s">
        <v>410</v>
      </c>
      <c r="C150">
        <v>1.29</v>
      </c>
      <c r="D150">
        <v>3.14</v>
      </c>
      <c r="E150">
        <v>0.04</v>
      </c>
      <c r="F150">
        <v>3.13</v>
      </c>
      <c r="G150">
        <v>3.14</v>
      </c>
      <c r="H150">
        <v>137024</v>
      </c>
      <c r="I150">
        <v>2182</v>
      </c>
      <c r="J150">
        <v>0.32</v>
      </c>
      <c r="K150">
        <v>0.35</v>
      </c>
      <c r="L150">
        <v>4265.08</v>
      </c>
      <c r="M150" t="s">
        <v>411</v>
      </c>
      <c r="N150" t="s">
        <v>121</v>
      </c>
      <c r="O150">
        <v>3.11</v>
      </c>
      <c r="P150">
        <v>3.14</v>
      </c>
      <c r="Q150">
        <v>3.08</v>
      </c>
      <c r="R150">
        <v>3.1</v>
      </c>
      <c r="S150">
        <v>15.98</v>
      </c>
      <c r="T150">
        <v>1.51</v>
      </c>
      <c r="U150" t="s">
        <v>317</v>
      </c>
    </row>
    <row r="151" spans="1:21">
      <c r="A151" t="str">
        <f>"000564"</f>
        <v>000564</v>
      </c>
      <c r="B151" t="s">
        <v>412</v>
      </c>
      <c r="C151">
        <v>0</v>
      </c>
      <c r="D151">
        <v>4.35</v>
      </c>
      <c r="E151">
        <v>0</v>
      </c>
      <c r="F151">
        <v>4.34</v>
      </c>
      <c r="G151">
        <v>4.35</v>
      </c>
      <c r="H151">
        <v>138672</v>
      </c>
      <c r="I151">
        <v>1122</v>
      </c>
      <c r="J151">
        <v>0.23</v>
      </c>
      <c r="K151">
        <v>0.69</v>
      </c>
      <c r="L151">
        <v>5995.63</v>
      </c>
      <c r="M151" t="s">
        <v>413</v>
      </c>
      <c r="N151" t="s">
        <v>258</v>
      </c>
      <c r="O151">
        <v>4.32</v>
      </c>
      <c r="P151">
        <v>4.38</v>
      </c>
      <c r="Q151">
        <v>4.27</v>
      </c>
      <c r="R151">
        <v>4.35</v>
      </c>
      <c r="S151" t="s">
        <v>40</v>
      </c>
      <c r="T151">
        <v>0.61</v>
      </c>
      <c r="U151" t="s">
        <v>317</v>
      </c>
    </row>
    <row r="152" spans="1:21">
      <c r="A152" t="str">
        <f>"000565"</f>
        <v>000565</v>
      </c>
      <c r="B152" t="s">
        <v>414</v>
      </c>
      <c r="C152">
        <v>1.79</v>
      </c>
      <c r="D152">
        <v>5.7</v>
      </c>
      <c r="E152">
        <v>0.1</v>
      </c>
      <c r="F152">
        <v>5.7</v>
      </c>
      <c r="G152">
        <v>5.71</v>
      </c>
      <c r="H152">
        <v>51382</v>
      </c>
      <c r="I152">
        <v>434</v>
      </c>
      <c r="J152">
        <v>0</v>
      </c>
      <c r="K152">
        <v>1.19</v>
      </c>
      <c r="L152">
        <v>2889.38</v>
      </c>
      <c r="M152" t="s">
        <v>415</v>
      </c>
      <c r="N152" t="s">
        <v>416</v>
      </c>
      <c r="O152">
        <v>5.6</v>
      </c>
      <c r="P152">
        <v>5.71</v>
      </c>
      <c r="Q152">
        <v>5.5</v>
      </c>
      <c r="R152">
        <v>5.6</v>
      </c>
      <c r="S152">
        <v>25.31</v>
      </c>
      <c r="T152">
        <v>1.49</v>
      </c>
      <c r="U152" t="s">
        <v>314</v>
      </c>
    </row>
    <row r="153" spans="1:21">
      <c r="A153" t="str">
        <f>"000566"</f>
        <v>000566</v>
      </c>
      <c r="B153" t="s">
        <v>417</v>
      </c>
      <c r="C153">
        <v>0.22</v>
      </c>
      <c r="D153">
        <v>4.59</v>
      </c>
      <c r="E153">
        <v>0.01</v>
      </c>
      <c r="F153">
        <v>4.59</v>
      </c>
      <c r="G153">
        <v>4.6</v>
      </c>
      <c r="H153">
        <v>114070</v>
      </c>
      <c r="I153">
        <v>1677</v>
      </c>
      <c r="J153">
        <v>-0.21</v>
      </c>
      <c r="K153">
        <v>0.98</v>
      </c>
      <c r="L153">
        <v>5230.99</v>
      </c>
      <c r="M153" t="s">
        <v>418</v>
      </c>
      <c r="N153" t="s">
        <v>192</v>
      </c>
      <c r="O153">
        <v>4.56</v>
      </c>
      <c r="P153">
        <v>4.62</v>
      </c>
      <c r="Q153">
        <v>4.53</v>
      </c>
      <c r="R153">
        <v>4.58</v>
      </c>
      <c r="S153" t="s">
        <v>40</v>
      </c>
      <c r="T153">
        <v>0.47</v>
      </c>
      <c r="U153" t="s">
        <v>294</v>
      </c>
    </row>
    <row r="154" spans="1:21">
      <c r="A154" t="str">
        <f>"000567"</f>
        <v>000567</v>
      </c>
      <c r="B154" t="s">
        <v>419</v>
      </c>
      <c r="C154">
        <v>-9.57</v>
      </c>
      <c r="D154">
        <v>15.88</v>
      </c>
      <c r="E154">
        <v>-1.68</v>
      </c>
      <c r="F154">
        <v>15.87</v>
      </c>
      <c r="G154">
        <v>15.88</v>
      </c>
      <c r="H154">
        <v>260163</v>
      </c>
      <c r="I154">
        <v>1797</v>
      </c>
      <c r="J154">
        <v>0.13</v>
      </c>
      <c r="K154">
        <v>4.07</v>
      </c>
      <c r="L154">
        <v>41544.16</v>
      </c>
      <c r="M154" t="s">
        <v>420</v>
      </c>
      <c r="N154" t="s">
        <v>121</v>
      </c>
      <c r="O154">
        <v>15.8</v>
      </c>
      <c r="P154">
        <v>16.52</v>
      </c>
      <c r="Q154">
        <v>15.8</v>
      </c>
      <c r="R154">
        <v>17.56</v>
      </c>
      <c r="S154">
        <v>33.06</v>
      </c>
      <c r="T154">
        <v>3.73</v>
      </c>
      <c r="U154" t="s">
        <v>294</v>
      </c>
    </row>
    <row r="155" spans="1:21">
      <c r="A155" t="str">
        <f>"000568"</f>
        <v>000568</v>
      </c>
      <c r="B155" t="s">
        <v>421</v>
      </c>
      <c r="C155">
        <v>3.31</v>
      </c>
      <c r="D155">
        <v>230.53</v>
      </c>
      <c r="E155">
        <v>7.38</v>
      </c>
      <c r="F155">
        <v>230.52</v>
      </c>
      <c r="G155">
        <v>230.53</v>
      </c>
      <c r="H155">
        <v>128510</v>
      </c>
      <c r="I155">
        <v>1042</v>
      </c>
      <c r="J155">
        <v>0.02</v>
      </c>
      <c r="K155">
        <v>0.88</v>
      </c>
      <c r="L155">
        <v>296657.97</v>
      </c>
      <c r="M155" t="s">
        <v>422</v>
      </c>
      <c r="N155" t="s">
        <v>423</v>
      </c>
      <c r="O155">
        <v>221.05</v>
      </c>
      <c r="P155">
        <v>234.88</v>
      </c>
      <c r="Q155">
        <v>221.05</v>
      </c>
      <c r="R155">
        <v>223.15</v>
      </c>
      <c r="S155">
        <v>40.36</v>
      </c>
      <c r="T155">
        <v>1.16</v>
      </c>
      <c r="U155" t="s">
        <v>196</v>
      </c>
    </row>
    <row r="156" spans="1:21">
      <c r="A156" t="str">
        <f>"000570"</f>
        <v>000570</v>
      </c>
      <c r="B156" t="s">
        <v>424</v>
      </c>
      <c r="C156">
        <v>3.21</v>
      </c>
      <c r="D156">
        <v>6.1</v>
      </c>
      <c r="E156">
        <v>0.19</v>
      </c>
      <c r="F156">
        <v>6.09</v>
      </c>
      <c r="G156">
        <v>6.1</v>
      </c>
      <c r="H156">
        <v>87086</v>
      </c>
      <c r="I156">
        <v>5641</v>
      </c>
      <c r="J156">
        <v>0.33</v>
      </c>
      <c r="K156">
        <v>2.12</v>
      </c>
      <c r="L156">
        <v>5222.84</v>
      </c>
      <c r="M156" t="s">
        <v>425</v>
      </c>
      <c r="N156" t="s">
        <v>347</v>
      </c>
      <c r="O156">
        <v>5.89</v>
      </c>
      <c r="P156">
        <v>6.1</v>
      </c>
      <c r="Q156">
        <v>5.83</v>
      </c>
      <c r="R156">
        <v>5.91</v>
      </c>
      <c r="S156">
        <v>30.54</v>
      </c>
      <c r="T156">
        <v>1.49</v>
      </c>
      <c r="U156" t="s">
        <v>102</v>
      </c>
    </row>
    <row r="157" spans="1:21">
      <c r="A157" t="str">
        <f>"000571"</f>
        <v>000571</v>
      </c>
      <c r="B157" t="s">
        <v>426</v>
      </c>
      <c r="C157">
        <v>-2.92</v>
      </c>
      <c r="D157">
        <v>2.66</v>
      </c>
      <c r="E157">
        <v>-0.08</v>
      </c>
      <c r="F157">
        <v>2.66</v>
      </c>
      <c r="G157">
        <v>2.67</v>
      </c>
      <c r="H157">
        <v>101147</v>
      </c>
      <c r="I157">
        <v>1970</v>
      </c>
      <c r="J157">
        <v>-0.36</v>
      </c>
      <c r="K157">
        <v>1.24</v>
      </c>
      <c r="L157">
        <v>2711.77</v>
      </c>
      <c r="M157" t="s">
        <v>331</v>
      </c>
      <c r="N157" t="s">
        <v>390</v>
      </c>
      <c r="O157">
        <v>2.72</v>
      </c>
      <c r="P157">
        <v>2.76</v>
      </c>
      <c r="Q157">
        <v>2.64</v>
      </c>
      <c r="R157">
        <v>2.74</v>
      </c>
      <c r="S157" t="s">
        <v>40</v>
      </c>
      <c r="T157">
        <v>0.69</v>
      </c>
      <c r="U157" t="s">
        <v>294</v>
      </c>
    </row>
    <row r="158" spans="1:21">
      <c r="A158" t="str">
        <f>"000572"</f>
        <v>000572</v>
      </c>
      <c r="B158" t="s">
        <v>427</v>
      </c>
      <c r="C158">
        <v>2.54</v>
      </c>
      <c r="D158">
        <v>5.66</v>
      </c>
      <c r="E158">
        <v>0.14</v>
      </c>
      <c r="F158">
        <v>5.66</v>
      </c>
      <c r="G158">
        <v>5.67</v>
      </c>
      <c r="H158">
        <v>405780</v>
      </c>
      <c r="I158">
        <v>4895</v>
      </c>
      <c r="J158">
        <v>0.18</v>
      </c>
      <c r="K158">
        <v>2.47</v>
      </c>
      <c r="L158">
        <v>22672.68</v>
      </c>
      <c r="M158" t="s">
        <v>428</v>
      </c>
      <c r="N158" t="s">
        <v>385</v>
      </c>
      <c r="O158">
        <v>5.45</v>
      </c>
      <c r="P158">
        <v>5.75</v>
      </c>
      <c r="Q158">
        <v>5.37</v>
      </c>
      <c r="R158">
        <v>5.52</v>
      </c>
      <c r="S158" t="s">
        <v>40</v>
      </c>
      <c r="T158">
        <v>1.8</v>
      </c>
      <c r="U158" t="s">
        <v>294</v>
      </c>
    </row>
    <row r="159" spans="1:21">
      <c r="A159" t="str">
        <f>"000573"</f>
        <v>000573</v>
      </c>
      <c r="B159" t="s">
        <v>429</v>
      </c>
      <c r="C159">
        <v>1.02</v>
      </c>
      <c r="D159">
        <v>2.97</v>
      </c>
      <c r="E159">
        <v>0.03</v>
      </c>
      <c r="F159">
        <v>2.96</v>
      </c>
      <c r="G159">
        <v>2.97</v>
      </c>
      <c r="H159">
        <v>55182</v>
      </c>
      <c r="I159">
        <v>535</v>
      </c>
      <c r="J159">
        <v>0</v>
      </c>
      <c r="K159">
        <v>0.87</v>
      </c>
      <c r="L159">
        <v>1624.11</v>
      </c>
      <c r="M159" t="s">
        <v>430</v>
      </c>
      <c r="N159" t="s">
        <v>36</v>
      </c>
      <c r="O159">
        <v>2.92</v>
      </c>
      <c r="P159">
        <v>2.98</v>
      </c>
      <c r="Q159">
        <v>2.9</v>
      </c>
      <c r="R159">
        <v>2.94</v>
      </c>
      <c r="S159">
        <v>10.65</v>
      </c>
      <c r="T159">
        <v>0.85</v>
      </c>
      <c r="U159" t="s">
        <v>183</v>
      </c>
    </row>
    <row r="160" spans="1:21">
      <c r="A160" t="str">
        <f>"000576"</f>
        <v>000576</v>
      </c>
      <c r="B160" t="s">
        <v>431</v>
      </c>
      <c r="C160">
        <v>1.21</v>
      </c>
      <c r="D160">
        <v>12.58</v>
      </c>
      <c r="E160">
        <v>0.15</v>
      </c>
      <c r="F160">
        <v>12.58</v>
      </c>
      <c r="G160">
        <v>12.59</v>
      </c>
      <c r="H160">
        <v>88529</v>
      </c>
      <c r="I160">
        <v>1031</v>
      </c>
      <c r="J160">
        <v>0</v>
      </c>
      <c r="K160">
        <v>2.09</v>
      </c>
      <c r="L160">
        <v>11097.98</v>
      </c>
      <c r="M160" t="s">
        <v>432</v>
      </c>
      <c r="N160" t="s">
        <v>299</v>
      </c>
      <c r="O160">
        <v>12.45</v>
      </c>
      <c r="P160">
        <v>12.64</v>
      </c>
      <c r="Q160">
        <v>12.3</v>
      </c>
      <c r="R160">
        <v>12.43</v>
      </c>
      <c r="S160">
        <v>42.92</v>
      </c>
      <c r="T160">
        <v>0.71</v>
      </c>
      <c r="U160" t="s">
        <v>183</v>
      </c>
    </row>
    <row r="161" spans="1:21">
      <c r="A161" t="str">
        <f>"000581"</f>
        <v>000581</v>
      </c>
      <c r="B161" t="s">
        <v>433</v>
      </c>
      <c r="C161">
        <v>2.02</v>
      </c>
      <c r="D161">
        <v>22.25</v>
      </c>
      <c r="E161">
        <v>0.44</v>
      </c>
      <c r="F161">
        <v>22.25</v>
      </c>
      <c r="G161">
        <v>22.26</v>
      </c>
      <c r="H161">
        <v>158626</v>
      </c>
      <c r="I161">
        <v>2056</v>
      </c>
      <c r="J161">
        <v>0.18</v>
      </c>
      <c r="K161">
        <v>1.94</v>
      </c>
      <c r="L161">
        <v>35132.4</v>
      </c>
      <c r="M161" t="s">
        <v>434</v>
      </c>
      <c r="N161" t="s">
        <v>91</v>
      </c>
      <c r="O161">
        <v>21.66</v>
      </c>
      <c r="P161">
        <v>22.42</v>
      </c>
      <c r="Q161">
        <v>21.62</v>
      </c>
      <c r="R161">
        <v>21.81</v>
      </c>
      <c r="S161">
        <v>7.9</v>
      </c>
      <c r="T161">
        <v>0.93</v>
      </c>
      <c r="U161" t="s">
        <v>102</v>
      </c>
    </row>
    <row r="162" spans="1:21">
      <c r="A162" t="str">
        <f>"000582"</f>
        <v>000582</v>
      </c>
      <c r="B162" t="s">
        <v>435</v>
      </c>
      <c r="C162">
        <v>2.47</v>
      </c>
      <c r="D162">
        <v>7.88</v>
      </c>
      <c r="E162">
        <v>0.19</v>
      </c>
      <c r="F162">
        <v>7.87</v>
      </c>
      <c r="G162">
        <v>7.88</v>
      </c>
      <c r="H162">
        <v>48624</v>
      </c>
      <c r="I162">
        <v>809</v>
      </c>
      <c r="J162">
        <v>0</v>
      </c>
      <c r="K162">
        <v>0.38</v>
      </c>
      <c r="L162">
        <v>3787.59</v>
      </c>
      <c r="M162" t="s">
        <v>436</v>
      </c>
      <c r="N162" t="s">
        <v>169</v>
      </c>
      <c r="O162">
        <v>7.81</v>
      </c>
      <c r="P162">
        <v>7.89</v>
      </c>
      <c r="Q162">
        <v>7.65</v>
      </c>
      <c r="R162">
        <v>7.69</v>
      </c>
      <c r="S162">
        <v>12.89</v>
      </c>
      <c r="T162">
        <v>1.76</v>
      </c>
      <c r="U162" t="s">
        <v>342</v>
      </c>
    </row>
    <row r="163" spans="1:21">
      <c r="A163" t="str">
        <f>"000584"</f>
        <v>000584</v>
      </c>
      <c r="B163" t="s">
        <v>437</v>
      </c>
      <c r="C163">
        <v>0.38</v>
      </c>
      <c r="D163">
        <v>5.31</v>
      </c>
      <c r="E163">
        <v>0.02</v>
      </c>
      <c r="F163">
        <v>5.31</v>
      </c>
      <c r="G163">
        <v>5.32</v>
      </c>
      <c r="H163">
        <v>105656</v>
      </c>
      <c r="I163">
        <v>878</v>
      </c>
      <c r="J163">
        <v>0</v>
      </c>
      <c r="K163">
        <v>1.44</v>
      </c>
      <c r="L163">
        <v>5610.79</v>
      </c>
      <c r="M163" t="s">
        <v>438</v>
      </c>
      <c r="N163" t="s">
        <v>324</v>
      </c>
      <c r="O163">
        <v>5.27</v>
      </c>
      <c r="P163">
        <v>5.36</v>
      </c>
      <c r="Q163">
        <v>5.27</v>
      </c>
      <c r="R163">
        <v>5.29</v>
      </c>
      <c r="S163" t="s">
        <v>40</v>
      </c>
      <c r="T163">
        <v>1.1</v>
      </c>
      <c r="U163" t="s">
        <v>102</v>
      </c>
    </row>
    <row r="164" spans="1:21">
      <c r="A164" t="str">
        <f>"000585"</f>
        <v>000585</v>
      </c>
      <c r="B164" t="s">
        <v>439</v>
      </c>
      <c r="C164">
        <v>-1.02</v>
      </c>
      <c r="D164">
        <v>1.95</v>
      </c>
      <c r="E164">
        <v>-0.02</v>
      </c>
      <c r="F164">
        <v>1.94</v>
      </c>
      <c r="G164">
        <v>1.95</v>
      </c>
      <c r="H164">
        <v>131023</v>
      </c>
      <c r="I164">
        <v>1462</v>
      </c>
      <c r="J164">
        <v>0.52</v>
      </c>
      <c r="K164">
        <v>2.15</v>
      </c>
      <c r="L164">
        <v>2575.29</v>
      </c>
      <c r="M164" t="s">
        <v>440</v>
      </c>
      <c r="N164" t="s">
        <v>47</v>
      </c>
      <c r="O164">
        <v>1.99</v>
      </c>
      <c r="P164">
        <v>2.03</v>
      </c>
      <c r="Q164">
        <v>1.92</v>
      </c>
      <c r="R164">
        <v>1.97</v>
      </c>
      <c r="S164">
        <v>53.54</v>
      </c>
      <c r="T164">
        <v>1.48</v>
      </c>
      <c r="U164" t="s">
        <v>294</v>
      </c>
    </row>
    <row r="165" spans="1:21">
      <c r="A165" t="str">
        <f>"000586"</f>
        <v>000586</v>
      </c>
      <c r="B165" t="s">
        <v>441</v>
      </c>
      <c r="C165">
        <v>0.84</v>
      </c>
      <c r="D165">
        <v>9.61</v>
      </c>
      <c r="E165">
        <v>0.08</v>
      </c>
      <c r="F165">
        <v>9.61</v>
      </c>
      <c r="G165">
        <v>9.62</v>
      </c>
      <c r="H165">
        <v>71957</v>
      </c>
      <c r="I165">
        <v>1292</v>
      </c>
      <c r="J165">
        <v>-0.2</v>
      </c>
      <c r="K165">
        <v>3.72</v>
      </c>
      <c r="L165">
        <v>6997.99</v>
      </c>
      <c r="M165" t="s">
        <v>442</v>
      </c>
      <c r="N165" t="s">
        <v>153</v>
      </c>
      <c r="O165">
        <v>9.53</v>
      </c>
      <c r="P165">
        <v>9.98</v>
      </c>
      <c r="Q165">
        <v>9.45</v>
      </c>
      <c r="R165">
        <v>9.53</v>
      </c>
      <c r="S165">
        <v>61.5</v>
      </c>
      <c r="T165">
        <v>0.74</v>
      </c>
      <c r="U165" t="s">
        <v>196</v>
      </c>
    </row>
    <row r="166" spans="1:21">
      <c r="A166" t="str">
        <f>"000587"</f>
        <v>000587</v>
      </c>
      <c r="B166" t="s">
        <v>443</v>
      </c>
      <c r="C166">
        <v>4.96</v>
      </c>
      <c r="D166">
        <v>1.48</v>
      </c>
      <c r="E166">
        <v>0.07</v>
      </c>
      <c r="F166">
        <v>1.48</v>
      </c>
      <c r="G166" t="s">
        <v>40</v>
      </c>
      <c r="H166">
        <v>110219</v>
      </c>
      <c r="I166">
        <v>160</v>
      </c>
      <c r="J166">
        <v>0</v>
      </c>
      <c r="K166">
        <v>0.91</v>
      </c>
      <c r="L166">
        <v>1630.71</v>
      </c>
      <c r="M166" t="s">
        <v>444</v>
      </c>
      <c r="N166" t="s">
        <v>150</v>
      </c>
      <c r="O166">
        <v>1.48</v>
      </c>
      <c r="P166">
        <v>1.48</v>
      </c>
      <c r="Q166">
        <v>1.45</v>
      </c>
      <c r="R166">
        <v>1.41</v>
      </c>
      <c r="S166" t="s">
        <v>40</v>
      </c>
      <c r="T166">
        <v>0.41</v>
      </c>
      <c r="U166" t="s">
        <v>445</v>
      </c>
    </row>
    <row r="167" spans="1:21">
      <c r="A167" t="str">
        <f>"000589"</f>
        <v>000589</v>
      </c>
      <c r="B167" t="s">
        <v>446</v>
      </c>
      <c r="C167">
        <v>-0.18</v>
      </c>
      <c r="D167">
        <v>5.52</v>
      </c>
      <c r="E167">
        <v>-0.01</v>
      </c>
      <c r="F167">
        <v>5.51</v>
      </c>
      <c r="G167">
        <v>5.52</v>
      </c>
      <c r="H167">
        <v>44459</v>
      </c>
      <c r="I167">
        <v>478</v>
      </c>
      <c r="J167">
        <v>0</v>
      </c>
      <c r="K167">
        <v>0.51</v>
      </c>
      <c r="L167">
        <v>2451.34</v>
      </c>
      <c r="M167" t="s">
        <v>447</v>
      </c>
      <c r="N167" t="s">
        <v>91</v>
      </c>
      <c r="O167">
        <v>5.52</v>
      </c>
      <c r="P167">
        <v>5.55</v>
      </c>
      <c r="Q167">
        <v>5.48</v>
      </c>
      <c r="R167">
        <v>5.53</v>
      </c>
      <c r="S167">
        <v>16.04</v>
      </c>
      <c r="T167">
        <v>0.89</v>
      </c>
      <c r="U167" t="s">
        <v>368</v>
      </c>
    </row>
    <row r="168" spans="1:21">
      <c r="A168" t="str">
        <f>"000590"</f>
        <v>000590</v>
      </c>
      <c r="B168" t="s">
        <v>448</v>
      </c>
      <c r="C168">
        <v>1</v>
      </c>
      <c r="D168">
        <v>8.06</v>
      </c>
      <c r="E168">
        <v>0.08</v>
      </c>
      <c r="F168">
        <v>8.05</v>
      </c>
      <c r="G168">
        <v>8.06</v>
      </c>
      <c r="H168">
        <v>7084</v>
      </c>
      <c r="I168">
        <v>40</v>
      </c>
      <c r="J168">
        <v>0.37</v>
      </c>
      <c r="K168">
        <v>0.3</v>
      </c>
      <c r="L168">
        <v>569.22</v>
      </c>
      <c r="M168" t="s">
        <v>449</v>
      </c>
      <c r="N168" t="s">
        <v>270</v>
      </c>
      <c r="O168">
        <v>7.98</v>
      </c>
      <c r="P168">
        <v>8.06</v>
      </c>
      <c r="Q168">
        <v>7.98</v>
      </c>
      <c r="R168">
        <v>7.98</v>
      </c>
      <c r="S168">
        <v>37.06</v>
      </c>
      <c r="T168">
        <v>0.56</v>
      </c>
      <c r="U168" t="s">
        <v>204</v>
      </c>
    </row>
    <row r="169" spans="1:21">
      <c r="A169" t="str">
        <f>"000591"</f>
        <v>000591</v>
      </c>
      <c r="B169" t="s">
        <v>450</v>
      </c>
      <c r="C169">
        <v>1.18</v>
      </c>
      <c r="D169">
        <v>9.45</v>
      </c>
      <c r="E169">
        <v>0.11</v>
      </c>
      <c r="F169">
        <v>9.45</v>
      </c>
      <c r="G169">
        <v>9.46</v>
      </c>
      <c r="H169">
        <v>1076564</v>
      </c>
      <c r="I169">
        <v>17019</v>
      </c>
      <c r="J169">
        <v>-0.2</v>
      </c>
      <c r="K169">
        <v>5.28</v>
      </c>
      <c r="L169">
        <v>100851.16</v>
      </c>
      <c r="M169" t="s">
        <v>451</v>
      </c>
      <c r="N169" t="s">
        <v>114</v>
      </c>
      <c r="O169">
        <v>9.38</v>
      </c>
      <c r="P169">
        <v>9.55</v>
      </c>
      <c r="Q169">
        <v>9.16</v>
      </c>
      <c r="R169">
        <v>9.34</v>
      </c>
      <c r="S169">
        <v>17.94</v>
      </c>
      <c r="T169">
        <v>0.83</v>
      </c>
      <c r="U169" t="s">
        <v>314</v>
      </c>
    </row>
    <row r="170" spans="1:21">
      <c r="A170" t="str">
        <f>"000592"</f>
        <v>000592</v>
      </c>
      <c r="B170" t="s">
        <v>452</v>
      </c>
      <c r="C170">
        <v>0</v>
      </c>
      <c r="D170">
        <v>2.83</v>
      </c>
      <c r="E170">
        <v>0</v>
      </c>
      <c r="F170">
        <v>2.82</v>
      </c>
      <c r="G170">
        <v>2.83</v>
      </c>
      <c r="H170">
        <v>300949</v>
      </c>
      <c r="I170">
        <v>5078</v>
      </c>
      <c r="J170">
        <v>0</v>
      </c>
      <c r="K170">
        <v>1.57</v>
      </c>
      <c r="L170">
        <v>8458.13</v>
      </c>
      <c r="M170" t="s">
        <v>453</v>
      </c>
      <c r="N170" t="s">
        <v>454</v>
      </c>
      <c r="O170">
        <v>2.81</v>
      </c>
      <c r="P170">
        <v>2.84</v>
      </c>
      <c r="Q170">
        <v>2.78</v>
      </c>
      <c r="R170">
        <v>2.83</v>
      </c>
      <c r="S170">
        <v>75.54</v>
      </c>
      <c r="T170">
        <v>1.09</v>
      </c>
      <c r="U170" t="s">
        <v>339</v>
      </c>
    </row>
    <row r="171" spans="1:21">
      <c r="A171" t="str">
        <f>"000593"</f>
        <v>000593</v>
      </c>
      <c r="B171" t="s">
        <v>455</v>
      </c>
      <c r="C171">
        <v>1.78</v>
      </c>
      <c r="D171">
        <v>5.71</v>
      </c>
      <c r="E171">
        <v>0.1</v>
      </c>
      <c r="F171">
        <v>5.7</v>
      </c>
      <c r="G171">
        <v>5.71</v>
      </c>
      <c r="H171">
        <v>86014</v>
      </c>
      <c r="I171">
        <v>1101</v>
      </c>
      <c r="J171">
        <v>0.18</v>
      </c>
      <c r="K171">
        <v>2.4</v>
      </c>
      <c r="L171">
        <v>4849.55</v>
      </c>
      <c r="M171" t="s">
        <v>456</v>
      </c>
      <c r="N171" t="s">
        <v>238</v>
      </c>
      <c r="O171">
        <v>5.61</v>
      </c>
      <c r="P171">
        <v>5.71</v>
      </c>
      <c r="Q171">
        <v>5.51</v>
      </c>
      <c r="R171">
        <v>5.61</v>
      </c>
      <c r="S171">
        <v>39.11</v>
      </c>
      <c r="T171">
        <v>1.08</v>
      </c>
      <c r="U171" t="s">
        <v>196</v>
      </c>
    </row>
    <row r="172" spans="1:21">
      <c r="A172" t="str">
        <f>"000595"</f>
        <v>000595</v>
      </c>
      <c r="B172" t="s">
        <v>457</v>
      </c>
      <c r="C172">
        <v>0.77</v>
      </c>
      <c r="D172">
        <v>2.62</v>
      </c>
      <c r="E172">
        <v>0.02</v>
      </c>
      <c r="F172">
        <v>2.62</v>
      </c>
      <c r="G172">
        <v>2.63</v>
      </c>
      <c r="H172">
        <v>45045</v>
      </c>
      <c r="I172">
        <v>579</v>
      </c>
      <c r="J172">
        <v>0</v>
      </c>
      <c r="K172">
        <v>0.4</v>
      </c>
      <c r="L172">
        <v>1181.61</v>
      </c>
      <c r="M172" t="s">
        <v>458</v>
      </c>
      <c r="N172" t="s">
        <v>347</v>
      </c>
      <c r="O172">
        <v>2.59</v>
      </c>
      <c r="P172">
        <v>2.64</v>
      </c>
      <c r="Q172">
        <v>2.59</v>
      </c>
      <c r="R172">
        <v>2.6</v>
      </c>
      <c r="S172" t="s">
        <v>40</v>
      </c>
      <c r="T172">
        <v>1.14</v>
      </c>
      <c r="U172" t="s">
        <v>401</v>
      </c>
    </row>
    <row r="173" spans="1:21">
      <c r="A173" t="str">
        <f>"000596"</f>
        <v>000596</v>
      </c>
      <c r="B173" t="s">
        <v>459</v>
      </c>
      <c r="C173">
        <v>0</v>
      </c>
      <c r="D173">
        <v>260.97</v>
      </c>
      <c r="E173">
        <v>-0.01</v>
      </c>
      <c r="F173">
        <v>260.91</v>
      </c>
      <c r="G173">
        <v>260.98</v>
      </c>
      <c r="H173">
        <v>25278</v>
      </c>
      <c r="I173">
        <v>113</v>
      </c>
      <c r="J173">
        <v>0.45</v>
      </c>
      <c r="K173">
        <v>0.66</v>
      </c>
      <c r="L173">
        <v>66359.25</v>
      </c>
      <c r="M173" t="s">
        <v>460</v>
      </c>
      <c r="N173" t="s">
        <v>423</v>
      </c>
      <c r="O173">
        <v>261</v>
      </c>
      <c r="P173">
        <v>270.5</v>
      </c>
      <c r="Q173">
        <v>256.65</v>
      </c>
      <c r="R173">
        <v>260.98</v>
      </c>
      <c r="S173">
        <v>52.55</v>
      </c>
      <c r="T173">
        <v>0.85</v>
      </c>
      <c r="U173" t="s">
        <v>193</v>
      </c>
    </row>
    <row r="174" spans="1:21">
      <c r="A174" t="str">
        <f>"000597"</f>
        <v>000597</v>
      </c>
      <c r="B174" t="s">
        <v>461</v>
      </c>
      <c r="C174">
        <v>0.38</v>
      </c>
      <c r="D174">
        <v>5.23</v>
      </c>
      <c r="E174">
        <v>0.02</v>
      </c>
      <c r="F174">
        <v>5.22</v>
      </c>
      <c r="G174">
        <v>5.23</v>
      </c>
      <c r="H174">
        <v>41088</v>
      </c>
      <c r="I174">
        <v>847</v>
      </c>
      <c r="J174">
        <v>0.19</v>
      </c>
      <c r="K174">
        <v>0.31</v>
      </c>
      <c r="L174">
        <v>2132.93</v>
      </c>
      <c r="M174" t="s">
        <v>462</v>
      </c>
      <c r="N174" t="s">
        <v>192</v>
      </c>
      <c r="O174">
        <v>5.19</v>
      </c>
      <c r="P174">
        <v>5.23</v>
      </c>
      <c r="Q174">
        <v>5.16</v>
      </c>
      <c r="R174">
        <v>5.21</v>
      </c>
      <c r="S174">
        <v>207.35</v>
      </c>
      <c r="T174">
        <v>0.82</v>
      </c>
      <c r="U174" t="s">
        <v>141</v>
      </c>
    </row>
    <row r="175" spans="1:21">
      <c r="A175" t="str">
        <f>"000598"</f>
        <v>000598</v>
      </c>
      <c r="B175" t="s">
        <v>463</v>
      </c>
      <c r="C175">
        <v>-1.06</v>
      </c>
      <c r="D175">
        <v>5.58</v>
      </c>
      <c r="E175">
        <v>-0.06</v>
      </c>
      <c r="F175">
        <v>5.57</v>
      </c>
      <c r="G175">
        <v>5.58</v>
      </c>
      <c r="H175">
        <v>215235</v>
      </c>
      <c r="I175">
        <v>2695</v>
      </c>
      <c r="J175">
        <v>0.18</v>
      </c>
      <c r="K175">
        <v>0.72</v>
      </c>
      <c r="L175">
        <v>11894</v>
      </c>
      <c r="M175" t="s">
        <v>464</v>
      </c>
      <c r="N175" t="s">
        <v>465</v>
      </c>
      <c r="O175">
        <v>5.64</v>
      </c>
      <c r="P175">
        <v>5.65</v>
      </c>
      <c r="Q175">
        <v>5.45</v>
      </c>
      <c r="R175">
        <v>5.64</v>
      </c>
      <c r="S175">
        <v>10.11</v>
      </c>
      <c r="T175">
        <v>0.76</v>
      </c>
      <c r="U175" t="s">
        <v>196</v>
      </c>
    </row>
    <row r="176" spans="1:21">
      <c r="A176" t="str">
        <f>"000599"</f>
        <v>000599</v>
      </c>
      <c r="B176" t="s">
        <v>466</v>
      </c>
      <c r="C176">
        <v>0</v>
      </c>
      <c r="D176">
        <v>4</v>
      </c>
      <c r="E176">
        <v>0</v>
      </c>
      <c r="F176">
        <v>4</v>
      </c>
      <c r="G176">
        <v>4.01</v>
      </c>
      <c r="H176">
        <v>38604</v>
      </c>
      <c r="I176">
        <v>84</v>
      </c>
      <c r="J176">
        <v>0.25</v>
      </c>
      <c r="K176">
        <v>0.47</v>
      </c>
      <c r="L176">
        <v>1543.66</v>
      </c>
      <c r="M176" t="s">
        <v>467</v>
      </c>
      <c r="N176" t="s">
        <v>91</v>
      </c>
      <c r="O176">
        <v>4.04</v>
      </c>
      <c r="P176">
        <v>4.04</v>
      </c>
      <c r="Q176">
        <v>3.97</v>
      </c>
      <c r="R176">
        <v>4</v>
      </c>
      <c r="S176" t="s">
        <v>40</v>
      </c>
      <c r="T176">
        <v>0.49</v>
      </c>
      <c r="U176" t="s">
        <v>221</v>
      </c>
    </row>
    <row r="177" spans="1:21">
      <c r="A177" t="str">
        <f>"000600"</f>
        <v>000600</v>
      </c>
      <c r="B177" t="s">
        <v>468</v>
      </c>
      <c r="C177">
        <v>0</v>
      </c>
      <c r="D177">
        <v>4.54</v>
      </c>
      <c r="E177">
        <v>0</v>
      </c>
      <c r="F177">
        <v>4.53</v>
      </c>
      <c r="G177">
        <v>4.54</v>
      </c>
      <c r="H177">
        <v>88925</v>
      </c>
      <c r="I177">
        <v>3467</v>
      </c>
      <c r="J177">
        <v>0.44</v>
      </c>
      <c r="K177">
        <v>0.82</v>
      </c>
      <c r="L177">
        <v>3994.35</v>
      </c>
      <c r="M177" t="s">
        <v>469</v>
      </c>
      <c r="N177" t="s">
        <v>83</v>
      </c>
      <c r="O177">
        <v>4.52</v>
      </c>
      <c r="P177">
        <v>4.54</v>
      </c>
      <c r="Q177">
        <v>4.46</v>
      </c>
      <c r="R177">
        <v>4.54</v>
      </c>
      <c r="S177" t="s">
        <v>40</v>
      </c>
      <c r="T177">
        <v>0.78</v>
      </c>
      <c r="U177" t="s">
        <v>207</v>
      </c>
    </row>
    <row r="178" spans="1:21">
      <c r="A178" t="str">
        <f>"000601"</f>
        <v>000601</v>
      </c>
      <c r="B178" t="s">
        <v>470</v>
      </c>
      <c r="C178">
        <v>0.21</v>
      </c>
      <c r="D178">
        <v>4.86</v>
      </c>
      <c r="E178">
        <v>0.01</v>
      </c>
      <c r="F178">
        <v>4.86</v>
      </c>
      <c r="G178">
        <v>4.87</v>
      </c>
      <c r="H178">
        <v>48571</v>
      </c>
      <c r="I178">
        <v>562</v>
      </c>
      <c r="J178">
        <v>-0.2</v>
      </c>
      <c r="K178">
        <v>0.45</v>
      </c>
      <c r="L178">
        <v>2348.14</v>
      </c>
      <c r="M178" t="s">
        <v>471</v>
      </c>
      <c r="N178" t="s">
        <v>472</v>
      </c>
      <c r="O178">
        <v>4.85</v>
      </c>
      <c r="P178">
        <v>4.87</v>
      </c>
      <c r="Q178">
        <v>4.81</v>
      </c>
      <c r="R178">
        <v>4.85</v>
      </c>
      <c r="S178">
        <v>27.9</v>
      </c>
      <c r="T178">
        <v>1.03</v>
      </c>
      <c r="U178" t="s">
        <v>183</v>
      </c>
    </row>
    <row r="179" spans="1:21">
      <c r="A179" t="str">
        <f>"000603"</f>
        <v>000603</v>
      </c>
      <c r="B179" t="s">
        <v>473</v>
      </c>
      <c r="C179">
        <v>4.13</v>
      </c>
      <c r="D179">
        <v>12.6</v>
      </c>
      <c r="E179">
        <v>0.5</v>
      </c>
      <c r="F179">
        <v>12.59</v>
      </c>
      <c r="G179">
        <v>12.6</v>
      </c>
      <c r="H179">
        <v>185124</v>
      </c>
      <c r="I179">
        <v>730</v>
      </c>
      <c r="J179">
        <v>-0.07</v>
      </c>
      <c r="K179">
        <v>3.14</v>
      </c>
      <c r="L179">
        <v>23417.16</v>
      </c>
      <c r="M179" t="s">
        <v>474</v>
      </c>
      <c r="N179" t="s">
        <v>144</v>
      </c>
      <c r="O179">
        <v>12.08</v>
      </c>
      <c r="P179">
        <v>13.1</v>
      </c>
      <c r="Q179">
        <v>12.05</v>
      </c>
      <c r="R179">
        <v>12.1</v>
      </c>
      <c r="S179">
        <v>27.24</v>
      </c>
      <c r="T179">
        <v>2.91</v>
      </c>
      <c r="U179" t="s">
        <v>44</v>
      </c>
    </row>
    <row r="180" spans="1:21">
      <c r="A180" t="str">
        <f>"000605"</f>
        <v>000605</v>
      </c>
      <c r="B180" t="s">
        <v>475</v>
      </c>
      <c r="C180">
        <v>0.59</v>
      </c>
      <c r="D180">
        <v>5.11</v>
      </c>
      <c r="E180">
        <v>0.03</v>
      </c>
      <c r="F180">
        <v>5.11</v>
      </c>
      <c r="G180">
        <v>5.12</v>
      </c>
      <c r="H180">
        <v>13153</v>
      </c>
      <c r="I180">
        <v>115</v>
      </c>
      <c r="J180">
        <v>0</v>
      </c>
      <c r="K180">
        <v>0.39</v>
      </c>
      <c r="L180">
        <v>669.09</v>
      </c>
      <c r="M180" t="s">
        <v>476</v>
      </c>
      <c r="N180" t="s">
        <v>465</v>
      </c>
      <c r="O180">
        <v>5.08</v>
      </c>
      <c r="P180">
        <v>5.12</v>
      </c>
      <c r="Q180">
        <v>5.03</v>
      </c>
      <c r="R180">
        <v>5.08</v>
      </c>
      <c r="S180">
        <v>80.99</v>
      </c>
      <c r="T180">
        <v>0.7</v>
      </c>
      <c r="U180" t="s">
        <v>44</v>
      </c>
    </row>
    <row r="181" spans="1:21">
      <c r="A181" t="str">
        <f>"000606"</f>
        <v>000606</v>
      </c>
      <c r="B181" t="s">
        <v>477</v>
      </c>
      <c r="C181">
        <v>0.5</v>
      </c>
      <c r="D181">
        <v>2.01</v>
      </c>
      <c r="E181">
        <v>0.01</v>
      </c>
      <c r="F181">
        <v>2.01</v>
      </c>
      <c r="G181">
        <v>2.02</v>
      </c>
      <c r="H181">
        <v>95462</v>
      </c>
      <c r="I181">
        <v>1754</v>
      </c>
      <c r="J181">
        <v>-0.49</v>
      </c>
      <c r="K181">
        <v>1.35</v>
      </c>
      <c r="L181">
        <v>1914.76</v>
      </c>
      <c r="M181" t="s">
        <v>478</v>
      </c>
      <c r="N181" t="s">
        <v>479</v>
      </c>
      <c r="O181">
        <v>2</v>
      </c>
      <c r="P181">
        <v>2.02</v>
      </c>
      <c r="Q181">
        <v>1.99</v>
      </c>
      <c r="R181">
        <v>2</v>
      </c>
      <c r="S181">
        <v>70.7</v>
      </c>
      <c r="T181">
        <v>1.09</v>
      </c>
      <c r="U181" t="s">
        <v>242</v>
      </c>
    </row>
    <row r="182" spans="1:21">
      <c r="A182" t="str">
        <f>"000607"</f>
        <v>000607</v>
      </c>
      <c r="B182" t="s">
        <v>480</v>
      </c>
      <c r="C182">
        <v>0.25</v>
      </c>
      <c r="D182">
        <v>3.99</v>
      </c>
      <c r="E182">
        <v>0.01</v>
      </c>
      <c r="F182">
        <v>3.99</v>
      </c>
      <c r="G182">
        <v>4</v>
      </c>
      <c r="H182">
        <v>67705</v>
      </c>
      <c r="I182">
        <v>868</v>
      </c>
      <c r="J182">
        <v>0.25</v>
      </c>
      <c r="K182">
        <v>0.77</v>
      </c>
      <c r="L182">
        <v>2704.36</v>
      </c>
      <c r="M182" t="s">
        <v>481</v>
      </c>
      <c r="N182" t="s">
        <v>482</v>
      </c>
      <c r="O182">
        <v>3.95</v>
      </c>
      <c r="P182">
        <v>4.04</v>
      </c>
      <c r="Q182">
        <v>3.95</v>
      </c>
      <c r="R182">
        <v>3.98</v>
      </c>
      <c r="S182">
        <v>39.17</v>
      </c>
      <c r="T182">
        <v>0.48</v>
      </c>
      <c r="U182" t="s">
        <v>200</v>
      </c>
    </row>
    <row r="183" spans="1:21">
      <c r="A183" t="str">
        <f>"000608"</f>
        <v>000608</v>
      </c>
      <c r="B183" t="s">
        <v>483</v>
      </c>
      <c r="C183">
        <v>0.34</v>
      </c>
      <c r="D183">
        <v>2.91</v>
      </c>
      <c r="E183">
        <v>0.01</v>
      </c>
      <c r="F183">
        <v>2.91</v>
      </c>
      <c r="G183">
        <v>2.92</v>
      </c>
      <c r="H183">
        <v>35005</v>
      </c>
      <c r="I183">
        <v>538</v>
      </c>
      <c r="J183">
        <v>-0.33</v>
      </c>
      <c r="K183">
        <v>0.47</v>
      </c>
      <c r="L183">
        <v>1012.73</v>
      </c>
      <c r="M183" t="s">
        <v>484</v>
      </c>
      <c r="N183" t="s">
        <v>36</v>
      </c>
      <c r="O183">
        <v>2.91</v>
      </c>
      <c r="P183">
        <v>2.94</v>
      </c>
      <c r="Q183">
        <v>2.86</v>
      </c>
      <c r="R183">
        <v>2.9</v>
      </c>
      <c r="S183">
        <v>123.1</v>
      </c>
      <c r="T183">
        <v>0.67</v>
      </c>
      <c r="U183" t="s">
        <v>342</v>
      </c>
    </row>
    <row r="184" spans="1:21">
      <c r="A184" t="str">
        <f>"000609"</f>
        <v>000609</v>
      </c>
      <c r="B184" t="s">
        <v>485</v>
      </c>
      <c r="C184">
        <v>4.46</v>
      </c>
      <c r="D184">
        <v>5.62</v>
      </c>
      <c r="E184">
        <v>0.24</v>
      </c>
      <c r="F184">
        <v>5.62</v>
      </c>
      <c r="G184">
        <v>5.63</v>
      </c>
      <c r="H184">
        <v>86409</v>
      </c>
      <c r="I184">
        <v>583</v>
      </c>
      <c r="J184">
        <v>-0.17</v>
      </c>
      <c r="K184">
        <v>2.96</v>
      </c>
      <c r="L184">
        <v>4812.76</v>
      </c>
      <c r="M184" t="s">
        <v>486</v>
      </c>
      <c r="N184" t="s">
        <v>36</v>
      </c>
      <c r="O184">
        <v>5.4</v>
      </c>
      <c r="P184">
        <v>5.65</v>
      </c>
      <c r="Q184">
        <v>5.31</v>
      </c>
      <c r="R184">
        <v>5.38</v>
      </c>
      <c r="S184" t="s">
        <v>40</v>
      </c>
      <c r="T184">
        <v>1.36</v>
      </c>
      <c r="U184" t="s">
        <v>44</v>
      </c>
    </row>
    <row r="185" spans="1:21">
      <c r="A185" t="str">
        <f>"000610"</f>
        <v>000610</v>
      </c>
      <c r="B185" t="s">
        <v>487</v>
      </c>
      <c r="C185">
        <v>0</v>
      </c>
      <c r="D185">
        <v>8.23</v>
      </c>
      <c r="E185">
        <v>0</v>
      </c>
      <c r="F185">
        <v>8.23</v>
      </c>
      <c r="G185">
        <v>8.24</v>
      </c>
      <c r="H185">
        <v>26254</v>
      </c>
      <c r="I185">
        <v>102</v>
      </c>
      <c r="J185">
        <v>-0.11</v>
      </c>
      <c r="K185">
        <v>1.12</v>
      </c>
      <c r="L185">
        <v>2152.83</v>
      </c>
      <c r="M185" t="s">
        <v>488</v>
      </c>
      <c r="N185" t="s">
        <v>489</v>
      </c>
      <c r="O185">
        <v>8.21</v>
      </c>
      <c r="P185">
        <v>8.28</v>
      </c>
      <c r="Q185">
        <v>8.13</v>
      </c>
      <c r="R185">
        <v>8.23</v>
      </c>
      <c r="S185" t="s">
        <v>40</v>
      </c>
      <c r="T185">
        <v>0.6</v>
      </c>
      <c r="U185" t="s">
        <v>317</v>
      </c>
    </row>
    <row r="186" spans="1:21">
      <c r="A186" t="str">
        <f>"000611"</f>
        <v>000611</v>
      </c>
      <c r="B186" t="s">
        <v>490</v>
      </c>
      <c r="C186">
        <v>0.61</v>
      </c>
      <c r="D186">
        <v>3.32</v>
      </c>
      <c r="E186">
        <v>0.02</v>
      </c>
      <c r="F186">
        <v>3.32</v>
      </c>
      <c r="G186">
        <v>3.34</v>
      </c>
      <c r="H186">
        <v>34492</v>
      </c>
      <c r="I186">
        <v>213</v>
      </c>
      <c r="J186">
        <v>-0.29</v>
      </c>
      <c r="K186">
        <v>1.08</v>
      </c>
      <c r="L186">
        <v>1131.08</v>
      </c>
      <c r="M186" t="s">
        <v>491</v>
      </c>
      <c r="N186" t="s">
        <v>189</v>
      </c>
      <c r="O186">
        <v>3.28</v>
      </c>
      <c r="P186">
        <v>3.34</v>
      </c>
      <c r="Q186">
        <v>3.24</v>
      </c>
      <c r="R186">
        <v>3.3</v>
      </c>
      <c r="S186" t="s">
        <v>40</v>
      </c>
      <c r="T186">
        <v>1.24</v>
      </c>
      <c r="U186" t="s">
        <v>275</v>
      </c>
    </row>
    <row r="187" spans="1:21">
      <c r="A187" t="str">
        <f>"000612"</f>
        <v>000612</v>
      </c>
      <c r="B187" t="s">
        <v>492</v>
      </c>
      <c r="C187">
        <v>2.44</v>
      </c>
      <c r="D187">
        <v>7.14</v>
      </c>
      <c r="E187">
        <v>0.17</v>
      </c>
      <c r="F187">
        <v>7.14</v>
      </c>
      <c r="G187">
        <v>7.15</v>
      </c>
      <c r="H187">
        <v>289141</v>
      </c>
      <c r="I187">
        <v>4515</v>
      </c>
      <c r="J187">
        <v>0</v>
      </c>
      <c r="K187">
        <v>2.43</v>
      </c>
      <c r="L187">
        <v>20416.49</v>
      </c>
      <c r="M187" t="s">
        <v>493</v>
      </c>
      <c r="N187" t="s">
        <v>494</v>
      </c>
      <c r="O187">
        <v>6.98</v>
      </c>
      <c r="P187">
        <v>7.15</v>
      </c>
      <c r="Q187">
        <v>6.88</v>
      </c>
      <c r="R187">
        <v>6.97</v>
      </c>
      <c r="S187">
        <v>12.13</v>
      </c>
      <c r="T187">
        <v>1.68</v>
      </c>
      <c r="U187" t="s">
        <v>224</v>
      </c>
    </row>
    <row r="188" spans="1:21">
      <c r="A188" t="str">
        <f>"000613"</f>
        <v>000613</v>
      </c>
      <c r="B188" t="s">
        <v>495</v>
      </c>
      <c r="C188">
        <v>0.58</v>
      </c>
      <c r="D188">
        <v>3.47</v>
      </c>
      <c r="E188">
        <v>0.02</v>
      </c>
      <c r="F188">
        <v>3.47</v>
      </c>
      <c r="G188">
        <v>3.48</v>
      </c>
      <c r="H188">
        <v>16994</v>
      </c>
      <c r="I188">
        <v>129</v>
      </c>
      <c r="J188">
        <v>0</v>
      </c>
      <c r="K188">
        <v>0.64</v>
      </c>
      <c r="L188">
        <v>590.26</v>
      </c>
      <c r="M188" t="s">
        <v>496</v>
      </c>
      <c r="N188" t="s">
        <v>489</v>
      </c>
      <c r="O188">
        <v>3.46</v>
      </c>
      <c r="P188">
        <v>3.51</v>
      </c>
      <c r="Q188">
        <v>3.43</v>
      </c>
      <c r="R188">
        <v>3.45</v>
      </c>
      <c r="S188">
        <v>339.68</v>
      </c>
      <c r="T188">
        <v>0.66</v>
      </c>
      <c r="U188" t="s">
        <v>294</v>
      </c>
    </row>
    <row r="189" spans="1:21">
      <c r="A189" t="str">
        <f>"000615"</f>
        <v>000615</v>
      </c>
      <c r="B189" t="s">
        <v>497</v>
      </c>
      <c r="C189">
        <v>0.68</v>
      </c>
      <c r="D189">
        <v>11.85</v>
      </c>
      <c r="E189">
        <v>0.08</v>
      </c>
      <c r="F189">
        <v>11.85</v>
      </c>
      <c r="G189">
        <v>11.86</v>
      </c>
      <c r="H189">
        <v>210242</v>
      </c>
      <c r="I189">
        <v>2391</v>
      </c>
      <c r="J189">
        <v>0</v>
      </c>
      <c r="K189">
        <v>2.72</v>
      </c>
      <c r="L189">
        <v>24598.62</v>
      </c>
      <c r="M189" t="s">
        <v>498</v>
      </c>
      <c r="N189" t="s">
        <v>36</v>
      </c>
      <c r="O189">
        <v>11.62</v>
      </c>
      <c r="P189">
        <v>11.92</v>
      </c>
      <c r="Q189">
        <v>11.52</v>
      </c>
      <c r="R189">
        <v>11.77</v>
      </c>
      <c r="S189">
        <v>32.91</v>
      </c>
      <c r="T189">
        <v>0.68</v>
      </c>
      <c r="U189" t="s">
        <v>267</v>
      </c>
    </row>
    <row r="190" spans="1:21">
      <c r="A190" t="str">
        <f>"000616"</f>
        <v>000616</v>
      </c>
      <c r="B190" t="s">
        <v>499</v>
      </c>
      <c r="C190">
        <v>-0.51</v>
      </c>
      <c r="D190">
        <v>1.95</v>
      </c>
      <c r="E190">
        <v>-0.01</v>
      </c>
      <c r="F190">
        <v>1.95</v>
      </c>
      <c r="G190">
        <v>1.96</v>
      </c>
      <c r="H190">
        <v>149900</v>
      </c>
      <c r="I190">
        <v>1588</v>
      </c>
      <c r="J190">
        <v>-0.5</v>
      </c>
      <c r="K190">
        <v>1.05</v>
      </c>
      <c r="L190">
        <v>2918.18</v>
      </c>
      <c r="M190" t="s">
        <v>500</v>
      </c>
      <c r="N190" t="s">
        <v>27</v>
      </c>
      <c r="O190">
        <v>1.95</v>
      </c>
      <c r="P190">
        <v>1.96</v>
      </c>
      <c r="Q190">
        <v>1.93</v>
      </c>
      <c r="R190">
        <v>1.96</v>
      </c>
      <c r="S190">
        <v>33.31</v>
      </c>
      <c r="T190">
        <v>1.13</v>
      </c>
      <c r="U190" t="s">
        <v>141</v>
      </c>
    </row>
    <row r="191" spans="1:21">
      <c r="A191" t="str">
        <f>"000617"</f>
        <v>000617</v>
      </c>
      <c r="B191" t="s">
        <v>501</v>
      </c>
      <c r="C191">
        <v>1.41</v>
      </c>
      <c r="D191">
        <v>5.03</v>
      </c>
      <c r="E191">
        <v>0.07</v>
      </c>
      <c r="F191">
        <v>5.02</v>
      </c>
      <c r="G191">
        <v>5.03</v>
      </c>
      <c r="H191">
        <v>107523</v>
      </c>
      <c r="I191">
        <v>819</v>
      </c>
      <c r="J191">
        <v>0.2</v>
      </c>
      <c r="K191">
        <v>0.09</v>
      </c>
      <c r="L191">
        <v>5353.33</v>
      </c>
      <c r="M191" t="s">
        <v>502</v>
      </c>
      <c r="N191" t="s">
        <v>121</v>
      </c>
      <c r="O191">
        <v>4.97</v>
      </c>
      <c r="P191">
        <v>5.03</v>
      </c>
      <c r="Q191">
        <v>4.94</v>
      </c>
      <c r="R191">
        <v>4.96</v>
      </c>
      <c r="S191">
        <v>9.14</v>
      </c>
      <c r="T191">
        <v>1.27</v>
      </c>
      <c r="U191" t="s">
        <v>210</v>
      </c>
    </row>
    <row r="192" spans="1:21">
      <c r="A192" t="str">
        <f>"000619"</f>
        <v>000619</v>
      </c>
      <c r="B192" t="s">
        <v>503</v>
      </c>
      <c r="C192">
        <v>0.81</v>
      </c>
      <c r="D192">
        <v>4.99</v>
      </c>
      <c r="E192">
        <v>0.04</v>
      </c>
      <c r="F192">
        <v>4.98</v>
      </c>
      <c r="G192">
        <v>4.99</v>
      </c>
      <c r="H192">
        <v>22730</v>
      </c>
      <c r="I192">
        <v>192</v>
      </c>
      <c r="J192">
        <v>0</v>
      </c>
      <c r="K192">
        <v>0.63</v>
      </c>
      <c r="L192">
        <v>1129.11</v>
      </c>
      <c r="M192" t="s">
        <v>504</v>
      </c>
      <c r="N192" t="s">
        <v>131</v>
      </c>
      <c r="O192">
        <v>4.94</v>
      </c>
      <c r="P192">
        <v>5.01</v>
      </c>
      <c r="Q192">
        <v>4.91</v>
      </c>
      <c r="R192">
        <v>4.95</v>
      </c>
      <c r="S192" t="s">
        <v>40</v>
      </c>
      <c r="T192">
        <v>1.37</v>
      </c>
      <c r="U192" t="s">
        <v>193</v>
      </c>
    </row>
    <row r="193" spans="1:21">
      <c r="A193" t="str">
        <f>"000620"</f>
        <v>000620</v>
      </c>
      <c r="B193" t="s">
        <v>505</v>
      </c>
      <c r="C193">
        <v>2.69</v>
      </c>
      <c r="D193">
        <v>1.91</v>
      </c>
      <c r="E193">
        <v>0.05</v>
      </c>
      <c r="F193">
        <v>1.9</v>
      </c>
      <c r="G193">
        <v>1.91</v>
      </c>
      <c r="H193">
        <v>170267</v>
      </c>
      <c r="I193">
        <v>5849</v>
      </c>
      <c r="J193">
        <v>-0.51</v>
      </c>
      <c r="K193">
        <v>0.9</v>
      </c>
      <c r="L193">
        <v>3198.14</v>
      </c>
      <c r="M193" t="s">
        <v>506</v>
      </c>
      <c r="N193" t="s">
        <v>27</v>
      </c>
      <c r="O193">
        <v>1.85</v>
      </c>
      <c r="P193">
        <v>1.93</v>
      </c>
      <c r="Q193">
        <v>1.83</v>
      </c>
      <c r="R193">
        <v>1.86</v>
      </c>
      <c r="S193" t="s">
        <v>40</v>
      </c>
      <c r="T193">
        <v>0.51</v>
      </c>
      <c r="U193" t="s">
        <v>44</v>
      </c>
    </row>
    <row r="194" spans="1:21">
      <c r="A194" t="str">
        <f>"000622"</f>
        <v>000622</v>
      </c>
      <c r="B194" t="s">
        <v>507</v>
      </c>
      <c r="C194">
        <v>2.47</v>
      </c>
      <c r="D194">
        <v>3.74</v>
      </c>
      <c r="E194">
        <v>0.09</v>
      </c>
      <c r="F194">
        <v>3.74</v>
      </c>
      <c r="G194">
        <v>3.75</v>
      </c>
      <c r="H194">
        <v>70185</v>
      </c>
      <c r="I194">
        <v>654</v>
      </c>
      <c r="J194">
        <v>0.27</v>
      </c>
      <c r="K194">
        <v>1.65</v>
      </c>
      <c r="L194">
        <v>2612.02</v>
      </c>
      <c r="M194" t="s">
        <v>508</v>
      </c>
      <c r="N194" t="s">
        <v>91</v>
      </c>
      <c r="O194">
        <v>3.63</v>
      </c>
      <c r="P194">
        <v>3.78</v>
      </c>
      <c r="Q194">
        <v>3.63</v>
      </c>
      <c r="R194">
        <v>3.65</v>
      </c>
      <c r="S194" t="s">
        <v>40</v>
      </c>
      <c r="T194">
        <v>0.97</v>
      </c>
      <c r="U194" t="s">
        <v>204</v>
      </c>
    </row>
    <row r="195" spans="1:21">
      <c r="A195" t="str">
        <f>"000623"</f>
        <v>000623</v>
      </c>
      <c r="B195" t="s">
        <v>509</v>
      </c>
      <c r="C195">
        <v>1.65</v>
      </c>
      <c r="D195">
        <v>16.62</v>
      </c>
      <c r="E195">
        <v>0.27</v>
      </c>
      <c r="F195">
        <v>16.62</v>
      </c>
      <c r="G195">
        <v>16.63</v>
      </c>
      <c r="H195">
        <v>136310</v>
      </c>
      <c r="I195">
        <v>2639</v>
      </c>
      <c r="J195">
        <v>-0.05</v>
      </c>
      <c r="K195">
        <v>1.17</v>
      </c>
      <c r="L195">
        <v>22410.91</v>
      </c>
      <c r="M195" t="s">
        <v>510</v>
      </c>
      <c r="N195" t="s">
        <v>270</v>
      </c>
      <c r="O195">
        <v>16.3</v>
      </c>
      <c r="P195">
        <v>16.65</v>
      </c>
      <c r="Q195">
        <v>16.16</v>
      </c>
      <c r="R195">
        <v>16.35</v>
      </c>
      <c r="S195">
        <v>8.57</v>
      </c>
      <c r="T195">
        <v>1.38</v>
      </c>
      <c r="U195" t="s">
        <v>92</v>
      </c>
    </row>
    <row r="196" spans="1:21">
      <c r="A196" t="str">
        <f>"000625"</f>
        <v>000625</v>
      </c>
      <c r="B196" t="s">
        <v>511</v>
      </c>
      <c r="C196">
        <v>0.83</v>
      </c>
      <c r="D196">
        <v>18.21</v>
      </c>
      <c r="E196">
        <v>0.15</v>
      </c>
      <c r="F196">
        <v>18.21</v>
      </c>
      <c r="G196">
        <v>18.22</v>
      </c>
      <c r="H196">
        <v>1657757</v>
      </c>
      <c r="I196">
        <v>17817</v>
      </c>
      <c r="J196">
        <v>0.05</v>
      </c>
      <c r="K196">
        <v>2.83</v>
      </c>
      <c r="L196">
        <v>297393.92</v>
      </c>
      <c r="M196" t="s">
        <v>512</v>
      </c>
      <c r="N196" t="s">
        <v>385</v>
      </c>
      <c r="O196">
        <v>17.96</v>
      </c>
      <c r="P196">
        <v>18.33</v>
      </c>
      <c r="Q196">
        <v>17.57</v>
      </c>
      <c r="R196">
        <v>18.06</v>
      </c>
      <c r="S196">
        <v>34.76</v>
      </c>
      <c r="T196">
        <v>0.9</v>
      </c>
      <c r="U196" t="s">
        <v>314</v>
      </c>
    </row>
    <row r="197" spans="1:21">
      <c r="A197" t="str">
        <f>"000626"</f>
        <v>000626</v>
      </c>
      <c r="B197" t="s">
        <v>513</v>
      </c>
      <c r="C197">
        <v>1.1</v>
      </c>
      <c r="D197">
        <v>22</v>
      </c>
      <c r="E197">
        <v>0.24</v>
      </c>
      <c r="F197">
        <v>21.98</v>
      </c>
      <c r="G197">
        <v>22</v>
      </c>
      <c r="H197">
        <v>39108</v>
      </c>
      <c r="I197">
        <v>111</v>
      </c>
      <c r="J197">
        <v>-0.26</v>
      </c>
      <c r="K197">
        <v>0.77</v>
      </c>
      <c r="L197">
        <v>8463.11</v>
      </c>
      <c r="M197" t="s">
        <v>514</v>
      </c>
      <c r="N197" t="s">
        <v>189</v>
      </c>
      <c r="O197">
        <v>21.22</v>
      </c>
      <c r="P197">
        <v>22.5</v>
      </c>
      <c r="Q197">
        <v>20.5</v>
      </c>
      <c r="R197">
        <v>21.76</v>
      </c>
      <c r="S197">
        <v>39.33</v>
      </c>
      <c r="T197">
        <v>1.94</v>
      </c>
      <c r="U197" t="s">
        <v>102</v>
      </c>
    </row>
    <row r="198" spans="1:21">
      <c r="A198" t="str">
        <f>"000627"</f>
        <v>000627</v>
      </c>
      <c r="B198" t="s">
        <v>515</v>
      </c>
      <c r="C198">
        <v>0.63</v>
      </c>
      <c r="D198">
        <v>3.18</v>
      </c>
      <c r="E198">
        <v>0.02</v>
      </c>
      <c r="F198">
        <v>3.18</v>
      </c>
      <c r="G198">
        <v>3.19</v>
      </c>
      <c r="H198">
        <v>211051</v>
      </c>
      <c r="I198">
        <v>874</v>
      </c>
      <c r="J198">
        <v>-0.3</v>
      </c>
      <c r="K198">
        <v>0.46</v>
      </c>
      <c r="L198">
        <v>6662.27</v>
      </c>
      <c r="M198" t="s">
        <v>516</v>
      </c>
      <c r="N198" t="s">
        <v>517</v>
      </c>
      <c r="O198">
        <v>3.15</v>
      </c>
      <c r="P198">
        <v>3.2</v>
      </c>
      <c r="Q198">
        <v>3.12</v>
      </c>
      <c r="R198">
        <v>3.16</v>
      </c>
      <c r="S198">
        <v>33.43</v>
      </c>
      <c r="T198">
        <v>1.84</v>
      </c>
      <c r="U198" t="s">
        <v>267</v>
      </c>
    </row>
    <row r="199" spans="1:21">
      <c r="A199" t="str">
        <f>"000628"</f>
        <v>000628</v>
      </c>
      <c r="B199" t="s">
        <v>518</v>
      </c>
      <c r="C199">
        <v>9.98</v>
      </c>
      <c r="D199">
        <v>9.48</v>
      </c>
      <c r="E199">
        <v>0.86</v>
      </c>
      <c r="F199">
        <v>9.48</v>
      </c>
      <c r="G199" t="s">
        <v>40</v>
      </c>
      <c r="H199">
        <v>121792</v>
      </c>
      <c r="I199">
        <v>256</v>
      </c>
      <c r="J199">
        <v>0</v>
      </c>
      <c r="K199">
        <v>6.34</v>
      </c>
      <c r="L199">
        <v>11358.76</v>
      </c>
      <c r="M199" t="s">
        <v>519</v>
      </c>
      <c r="N199" t="s">
        <v>520</v>
      </c>
      <c r="O199">
        <v>8.76</v>
      </c>
      <c r="P199">
        <v>9.48</v>
      </c>
      <c r="Q199">
        <v>8.64</v>
      </c>
      <c r="R199">
        <v>8.62</v>
      </c>
      <c r="S199">
        <v>21.35</v>
      </c>
      <c r="T199">
        <v>7.05</v>
      </c>
      <c r="U199" t="s">
        <v>196</v>
      </c>
    </row>
    <row r="200" spans="1:21">
      <c r="A200" t="str">
        <f>"000629"</f>
        <v>000629</v>
      </c>
      <c r="B200" t="s">
        <v>521</v>
      </c>
      <c r="C200">
        <v>0.86</v>
      </c>
      <c r="D200">
        <v>3.5</v>
      </c>
      <c r="E200">
        <v>0.03</v>
      </c>
      <c r="F200">
        <v>3.49</v>
      </c>
      <c r="G200">
        <v>3.5</v>
      </c>
      <c r="H200">
        <v>1047059</v>
      </c>
      <c r="I200">
        <v>23153</v>
      </c>
      <c r="J200">
        <v>0</v>
      </c>
      <c r="K200">
        <v>1.22</v>
      </c>
      <c r="L200">
        <v>36205.87</v>
      </c>
      <c r="M200" t="s">
        <v>522</v>
      </c>
      <c r="N200" t="s">
        <v>523</v>
      </c>
      <c r="O200">
        <v>3.49</v>
      </c>
      <c r="P200">
        <v>3.51</v>
      </c>
      <c r="Q200">
        <v>3.38</v>
      </c>
      <c r="R200">
        <v>3.47</v>
      </c>
      <c r="S200">
        <v>28.82</v>
      </c>
      <c r="T200">
        <v>1.02</v>
      </c>
      <c r="U200" t="s">
        <v>196</v>
      </c>
    </row>
    <row r="201" spans="1:21">
      <c r="A201" t="str">
        <f>"000630"</f>
        <v>000630</v>
      </c>
      <c r="B201" t="s">
        <v>524</v>
      </c>
      <c r="C201">
        <v>6.06</v>
      </c>
      <c r="D201">
        <v>3.5</v>
      </c>
      <c r="E201">
        <v>0.2</v>
      </c>
      <c r="F201">
        <v>3.5</v>
      </c>
      <c r="G201">
        <v>3.51</v>
      </c>
      <c r="H201">
        <v>4171040</v>
      </c>
      <c r="I201">
        <v>52879</v>
      </c>
      <c r="J201">
        <v>0</v>
      </c>
      <c r="K201">
        <v>3.96</v>
      </c>
      <c r="L201">
        <v>141360.61</v>
      </c>
      <c r="M201" t="s">
        <v>525</v>
      </c>
      <c r="N201" t="s">
        <v>526</v>
      </c>
      <c r="O201">
        <v>3.31</v>
      </c>
      <c r="P201">
        <v>3.52</v>
      </c>
      <c r="Q201">
        <v>3.25</v>
      </c>
      <c r="R201">
        <v>3.3</v>
      </c>
      <c r="S201">
        <v>11.28</v>
      </c>
      <c r="T201">
        <v>1.62</v>
      </c>
      <c r="U201" t="s">
        <v>193</v>
      </c>
    </row>
    <row r="202" spans="1:21">
      <c r="A202" t="str">
        <f>"000631"</f>
        <v>000631</v>
      </c>
      <c r="B202" t="s">
        <v>527</v>
      </c>
      <c r="C202">
        <v>0</v>
      </c>
      <c r="D202">
        <v>3.59</v>
      </c>
      <c r="E202">
        <v>0</v>
      </c>
      <c r="F202">
        <v>3.58</v>
      </c>
      <c r="G202">
        <v>3.59</v>
      </c>
      <c r="H202">
        <v>47253</v>
      </c>
      <c r="I202">
        <v>643</v>
      </c>
      <c r="J202">
        <v>-0.54</v>
      </c>
      <c r="K202">
        <v>0.19</v>
      </c>
      <c r="L202">
        <v>1680.08</v>
      </c>
      <c r="M202" t="s">
        <v>528</v>
      </c>
      <c r="N202" t="s">
        <v>36</v>
      </c>
      <c r="O202">
        <v>3.58</v>
      </c>
      <c r="P202">
        <v>3.61</v>
      </c>
      <c r="Q202">
        <v>3.52</v>
      </c>
      <c r="R202">
        <v>3.59</v>
      </c>
      <c r="S202">
        <v>78.79</v>
      </c>
      <c r="T202">
        <v>0.91</v>
      </c>
      <c r="U202" t="s">
        <v>92</v>
      </c>
    </row>
    <row r="203" spans="1:21">
      <c r="A203" t="str">
        <f>"000632"</f>
        <v>000632</v>
      </c>
      <c r="B203" t="s">
        <v>529</v>
      </c>
      <c r="C203">
        <v>2.49</v>
      </c>
      <c r="D203">
        <v>3.29</v>
      </c>
      <c r="E203">
        <v>0.08</v>
      </c>
      <c r="F203">
        <v>3.29</v>
      </c>
      <c r="G203">
        <v>3.3</v>
      </c>
      <c r="H203">
        <v>53831</v>
      </c>
      <c r="I203">
        <v>7111</v>
      </c>
      <c r="J203">
        <v>0.61</v>
      </c>
      <c r="K203">
        <v>1.16</v>
      </c>
      <c r="L203">
        <v>1751.31</v>
      </c>
      <c r="M203" t="s">
        <v>530</v>
      </c>
      <c r="N203" t="s">
        <v>99</v>
      </c>
      <c r="O203">
        <v>3.2</v>
      </c>
      <c r="P203">
        <v>3.3</v>
      </c>
      <c r="Q203">
        <v>3.19</v>
      </c>
      <c r="R203">
        <v>3.21</v>
      </c>
      <c r="S203">
        <v>46.09</v>
      </c>
      <c r="T203">
        <v>1.69</v>
      </c>
      <c r="U203" t="s">
        <v>339</v>
      </c>
    </row>
    <row r="204" spans="1:21">
      <c r="A204" t="str">
        <f>"000633"</f>
        <v>000633</v>
      </c>
      <c r="B204" t="s">
        <v>531</v>
      </c>
      <c r="C204">
        <v>0.59</v>
      </c>
      <c r="D204">
        <v>6.78</v>
      </c>
      <c r="E204">
        <v>0.04</v>
      </c>
      <c r="F204">
        <v>6.77</v>
      </c>
      <c r="G204">
        <v>6.78</v>
      </c>
      <c r="H204">
        <v>43886</v>
      </c>
      <c r="I204">
        <v>349</v>
      </c>
      <c r="J204">
        <v>0.44</v>
      </c>
      <c r="K204">
        <v>1.14</v>
      </c>
      <c r="L204">
        <v>2966.87</v>
      </c>
      <c r="M204" t="s">
        <v>532</v>
      </c>
      <c r="N204" t="s">
        <v>99</v>
      </c>
      <c r="O204">
        <v>6.75</v>
      </c>
      <c r="P204">
        <v>6.85</v>
      </c>
      <c r="Q204">
        <v>6.69</v>
      </c>
      <c r="R204">
        <v>6.74</v>
      </c>
      <c r="S204">
        <v>981.98</v>
      </c>
      <c r="T204">
        <v>0.86</v>
      </c>
      <c r="U204" t="s">
        <v>210</v>
      </c>
    </row>
    <row r="205" spans="1:21">
      <c r="A205" t="str">
        <f>"000635"</f>
        <v>000635</v>
      </c>
      <c r="B205" t="s">
        <v>533</v>
      </c>
      <c r="C205">
        <v>10.02</v>
      </c>
      <c r="D205">
        <v>12.08</v>
      </c>
      <c r="E205">
        <v>1.1</v>
      </c>
      <c r="F205">
        <v>12.08</v>
      </c>
      <c r="G205" t="s">
        <v>40</v>
      </c>
      <c r="H205">
        <v>327065</v>
      </c>
      <c r="I205">
        <v>1715</v>
      </c>
      <c r="J205">
        <v>0</v>
      </c>
      <c r="K205">
        <v>10.79</v>
      </c>
      <c r="L205">
        <v>37615.92</v>
      </c>
      <c r="M205" t="s">
        <v>534</v>
      </c>
      <c r="N205" t="s">
        <v>309</v>
      </c>
      <c r="O205">
        <v>10.9</v>
      </c>
      <c r="P205">
        <v>12.08</v>
      </c>
      <c r="Q205">
        <v>10.65</v>
      </c>
      <c r="R205">
        <v>10.98</v>
      </c>
      <c r="S205">
        <v>16.6</v>
      </c>
      <c r="T205">
        <v>3.04</v>
      </c>
      <c r="U205" t="s">
        <v>401</v>
      </c>
    </row>
    <row r="206" spans="1:21">
      <c r="A206" t="str">
        <f>"000636"</f>
        <v>000636</v>
      </c>
      <c r="B206" t="s">
        <v>535</v>
      </c>
      <c r="C206">
        <v>2.64</v>
      </c>
      <c r="D206">
        <v>31.05</v>
      </c>
      <c r="E206">
        <v>0.8</v>
      </c>
      <c r="F206">
        <v>31.05</v>
      </c>
      <c r="G206">
        <v>31.06</v>
      </c>
      <c r="H206">
        <v>281233</v>
      </c>
      <c r="I206">
        <v>4137</v>
      </c>
      <c r="J206">
        <v>0.13</v>
      </c>
      <c r="K206">
        <v>3.14</v>
      </c>
      <c r="L206">
        <v>86295.22</v>
      </c>
      <c r="M206" t="s">
        <v>536</v>
      </c>
      <c r="N206" t="s">
        <v>69</v>
      </c>
      <c r="O206">
        <v>30.22</v>
      </c>
      <c r="P206">
        <v>31.1</v>
      </c>
      <c r="Q206">
        <v>30.03</v>
      </c>
      <c r="R206">
        <v>30.25</v>
      </c>
      <c r="S206">
        <v>23.71</v>
      </c>
      <c r="T206">
        <v>0.94</v>
      </c>
      <c r="U206" t="s">
        <v>183</v>
      </c>
    </row>
    <row r="207" spans="1:21">
      <c r="A207" t="str">
        <f>"000637"</f>
        <v>000637</v>
      </c>
      <c r="B207" t="s">
        <v>537</v>
      </c>
      <c r="C207">
        <v>0.97</v>
      </c>
      <c r="D207">
        <v>4.17</v>
      </c>
      <c r="E207">
        <v>0.04</v>
      </c>
      <c r="F207">
        <v>4.17</v>
      </c>
      <c r="G207">
        <v>4.18</v>
      </c>
      <c r="H207">
        <v>50353</v>
      </c>
      <c r="I207">
        <v>165</v>
      </c>
      <c r="J207">
        <v>0</v>
      </c>
      <c r="K207">
        <v>1.37</v>
      </c>
      <c r="L207">
        <v>2091.51</v>
      </c>
      <c r="M207" t="s">
        <v>538</v>
      </c>
      <c r="N207" t="s">
        <v>140</v>
      </c>
      <c r="O207">
        <v>4.1</v>
      </c>
      <c r="P207">
        <v>4.2</v>
      </c>
      <c r="Q207">
        <v>4.07</v>
      </c>
      <c r="R207">
        <v>4.13</v>
      </c>
      <c r="S207">
        <v>46.14</v>
      </c>
      <c r="T207">
        <v>1.02</v>
      </c>
      <c r="U207" t="s">
        <v>183</v>
      </c>
    </row>
    <row r="208" spans="1:21">
      <c r="A208" t="str">
        <f>"000638"</f>
        <v>000638</v>
      </c>
      <c r="B208" t="s">
        <v>539</v>
      </c>
      <c r="C208">
        <v>0.2</v>
      </c>
      <c r="D208">
        <v>5.12</v>
      </c>
      <c r="E208">
        <v>0.01</v>
      </c>
      <c r="F208">
        <v>5.11</v>
      </c>
      <c r="G208">
        <v>5.12</v>
      </c>
      <c r="H208">
        <v>21731</v>
      </c>
      <c r="I208">
        <v>385</v>
      </c>
      <c r="J208">
        <v>0.2</v>
      </c>
      <c r="K208">
        <v>0.7</v>
      </c>
      <c r="L208">
        <v>1110.55</v>
      </c>
      <c r="M208" t="s">
        <v>540</v>
      </c>
      <c r="N208" t="s">
        <v>30</v>
      </c>
      <c r="O208">
        <v>5.1</v>
      </c>
      <c r="P208">
        <v>5.14</v>
      </c>
      <c r="Q208">
        <v>5.07</v>
      </c>
      <c r="R208">
        <v>5.11</v>
      </c>
      <c r="S208">
        <v>246.02</v>
      </c>
      <c r="T208">
        <v>0.65</v>
      </c>
      <c r="U208" t="s">
        <v>92</v>
      </c>
    </row>
    <row r="209" spans="1:21">
      <c r="A209" t="str">
        <f>"000639"</f>
        <v>000639</v>
      </c>
      <c r="B209" t="s">
        <v>541</v>
      </c>
      <c r="C209">
        <v>1</v>
      </c>
      <c r="D209">
        <v>5.04</v>
      </c>
      <c r="E209">
        <v>0.05</v>
      </c>
      <c r="F209">
        <v>5.03</v>
      </c>
      <c r="G209">
        <v>5.04</v>
      </c>
      <c r="H209">
        <v>77844</v>
      </c>
      <c r="I209">
        <v>1205</v>
      </c>
      <c r="J209">
        <v>0.2</v>
      </c>
      <c r="K209">
        <v>0.72</v>
      </c>
      <c r="L209">
        <v>3897.16</v>
      </c>
      <c r="M209" t="s">
        <v>542</v>
      </c>
      <c r="N209" t="s">
        <v>299</v>
      </c>
      <c r="O209">
        <v>4.99</v>
      </c>
      <c r="P209">
        <v>5.07</v>
      </c>
      <c r="Q209">
        <v>4.95</v>
      </c>
      <c r="R209">
        <v>4.99</v>
      </c>
      <c r="S209">
        <v>22.33</v>
      </c>
      <c r="T209">
        <v>0.69</v>
      </c>
      <c r="U209" t="s">
        <v>221</v>
      </c>
    </row>
    <row r="210" spans="1:21">
      <c r="A210" t="str">
        <f>"000650"</f>
        <v>000650</v>
      </c>
      <c r="B210" t="s">
        <v>543</v>
      </c>
      <c r="C210">
        <v>2.13</v>
      </c>
      <c r="D210">
        <v>8.64</v>
      </c>
      <c r="E210">
        <v>0.18</v>
      </c>
      <c r="F210">
        <v>8.63</v>
      </c>
      <c r="G210">
        <v>8.64</v>
      </c>
      <c r="H210">
        <v>168257</v>
      </c>
      <c r="I210">
        <v>2902</v>
      </c>
      <c r="J210">
        <v>0.12</v>
      </c>
      <c r="K210">
        <v>1.25</v>
      </c>
      <c r="L210">
        <v>14348.61</v>
      </c>
      <c r="M210" t="s">
        <v>544</v>
      </c>
      <c r="N210" t="s">
        <v>270</v>
      </c>
      <c r="O210">
        <v>8.48</v>
      </c>
      <c r="P210">
        <v>8.65</v>
      </c>
      <c r="Q210">
        <v>8.39</v>
      </c>
      <c r="R210">
        <v>8.46</v>
      </c>
      <c r="S210">
        <v>17.29</v>
      </c>
      <c r="T210">
        <v>0.92</v>
      </c>
      <c r="U210" t="s">
        <v>235</v>
      </c>
    </row>
    <row r="211" spans="1:21">
      <c r="A211" t="str">
        <f>"000651"</f>
        <v>000651</v>
      </c>
      <c r="B211" t="s">
        <v>545</v>
      </c>
      <c r="C211">
        <v>0.45</v>
      </c>
      <c r="D211">
        <v>35.91</v>
      </c>
      <c r="E211">
        <v>0.16</v>
      </c>
      <c r="F211">
        <v>35.91</v>
      </c>
      <c r="G211">
        <v>35.92</v>
      </c>
      <c r="H211">
        <v>482933</v>
      </c>
      <c r="I211">
        <v>5315</v>
      </c>
      <c r="J211">
        <v>0.03</v>
      </c>
      <c r="K211">
        <v>0.82</v>
      </c>
      <c r="L211">
        <v>172181.63</v>
      </c>
      <c r="M211" t="s">
        <v>546</v>
      </c>
      <c r="N211" t="s">
        <v>60</v>
      </c>
      <c r="O211">
        <v>35.69</v>
      </c>
      <c r="P211">
        <v>36.04</v>
      </c>
      <c r="Q211">
        <v>35.38</v>
      </c>
      <c r="R211">
        <v>35.75</v>
      </c>
      <c r="S211">
        <v>10.18</v>
      </c>
      <c r="T211">
        <v>0.82</v>
      </c>
      <c r="U211" t="s">
        <v>183</v>
      </c>
    </row>
    <row r="212" spans="1:21">
      <c r="A212" t="str">
        <f>"000652"</f>
        <v>000652</v>
      </c>
      <c r="B212" t="s">
        <v>547</v>
      </c>
      <c r="C212">
        <v>1.52</v>
      </c>
      <c r="D212">
        <v>4.02</v>
      </c>
      <c r="E212">
        <v>0.06</v>
      </c>
      <c r="F212">
        <v>4.01</v>
      </c>
      <c r="G212">
        <v>4.02</v>
      </c>
      <c r="H212">
        <v>153895</v>
      </c>
      <c r="I212">
        <v>2387</v>
      </c>
      <c r="J212">
        <v>0</v>
      </c>
      <c r="K212">
        <v>1.04</v>
      </c>
      <c r="L212">
        <v>6173.23</v>
      </c>
      <c r="M212" t="s">
        <v>548</v>
      </c>
      <c r="N212" t="s">
        <v>150</v>
      </c>
      <c r="O212">
        <v>3.97</v>
      </c>
      <c r="P212">
        <v>4.06</v>
      </c>
      <c r="Q212">
        <v>3.94</v>
      </c>
      <c r="R212">
        <v>3.96</v>
      </c>
      <c r="S212">
        <v>33.77</v>
      </c>
      <c r="T212">
        <v>2.09</v>
      </c>
      <c r="U212" t="s">
        <v>360</v>
      </c>
    </row>
    <row r="213" spans="1:21">
      <c r="A213" t="str">
        <f>"000655"</f>
        <v>000655</v>
      </c>
      <c r="B213" t="s">
        <v>549</v>
      </c>
      <c r="C213">
        <v>1.88</v>
      </c>
      <c r="D213">
        <v>8.15</v>
      </c>
      <c r="E213">
        <v>0.15</v>
      </c>
      <c r="F213">
        <v>8.15</v>
      </c>
      <c r="G213">
        <v>8.16</v>
      </c>
      <c r="H213">
        <v>101555</v>
      </c>
      <c r="I213">
        <v>1580</v>
      </c>
      <c r="J213">
        <v>0</v>
      </c>
      <c r="K213">
        <v>1.71</v>
      </c>
      <c r="L213">
        <v>8189.63</v>
      </c>
      <c r="M213" t="s">
        <v>550</v>
      </c>
      <c r="N213" t="s">
        <v>551</v>
      </c>
      <c r="O213">
        <v>7.99</v>
      </c>
      <c r="P213">
        <v>8.19</v>
      </c>
      <c r="Q213">
        <v>7.91</v>
      </c>
      <c r="R213">
        <v>8</v>
      </c>
      <c r="S213">
        <v>9.76</v>
      </c>
      <c r="T213">
        <v>1.57</v>
      </c>
      <c r="U213" t="s">
        <v>221</v>
      </c>
    </row>
    <row r="214" spans="1:21">
      <c r="A214" t="str">
        <f>"000656"</f>
        <v>000656</v>
      </c>
      <c r="B214" t="s">
        <v>552</v>
      </c>
      <c r="C214">
        <v>4.48</v>
      </c>
      <c r="D214">
        <v>4.43</v>
      </c>
      <c r="E214">
        <v>0.19</v>
      </c>
      <c r="F214">
        <v>4.42</v>
      </c>
      <c r="G214">
        <v>4.43</v>
      </c>
      <c r="H214">
        <v>962095</v>
      </c>
      <c r="I214">
        <v>5928</v>
      </c>
      <c r="J214">
        <v>0</v>
      </c>
      <c r="K214">
        <v>1.83</v>
      </c>
      <c r="L214">
        <v>41271.41</v>
      </c>
      <c r="M214" t="s">
        <v>553</v>
      </c>
      <c r="N214" t="s">
        <v>36</v>
      </c>
      <c r="O214">
        <v>4.23</v>
      </c>
      <c r="P214">
        <v>4.47</v>
      </c>
      <c r="Q214">
        <v>4.16</v>
      </c>
      <c r="R214">
        <v>4.24</v>
      </c>
      <c r="S214">
        <v>3.92</v>
      </c>
      <c r="T214">
        <v>2.55</v>
      </c>
      <c r="U214" t="s">
        <v>314</v>
      </c>
    </row>
    <row r="215" spans="1:21">
      <c r="A215" t="str">
        <f>"000657"</f>
        <v>000657</v>
      </c>
      <c r="B215" t="s">
        <v>554</v>
      </c>
      <c r="C215">
        <v>-1.46</v>
      </c>
      <c r="D215">
        <v>15.51</v>
      </c>
      <c r="E215">
        <v>-0.23</v>
      </c>
      <c r="F215">
        <v>15.5</v>
      </c>
      <c r="G215">
        <v>15.51</v>
      </c>
      <c r="H215">
        <v>512829</v>
      </c>
      <c r="I215">
        <v>5838</v>
      </c>
      <c r="J215">
        <v>0.26</v>
      </c>
      <c r="K215">
        <v>5.41</v>
      </c>
      <c r="L215">
        <v>81016.86</v>
      </c>
      <c r="M215" t="s">
        <v>555</v>
      </c>
      <c r="N215" t="s">
        <v>523</v>
      </c>
      <c r="O215">
        <v>16.18</v>
      </c>
      <c r="P215">
        <v>16.48</v>
      </c>
      <c r="Q215">
        <v>15.35</v>
      </c>
      <c r="R215">
        <v>15.74</v>
      </c>
      <c r="S215">
        <v>31.42</v>
      </c>
      <c r="T215">
        <v>1.79</v>
      </c>
      <c r="U215" t="s">
        <v>294</v>
      </c>
    </row>
    <row r="216" spans="1:21">
      <c r="A216" t="str">
        <f>"000659"</f>
        <v>000659</v>
      </c>
      <c r="B216" t="s">
        <v>556</v>
      </c>
      <c r="C216">
        <v>-1.45</v>
      </c>
      <c r="D216">
        <v>4.07</v>
      </c>
      <c r="E216">
        <v>-0.06</v>
      </c>
      <c r="F216">
        <v>4.07</v>
      </c>
      <c r="G216">
        <v>4.08</v>
      </c>
      <c r="H216">
        <v>141899</v>
      </c>
      <c r="I216">
        <v>3282</v>
      </c>
      <c r="J216">
        <v>-0.24</v>
      </c>
      <c r="K216">
        <v>1.1</v>
      </c>
      <c r="L216">
        <v>5815.17</v>
      </c>
      <c r="M216" t="s">
        <v>557</v>
      </c>
      <c r="N216" t="s">
        <v>482</v>
      </c>
      <c r="O216">
        <v>4.13</v>
      </c>
      <c r="P216">
        <v>4.16</v>
      </c>
      <c r="Q216">
        <v>4.06</v>
      </c>
      <c r="R216">
        <v>4.13</v>
      </c>
      <c r="S216">
        <v>35.79</v>
      </c>
      <c r="T216">
        <v>0.61</v>
      </c>
      <c r="U216" t="s">
        <v>183</v>
      </c>
    </row>
    <row r="217" spans="1:21">
      <c r="A217" t="str">
        <f>"000661"</f>
        <v>000661</v>
      </c>
      <c r="B217" t="s">
        <v>558</v>
      </c>
      <c r="C217">
        <v>-1.68</v>
      </c>
      <c r="D217">
        <v>284.01</v>
      </c>
      <c r="E217">
        <v>-4.85</v>
      </c>
      <c r="F217">
        <v>284.01</v>
      </c>
      <c r="G217">
        <v>284.02</v>
      </c>
      <c r="H217">
        <v>45287</v>
      </c>
      <c r="I217">
        <v>724</v>
      </c>
      <c r="J217">
        <v>-0.13</v>
      </c>
      <c r="K217">
        <v>1.22</v>
      </c>
      <c r="L217">
        <v>128889.32</v>
      </c>
      <c r="M217" t="s">
        <v>559</v>
      </c>
      <c r="N217" t="s">
        <v>231</v>
      </c>
      <c r="O217">
        <v>286.06</v>
      </c>
      <c r="P217">
        <v>288.71</v>
      </c>
      <c r="Q217">
        <v>281.21</v>
      </c>
      <c r="R217">
        <v>288.86</v>
      </c>
      <c r="S217">
        <v>27.39</v>
      </c>
      <c r="T217">
        <v>0.62</v>
      </c>
      <c r="U217" t="s">
        <v>92</v>
      </c>
    </row>
    <row r="218" spans="1:21">
      <c r="A218" t="str">
        <f>"000663"</f>
        <v>000663</v>
      </c>
      <c r="B218" t="s">
        <v>560</v>
      </c>
      <c r="C218">
        <v>-3.62</v>
      </c>
      <c r="D218">
        <v>9.33</v>
      </c>
      <c r="E218">
        <v>-0.35</v>
      </c>
      <c r="F218">
        <v>9.32</v>
      </c>
      <c r="G218">
        <v>9.33</v>
      </c>
      <c r="H218">
        <v>76423</v>
      </c>
      <c r="I218">
        <v>1428</v>
      </c>
      <c r="J218">
        <v>0.32</v>
      </c>
      <c r="K218">
        <v>2.5</v>
      </c>
      <c r="L218">
        <v>7209.95</v>
      </c>
      <c r="M218" t="s">
        <v>561</v>
      </c>
      <c r="N218" t="s">
        <v>454</v>
      </c>
      <c r="O218">
        <v>9.65</v>
      </c>
      <c r="P218">
        <v>9.73</v>
      </c>
      <c r="Q218">
        <v>9.29</v>
      </c>
      <c r="R218">
        <v>9.68</v>
      </c>
      <c r="S218">
        <v>25.61</v>
      </c>
      <c r="T218">
        <v>2.04</v>
      </c>
      <c r="U218" t="s">
        <v>339</v>
      </c>
    </row>
    <row r="219" spans="1:21">
      <c r="A219" t="str">
        <f>"000665"</f>
        <v>000665</v>
      </c>
      <c r="B219" t="s">
        <v>562</v>
      </c>
      <c r="C219">
        <v>-0.82</v>
      </c>
      <c r="D219">
        <v>3.62</v>
      </c>
      <c r="E219">
        <v>-0.03</v>
      </c>
      <c r="F219">
        <v>3.62</v>
      </c>
      <c r="G219">
        <v>3.63</v>
      </c>
      <c r="H219">
        <v>109613</v>
      </c>
      <c r="I219">
        <v>4402</v>
      </c>
      <c r="J219">
        <v>-0.54</v>
      </c>
      <c r="K219">
        <v>1.12</v>
      </c>
      <c r="L219">
        <v>3991.95</v>
      </c>
      <c r="M219" t="s">
        <v>563</v>
      </c>
      <c r="N219" t="s">
        <v>199</v>
      </c>
      <c r="O219">
        <v>3.62</v>
      </c>
      <c r="P219">
        <v>3.69</v>
      </c>
      <c r="Q219">
        <v>3.59</v>
      </c>
      <c r="R219">
        <v>3.65</v>
      </c>
      <c r="S219" t="s">
        <v>40</v>
      </c>
      <c r="T219">
        <v>0.71</v>
      </c>
      <c r="U219" t="s">
        <v>267</v>
      </c>
    </row>
    <row r="220" spans="1:21">
      <c r="A220" t="str">
        <f>"000666"</f>
        <v>000666</v>
      </c>
      <c r="B220" t="s">
        <v>564</v>
      </c>
      <c r="C220">
        <v>1.94</v>
      </c>
      <c r="D220">
        <v>8.39</v>
      </c>
      <c r="E220">
        <v>0.16</v>
      </c>
      <c r="F220">
        <v>8.38</v>
      </c>
      <c r="G220">
        <v>8.39</v>
      </c>
      <c r="H220">
        <v>40720</v>
      </c>
      <c r="I220">
        <v>268</v>
      </c>
      <c r="J220">
        <v>-0.11</v>
      </c>
      <c r="K220">
        <v>1.39</v>
      </c>
      <c r="L220">
        <v>3382.25</v>
      </c>
      <c r="M220" t="s">
        <v>565</v>
      </c>
      <c r="N220" t="s">
        <v>121</v>
      </c>
      <c r="O220">
        <v>8.27</v>
      </c>
      <c r="P220">
        <v>8.41</v>
      </c>
      <c r="Q220">
        <v>8.18</v>
      </c>
      <c r="R220">
        <v>8.23</v>
      </c>
      <c r="S220">
        <v>11.22</v>
      </c>
      <c r="T220">
        <v>0.9</v>
      </c>
      <c r="U220" t="s">
        <v>44</v>
      </c>
    </row>
    <row r="221" spans="1:21">
      <c r="A221" t="str">
        <f>"000667"</f>
        <v>000667</v>
      </c>
      <c r="B221" t="s">
        <v>566</v>
      </c>
      <c r="C221">
        <v>1.23</v>
      </c>
      <c r="D221">
        <v>1.65</v>
      </c>
      <c r="E221">
        <v>0.02</v>
      </c>
      <c r="F221">
        <v>1.64</v>
      </c>
      <c r="G221">
        <v>1.65</v>
      </c>
      <c r="H221">
        <v>298885</v>
      </c>
      <c r="I221">
        <v>4640</v>
      </c>
      <c r="J221">
        <v>0</v>
      </c>
      <c r="K221">
        <v>1.23</v>
      </c>
      <c r="L221">
        <v>4885.75</v>
      </c>
      <c r="M221" t="s">
        <v>567</v>
      </c>
      <c r="N221" t="s">
        <v>27</v>
      </c>
      <c r="O221">
        <v>1.63</v>
      </c>
      <c r="P221">
        <v>1.66</v>
      </c>
      <c r="Q221">
        <v>1.62</v>
      </c>
      <c r="R221">
        <v>1.63</v>
      </c>
      <c r="S221" t="s">
        <v>40</v>
      </c>
      <c r="T221">
        <v>1</v>
      </c>
      <c r="U221" t="s">
        <v>363</v>
      </c>
    </row>
    <row r="222" spans="1:21">
      <c r="A222" t="str">
        <f>"000668"</f>
        <v>000668</v>
      </c>
      <c r="B222" t="s">
        <v>568</v>
      </c>
      <c r="C222">
        <v>1.37</v>
      </c>
      <c r="D222">
        <v>14.09</v>
      </c>
      <c r="E222">
        <v>0.19</v>
      </c>
      <c r="F222">
        <v>14.08</v>
      </c>
      <c r="G222">
        <v>14.09</v>
      </c>
      <c r="H222">
        <v>5387</v>
      </c>
      <c r="I222">
        <v>21</v>
      </c>
      <c r="J222">
        <v>0.21</v>
      </c>
      <c r="K222">
        <v>0.37</v>
      </c>
      <c r="L222">
        <v>756.61</v>
      </c>
      <c r="M222" t="s">
        <v>569</v>
      </c>
      <c r="N222" t="s">
        <v>36</v>
      </c>
      <c r="O222">
        <v>13.84</v>
      </c>
      <c r="P222">
        <v>14.24</v>
      </c>
      <c r="Q222">
        <v>13.8</v>
      </c>
      <c r="R222">
        <v>13.9</v>
      </c>
      <c r="S222" t="s">
        <v>40</v>
      </c>
      <c r="T222">
        <v>0.75</v>
      </c>
      <c r="U222" t="s">
        <v>221</v>
      </c>
    </row>
    <row r="223" spans="1:21">
      <c r="A223" t="str">
        <f>"000669"</f>
        <v>000669</v>
      </c>
      <c r="B223" t="s">
        <v>570</v>
      </c>
      <c r="C223">
        <v>4.91</v>
      </c>
      <c r="D223">
        <v>2.35</v>
      </c>
      <c r="E223">
        <v>0.11</v>
      </c>
      <c r="F223">
        <v>2.35</v>
      </c>
      <c r="G223" t="s">
        <v>40</v>
      </c>
      <c r="H223">
        <v>138124</v>
      </c>
      <c r="I223">
        <v>534</v>
      </c>
      <c r="J223">
        <v>0</v>
      </c>
      <c r="K223">
        <v>2.03</v>
      </c>
      <c r="L223">
        <v>3183.02</v>
      </c>
      <c r="M223" t="s">
        <v>571</v>
      </c>
      <c r="N223" t="s">
        <v>238</v>
      </c>
      <c r="O223">
        <v>2.23</v>
      </c>
      <c r="P223">
        <v>2.35</v>
      </c>
      <c r="Q223">
        <v>2.21</v>
      </c>
      <c r="R223">
        <v>2.24</v>
      </c>
      <c r="S223" t="s">
        <v>40</v>
      </c>
      <c r="T223">
        <v>1.62</v>
      </c>
      <c r="U223" t="s">
        <v>92</v>
      </c>
    </row>
    <row r="224" spans="1:21">
      <c r="A224" t="str">
        <f>"000671"</f>
        <v>000671</v>
      </c>
      <c r="B224" t="s">
        <v>572</v>
      </c>
      <c r="C224">
        <v>9.82</v>
      </c>
      <c r="D224">
        <v>3.02</v>
      </c>
      <c r="E224">
        <v>0.27</v>
      </c>
      <c r="F224">
        <v>3.01</v>
      </c>
      <c r="G224">
        <v>3.02</v>
      </c>
      <c r="H224">
        <v>1705694</v>
      </c>
      <c r="I224">
        <v>26542</v>
      </c>
      <c r="J224">
        <v>0</v>
      </c>
      <c r="K224">
        <v>4.21</v>
      </c>
      <c r="L224">
        <v>49873.28</v>
      </c>
      <c r="M224" t="s">
        <v>573</v>
      </c>
      <c r="N224" t="s">
        <v>36</v>
      </c>
      <c r="O224">
        <v>2.78</v>
      </c>
      <c r="P224">
        <v>3.03</v>
      </c>
      <c r="Q224">
        <v>2.75</v>
      </c>
      <c r="R224">
        <v>2.75</v>
      </c>
      <c r="S224">
        <v>3.22</v>
      </c>
      <c r="T224">
        <v>1.37</v>
      </c>
      <c r="U224" t="s">
        <v>339</v>
      </c>
    </row>
    <row r="225" spans="1:21">
      <c r="A225" t="str">
        <f>"000672"</f>
        <v>000672</v>
      </c>
      <c r="B225" t="s">
        <v>574</v>
      </c>
      <c r="C225">
        <v>0.76</v>
      </c>
      <c r="D225">
        <v>17.34</v>
      </c>
      <c r="E225">
        <v>0.13</v>
      </c>
      <c r="F225">
        <v>17.34</v>
      </c>
      <c r="G225">
        <v>17.35</v>
      </c>
      <c r="H225">
        <v>82936</v>
      </c>
      <c r="I225">
        <v>771</v>
      </c>
      <c r="J225">
        <v>0.06</v>
      </c>
      <c r="K225">
        <v>1.02</v>
      </c>
      <c r="L225">
        <v>14262.03</v>
      </c>
      <c r="M225" t="s">
        <v>575</v>
      </c>
      <c r="N225" t="s">
        <v>75</v>
      </c>
      <c r="O225">
        <v>17.15</v>
      </c>
      <c r="P225">
        <v>17.45</v>
      </c>
      <c r="Q225">
        <v>17.03</v>
      </c>
      <c r="R225">
        <v>17.21</v>
      </c>
      <c r="S225">
        <v>6.66</v>
      </c>
      <c r="T225">
        <v>0.87</v>
      </c>
      <c r="U225" t="s">
        <v>391</v>
      </c>
    </row>
    <row r="226" spans="1:21">
      <c r="A226" t="str">
        <f>"000673"</f>
        <v>000673</v>
      </c>
      <c r="B226" t="s">
        <v>576</v>
      </c>
      <c r="C226">
        <v>-1.71</v>
      </c>
      <c r="D226">
        <v>1.72</v>
      </c>
      <c r="E226">
        <v>-0.03</v>
      </c>
      <c r="F226">
        <v>1.71</v>
      </c>
      <c r="G226">
        <v>1.72</v>
      </c>
      <c r="H226">
        <v>103899</v>
      </c>
      <c r="I226">
        <v>2252</v>
      </c>
      <c r="J226">
        <v>0</v>
      </c>
      <c r="K226">
        <v>1.32</v>
      </c>
      <c r="L226">
        <v>1793.04</v>
      </c>
      <c r="M226" t="s">
        <v>577</v>
      </c>
      <c r="N226" t="s">
        <v>199</v>
      </c>
      <c r="O226">
        <v>1.76</v>
      </c>
      <c r="P226">
        <v>1.77</v>
      </c>
      <c r="Q226">
        <v>1.7</v>
      </c>
      <c r="R226">
        <v>1.75</v>
      </c>
      <c r="S226" t="s">
        <v>40</v>
      </c>
      <c r="T226">
        <v>0.53</v>
      </c>
      <c r="U226" t="s">
        <v>232</v>
      </c>
    </row>
    <row r="227" spans="1:21">
      <c r="A227" t="str">
        <f>"000676"</f>
        <v>000676</v>
      </c>
      <c r="B227" t="s">
        <v>578</v>
      </c>
      <c r="C227">
        <v>4.41</v>
      </c>
      <c r="D227">
        <v>7.11</v>
      </c>
      <c r="E227">
        <v>0.3</v>
      </c>
      <c r="F227">
        <v>7.11</v>
      </c>
      <c r="G227">
        <v>7.12</v>
      </c>
      <c r="H227">
        <v>887317</v>
      </c>
      <c r="I227">
        <v>4263</v>
      </c>
      <c r="J227">
        <v>0</v>
      </c>
      <c r="K227">
        <v>7.72</v>
      </c>
      <c r="L227">
        <v>63462.4</v>
      </c>
      <c r="M227" t="s">
        <v>579</v>
      </c>
      <c r="N227" t="s">
        <v>479</v>
      </c>
      <c r="O227">
        <v>6.78</v>
      </c>
      <c r="P227">
        <v>7.49</v>
      </c>
      <c r="Q227">
        <v>6.73</v>
      </c>
      <c r="R227">
        <v>6.81</v>
      </c>
      <c r="S227">
        <v>30.01</v>
      </c>
      <c r="T227">
        <v>1.37</v>
      </c>
      <c r="U227" t="s">
        <v>224</v>
      </c>
    </row>
    <row r="228" spans="1:21">
      <c r="A228" t="str">
        <f>"000677"</f>
        <v>000677</v>
      </c>
      <c r="B228" t="s">
        <v>580</v>
      </c>
      <c r="C228">
        <v>1.35</v>
      </c>
      <c r="D228">
        <v>3.01</v>
      </c>
      <c r="E228">
        <v>0.04</v>
      </c>
      <c r="F228">
        <v>3</v>
      </c>
      <c r="G228">
        <v>3.01</v>
      </c>
      <c r="H228">
        <v>101276</v>
      </c>
      <c r="I228">
        <v>1632</v>
      </c>
      <c r="J228">
        <v>0.33</v>
      </c>
      <c r="K228">
        <v>1.17</v>
      </c>
      <c r="L228">
        <v>3010.55</v>
      </c>
      <c r="M228" t="s">
        <v>581</v>
      </c>
      <c r="N228" t="s">
        <v>216</v>
      </c>
      <c r="O228">
        <v>2.98</v>
      </c>
      <c r="P228">
        <v>3.01</v>
      </c>
      <c r="Q228">
        <v>2.93</v>
      </c>
      <c r="R228">
        <v>2.97</v>
      </c>
      <c r="S228">
        <v>34.19</v>
      </c>
      <c r="T228">
        <v>1</v>
      </c>
      <c r="U228" t="s">
        <v>221</v>
      </c>
    </row>
    <row r="229" spans="1:21">
      <c r="A229" t="str">
        <f>"000678"</f>
        <v>000678</v>
      </c>
      <c r="B229" t="s">
        <v>582</v>
      </c>
      <c r="C229">
        <v>1.79</v>
      </c>
      <c r="D229">
        <v>4.54</v>
      </c>
      <c r="E229">
        <v>0.08</v>
      </c>
      <c r="F229">
        <v>4.53</v>
      </c>
      <c r="G229">
        <v>4.54</v>
      </c>
      <c r="H229">
        <v>29342</v>
      </c>
      <c r="I229">
        <v>110</v>
      </c>
      <c r="J229">
        <v>0.22</v>
      </c>
      <c r="K229">
        <v>0.64</v>
      </c>
      <c r="L229">
        <v>1318.67</v>
      </c>
      <c r="M229" t="s">
        <v>583</v>
      </c>
      <c r="N229" t="s">
        <v>91</v>
      </c>
      <c r="O229">
        <v>4.46</v>
      </c>
      <c r="P229">
        <v>4.54</v>
      </c>
      <c r="Q229">
        <v>4.42</v>
      </c>
      <c r="R229">
        <v>4.46</v>
      </c>
      <c r="S229" t="s">
        <v>40</v>
      </c>
      <c r="T229">
        <v>1.09</v>
      </c>
      <c r="U229" t="s">
        <v>267</v>
      </c>
    </row>
    <row r="230" spans="1:21">
      <c r="A230" t="str">
        <f>"000679"</f>
        <v>000679</v>
      </c>
      <c r="B230" t="s">
        <v>584</v>
      </c>
      <c r="C230">
        <v>1.49</v>
      </c>
      <c r="D230">
        <v>4.09</v>
      </c>
      <c r="E230">
        <v>0.06</v>
      </c>
      <c r="F230">
        <v>4.08</v>
      </c>
      <c r="G230">
        <v>4.09</v>
      </c>
      <c r="H230">
        <v>28622</v>
      </c>
      <c r="I230">
        <v>564</v>
      </c>
      <c r="J230">
        <v>0.49</v>
      </c>
      <c r="K230">
        <v>0.8</v>
      </c>
      <c r="L230">
        <v>1166.51</v>
      </c>
      <c r="M230" t="s">
        <v>585</v>
      </c>
      <c r="N230" t="s">
        <v>258</v>
      </c>
      <c r="O230">
        <v>4.03</v>
      </c>
      <c r="P230">
        <v>4.16</v>
      </c>
      <c r="Q230">
        <v>4</v>
      </c>
      <c r="R230">
        <v>4.03</v>
      </c>
      <c r="S230" t="s">
        <v>40</v>
      </c>
      <c r="T230">
        <v>1.11</v>
      </c>
      <c r="U230" t="s">
        <v>141</v>
      </c>
    </row>
    <row r="231" spans="1:21">
      <c r="A231" t="str">
        <f>"000680"</f>
        <v>000680</v>
      </c>
      <c r="B231" t="s">
        <v>586</v>
      </c>
      <c r="C231">
        <v>1.28</v>
      </c>
      <c r="D231">
        <v>3.95</v>
      </c>
      <c r="E231">
        <v>0.05</v>
      </c>
      <c r="F231">
        <v>3.94</v>
      </c>
      <c r="G231">
        <v>3.95</v>
      </c>
      <c r="H231">
        <v>93051</v>
      </c>
      <c r="I231">
        <v>2095</v>
      </c>
      <c r="J231">
        <v>0</v>
      </c>
      <c r="K231">
        <v>0.88</v>
      </c>
      <c r="L231">
        <v>3653.91</v>
      </c>
      <c r="M231" t="s">
        <v>548</v>
      </c>
      <c r="N231" t="s">
        <v>203</v>
      </c>
      <c r="O231">
        <v>3.89</v>
      </c>
      <c r="P231">
        <v>3.96</v>
      </c>
      <c r="Q231">
        <v>3.89</v>
      </c>
      <c r="R231">
        <v>3.9</v>
      </c>
      <c r="S231">
        <v>25.17</v>
      </c>
      <c r="T231">
        <v>1.06</v>
      </c>
      <c r="U231" t="s">
        <v>221</v>
      </c>
    </row>
    <row r="232" spans="1:21">
      <c r="A232" t="str">
        <f>"000681"</f>
        <v>000681</v>
      </c>
      <c r="B232" t="s">
        <v>587</v>
      </c>
      <c r="C232">
        <v>-1.73</v>
      </c>
      <c r="D232">
        <v>17.66</v>
      </c>
      <c r="E232">
        <v>-0.31</v>
      </c>
      <c r="F232">
        <v>17.65</v>
      </c>
      <c r="G232">
        <v>17.66</v>
      </c>
      <c r="H232">
        <v>402381</v>
      </c>
      <c r="I232">
        <v>4183</v>
      </c>
      <c r="J232">
        <v>0.23</v>
      </c>
      <c r="K232">
        <v>6.66</v>
      </c>
      <c r="L232">
        <v>71689.29</v>
      </c>
      <c r="M232" t="s">
        <v>588</v>
      </c>
      <c r="N232" t="s">
        <v>479</v>
      </c>
      <c r="O232">
        <v>18.19</v>
      </c>
      <c r="P232">
        <v>18.26</v>
      </c>
      <c r="Q232">
        <v>17.57</v>
      </c>
      <c r="R232">
        <v>17.97</v>
      </c>
      <c r="S232">
        <v>61.52</v>
      </c>
      <c r="T232">
        <v>0.72</v>
      </c>
      <c r="U232" t="s">
        <v>102</v>
      </c>
    </row>
    <row r="233" spans="1:21">
      <c r="A233" t="str">
        <f>"000682"</f>
        <v>000682</v>
      </c>
      <c r="B233" t="s">
        <v>589</v>
      </c>
      <c r="C233">
        <v>2.16</v>
      </c>
      <c r="D233">
        <v>7.09</v>
      </c>
      <c r="E233">
        <v>0.15</v>
      </c>
      <c r="F233">
        <v>7.08</v>
      </c>
      <c r="G233">
        <v>7.09</v>
      </c>
      <c r="H233">
        <v>438610</v>
      </c>
      <c r="I233">
        <v>4373</v>
      </c>
      <c r="J233">
        <v>0</v>
      </c>
      <c r="K233">
        <v>3.77</v>
      </c>
      <c r="L233">
        <v>30712.51</v>
      </c>
      <c r="M233" t="s">
        <v>590</v>
      </c>
      <c r="N233" t="s">
        <v>47</v>
      </c>
      <c r="O233">
        <v>6.9</v>
      </c>
      <c r="P233">
        <v>7.12</v>
      </c>
      <c r="Q233">
        <v>6.83</v>
      </c>
      <c r="R233">
        <v>6.94</v>
      </c>
      <c r="S233">
        <v>32.4</v>
      </c>
      <c r="T233">
        <v>0.87</v>
      </c>
      <c r="U233" t="s">
        <v>221</v>
      </c>
    </row>
    <row r="234" spans="1:21">
      <c r="A234" t="str">
        <f>"000683"</f>
        <v>000683</v>
      </c>
      <c r="B234" t="s">
        <v>591</v>
      </c>
      <c r="C234">
        <v>5.14</v>
      </c>
      <c r="D234">
        <v>7.16</v>
      </c>
      <c r="E234">
        <v>0.35</v>
      </c>
      <c r="F234">
        <v>7.16</v>
      </c>
      <c r="G234">
        <v>7.17</v>
      </c>
      <c r="H234">
        <v>1670222</v>
      </c>
      <c r="I234">
        <v>13999</v>
      </c>
      <c r="J234">
        <v>-0.27</v>
      </c>
      <c r="K234">
        <v>5.02</v>
      </c>
      <c r="L234">
        <v>117315.64</v>
      </c>
      <c r="M234" t="s">
        <v>592</v>
      </c>
      <c r="N234" t="s">
        <v>309</v>
      </c>
      <c r="O234">
        <v>6.82</v>
      </c>
      <c r="P234">
        <v>7.22</v>
      </c>
      <c r="Q234">
        <v>6.67</v>
      </c>
      <c r="R234">
        <v>6.81</v>
      </c>
      <c r="S234">
        <v>9.49</v>
      </c>
      <c r="T234">
        <v>1.3</v>
      </c>
      <c r="U234" t="s">
        <v>275</v>
      </c>
    </row>
    <row r="235" spans="1:21">
      <c r="A235" t="str">
        <f>"000685"</f>
        <v>000685</v>
      </c>
      <c r="B235" t="s">
        <v>593</v>
      </c>
      <c r="C235">
        <v>1.76</v>
      </c>
      <c r="D235">
        <v>8.69</v>
      </c>
      <c r="E235">
        <v>0.15</v>
      </c>
      <c r="F235">
        <v>8.69</v>
      </c>
      <c r="G235">
        <v>8.7</v>
      </c>
      <c r="H235">
        <v>79372</v>
      </c>
      <c r="I235">
        <v>1098</v>
      </c>
      <c r="J235">
        <v>-0.1</v>
      </c>
      <c r="K235">
        <v>0.63</v>
      </c>
      <c r="L235">
        <v>6842.62</v>
      </c>
      <c r="M235" t="s">
        <v>594</v>
      </c>
      <c r="N235" t="s">
        <v>465</v>
      </c>
      <c r="O235">
        <v>8.56</v>
      </c>
      <c r="P235">
        <v>8.71</v>
      </c>
      <c r="Q235">
        <v>8.51</v>
      </c>
      <c r="R235">
        <v>8.54</v>
      </c>
      <c r="S235">
        <v>8.18</v>
      </c>
      <c r="T235">
        <v>1.26</v>
      </c>
      <c r="U235" t="s">
        <v>183</v>
      </c>
    </row>
    <row r="236" spans="1:21">
      <c r="A236" t="str">
        <f>"000686"</f>
        <v>000686</v>
      </c>
      <c r="B236" t="s">
        <v>595</v>
      </c>
      <c r="C236">
        <v>3.29</v>
      </c>
      <c r="D236">
        <v>9.1</v>
      </c>
      <c r="E236">
        <v>0.29</v>
      </c>
      <c r="F236">
        <v>9.09</v>
      </c>
      <c r="G236">
        <v>9.1</v>
      </c>
      <c r="H236">
        <v>256000</v>
      </c>
      <c r="I236">
        <v>3766</v>
      </c>
      <c r="J236">
        <v>-0.1</v>
      </c>
      <c r="K236">
        <v>1.09</v>
      </c>
      <c r="L236">
        <v>23049.79</v>
      </c>
      <c r="M236" t="s">
        <v>596</v>
      </c>
      <c r="N236" t="s">
        <v>213</v>
      </c>
      <c r="O236">
        <v>8.84</v>
      </c>
      <c r="P236">
        <v>9.18</v>
      </c>
      <c r="Q236">
        <v>8.79</v>
      </c>
      <c r="R236">
        <v>8.81</v>
      </c>
      <c r="S236">
        <v>13.15</v>
      </c>
      <c r="T236">
        <v>1.61</v>
      </c>
      <c r="U236" t="s">
        <v>92</v>
      </c>
    </row>
    <row r="237" spans="1:21">
      <c r="A237" t="str">
        <f>"000687"</f>
        <v>000687</v>
      </c>
      <c r="B237" t="s">
        <v>597</v>
      </c>
      <c r="C237">
        <v>-3.18</v>
      </c>
      <c r="D237">
        <v>2.13</v>
      </c>
      <c r="E237">
        <v>-0.07</v>
      </c>
      <c r="F237">
        <v>2.12</v>
      </c>
      <c r="G237">
        <v>2.13</v>
      </c>
      <c r="H237">
        <v>273044</v>
      </c>
      <c r="I237">
        <v>4870</v>
      </c>
      <c r="J237">
        <v>0</v>
      </c>
      <c r="K237">
        <v>3.63</v>
      </c>
      <c r="L237">
        <v>5874.2</v>
      </c>
      <c r="M237" t="s">
        <v>598</v>
      </c>
      <c r="N237" t="s">
        <v>153</v>
      </c>
      <c r="O237">
        <v>2.16</v>
      </c>
      <c r="P237">
        <v>2.24</v>
      </c>
      <c r="Q237">
        <v>2.11</v>
      </c>
      <c r="R237">
        <v>2.2</v>
      </c>
      <c r="S237" t="s">
        <v>40</v>
      </c>
      <c r="T237">
        <v>0.61</v>
      </c>
      <c r="U237" t="s">
        <v>24</v>
      </c>
    </row>
    <row r="238" spans="1:21">
      <c r="A238" t="str">
        <f>"000688"</f>
        <v>000688</v>
      </c>
      <c r="B238" t="s">
        <v>599</v>
      </c>
      <c r="C238">
        <v>2.86</v>
      </c>
      <c r="D238">
        <v>14.05</v>
      </c>
      <c r="E238">
        <v>0.39</v>
      </c>
      <c r="F238">
        <v>14.04</v>
      </c>
      <c r="G238">
        <v>14.05</v>
      </c>
      <c r="H238">
        <v>278235</v>
      </c>
      <c r="I238">
        <v>3986</v>
      </c>
      <c r="J238">
        <v>-0.06</v>
      </c>
      <c r="K238">
        <v>2.45</v>
      </c>
      <c r="L238">
        <v>39198.74</v>
      </c>
      <c r="M238" t="s">
        <v>600</v>
      </c>
      <c r="N238" t="s">
        <v>144</v>
      </c>
      <c r="O238">
        <v>13.52</v>
      </c>
      <c r="P238">
        <v>14.59</v>
      </c>
      <c r="Q238">
        <v>13.3</v>
      </c>
      <c r="R238">
        <v>13.66</v>
      </c>
      <c r="S238">
        <v>77.51</v>
      </c>
      <c r="T238">
        <v>0.96</v>
      </c>
      <c r="U238" t="s">
        <v>314</v>
      </c>
    </row>
    <row r="239" spans="1:21">
      <c r="A239" t="str">
        <f>"000690"</f>
        <v>000690</v>
      </c>
      <c r="B239" t="s">
        <v>601</v>
      </c>
      <c r="C239">
        <v>-0.18</v>
      </c>
      <c r="D239">
        <v>5.4</v>
      </c>
      <c r="E239">
        <v>-0.01</v>
      </c>
      <c r="F239">
        <v>5.4</v>
      </c>
      <c r="G239">
        <v>5.42</v>
      </c>
      <c r="H239">
        <v>202315</v>
      </c>
      <c r="I239">
        <v>4191</v>
      </c>
      <c r="J239">
        <v>-0.17</v>
      </c>
      <c r="K239">
        <v>0.97</v>
      </c>
      <c r="L239">
        <v>10880.12</v>
      </c>
      <c r="M239" t="s">
        <v>602</v>
      </c>
      <c r="N239" t="s">
        <v>83</v>
      </c>
      <c r="O239">
        <v>5.39</v>
      </c>
      <c r="P239">
        <v>5.42</v>
      </c>
      <c r="Q239">
        <v>5.32</v>
      </c>
      <c r="R239">
        <v>5.41</v>
      </c>
      <c r="S239">
        <v>10.74</v>
      </c>
      <c r="T239">
        <v>0.76</v>
      </c>
      <c r="U239" t="s">
        <v>183</v>
      </c>
    </row>
    <row r="240" spans="1:21">
      <c r="A240" t="str">
        <f>"000691"</f>
        <v>000691</v>
      </c>
      <c r="B240" t="s">
        <v>603</v>
      </c>
      <c r="C240">
        <v>1.3</v>
      </c>
      <c r="D240">
        <v>4.66</v>
      </c>
      <c r="E240">
        <v>0.06</v>
      </c>
      <c r="F240">
        <v>4.66</v>
      </c>
      <c r="G240">
        <v>4.67</v>
      </c>
      <c r="H240">
        <v>35311</v>
      </c>
      <c r="I240">
        <v>381</v>
      </c>
      <c r="J240">
        <v>0</v>
      </c>
      <c r="K240">
        <v>1.09</v>
      </c>
      <c r="L240">
        <v>1644.09</v>
      </c>
      <c r="M240" t="s">
        <v>604</v>
      </c>
      <c r="N240" t="s">
        <v>309</v>
      </c>
      <c r="O240">
        <v>4.59</v>
      </c>
      <c r="P240">
        <v>4.77</v>
      </c>
      <c r="Q240">
        <v>4.55</v>
      </c>
      <c r="R240">
        <v>4.6</v>
      </c>
      <c r="S240">
        <v>61.13</v>
      </c>
      <c r="T240">
        <v>1.4</v>
      </c>
      <c r="U240" t="s">
        <v>391</v>
      </c>
    </row>
    <row r="241" spans="1:21">
      <c r="A241" t="str">
        <f>"000692"</f>
        <v>000692</v>
      </c>
      <c r="B241" t="s">
        <v>605</v>
      </c>
      <c r="C241">
        <v>-2.96</v>
      </c>
      <c r="D241">
        <v>4.59</v>
      </c>
      <c r="E241">
        <v>-0.14</v>
      </c>
      <c r="F241">
        <v>4.59</v>
      </c>
      <c r="G241">
        <v>4.6</v>
      </c>
      <c r="H241">
        <v>259475</v>
      </c>
      <c r="I241">
        <v>2026</v>
      </c>
      <c r="J241">
        <v>0.22</v>
      </c>
      <c r="K241">
        <v>4.87</v>
      </c>
      <c r="L241">
        <v>11846.83</v>
      </c>
      <c r="M241" t="s">
        <v>606</v>
      </c>
      <c r="N241" t="s">
        <v>238</v>
      </c>
      <c r="O241">
        <v>4.61</v>
      </c>
      <c r="P241">
        <v>4.77</v>
      </c>
      <c r="Q241">
        <v>4.44</v>
      </c>
      <c r="R241">
        <v>4.73</v>
      </c>
      <c r="S241" t="s">
        <v>40</v>
      </c>
      <c r="T241">
        <v>1.05</v>
      </c>
      <c r="U241" t="s">
        <v>141</v>
      </c>
    </row>
    <row r="242" spans="1:21">
      <c r="A242" t="str">
        <f>"000695"</f>
        <v>000695</v>
      </c>
      <c r="B242" t="s">
        <v>607</v>
      </c>
      <c r="C242">
        <v>-3.07</v>
      </c>
      <c r="D242">
        <v>10.11</v>
      </c>
      <c r="E242">
        <v>-0.32</v>
      </c>
      <c r="F242">
        <v>10.1</v>
      </c>
      <c r="G242">
        <v>10.11</v>
      </c>
      <c r="H242">
        <v>49291</v>
      </c>
      <c r="I242">
        <v>1200</v>
      </c>
      <c r="J242">
        <v>-0.29</v>
      </c>
      <c r="K242">
        <v>2.22</v>
      </c>
      <c r="L242">
        <v>5046.38</v>
      </c>
      <c r="M242" t="s">
        <v>608</v>
      </c>
      <c r="N242" t="s">
        <v>482</v>
      </c>
      <c r="O242">
        <v>10.31</v>
      </c>
      <c r="P242">
        <v>10.63</v>
      </c>
      <c r="Q242">
        <v>10.06</v>
      </c>
      <c r="R242">
        <v>10.43</v>
      </c>
      <c r="S242" t="s">
        <v>40</v>
      </c>
      <c r="T242">
        <v>0.53</v>
      </c>
      <c r="U242" t="s">
        <v>360</v>
      </c>
    </row>
    <row r="243" spans="1:21">
      <c r="A243" t="str">
        <f>"000697"</f>
        <v>000697</v>
      </c>
      <c r="B243" t="s">
        <v>609</v>
      </c>
      <c r="C243">
        <v>2.89</v>
      </c>
      <c r="D243">
        <v>8.55</v>
      </c>
      <c r="E243">
        <v>0.24</v>
      </c>
      <c r="F243">
        <v>8.55</v>
      </c>
      <c r="G243">
        <v>8.56</v>
      </c>
      <c r="H243">
        <v>103218</v>
      </c>
      <c r="I243">
        <v>984</v>
      </c>
      <c r="J243">
        <v>0</v>
      </c>
      <c r="K243">
        <v>1.79</v>
      </c>
      <c r="L243">
        <v>8777.61</v>
      </c>
      <c r="M243" t="s">
        <v>610</v>
      </c>
      <c r="N243" t="s">
        <v>611</v>
      </c>
      <c r="O243">
        <v>8.49</v>
      </c>
      <c r="P243">
        <v>8.62</v>
      </c>
      <c r="Q243">
        <v>8.37</v>
      </c>
      <c r="R243">
        <v>8.31</v>
      </c>
      <c r="S243" t="s">
        <v>40</v>
      </c>
      <c r="T243">
        <v>1.74</v>
      </c>
      <c r="U243" t="s">
        <v>317</v>
      </c>
    </row>
    <row r="244" spans="1:21">
      <c r="A244" t="str">
        <f>"000698"</f>
        <v>000698</v>
      </c>
      <c r="B244" t="s">
        <v>612</v>
      </c>
      <c r="C244">
        <v>2.62</v>
      </c>
      <c r="D244">
        <v>5.87</v>
      </c>
      <c r="E244">
        <v>0.15</v>
      </c>
      <c r="F244">
        <v>5.86</v>
      </c>
      <c r="G244">
        <v>5.87</v>
      </c>
      <c r="H244">
        <v>172915</v>
      </c>
      <c r="I244">
        <v>3225</v>
      </c>
      <c r="J244">
        <v>0.34</v>
      </c>
      <c r="K244">
        <v>2.2</v>
      </c>
      <c r="L244">
        <v>9997.55</v>
      </c>
      <c r="M244" t="s">
        <v>613</v>
      </c>
      <c r="N244" t="s">
        <v>309</v>
      </c>
      <c r="O244">
        <v>5.7</v>
      </c>
      <c r="P244">
        <v>5.87</v>
      </c>
      <c r="Q244">
        <v>5.63</v>
      </c>
      <c r="R244">
        <v>5.72</v>
      </c>
      <c r="S244">
        <v>11.18</v>
      </c>
      <c r="T244">
        <v>1.94</v>
      </c>
      <c r="U244" t="s">
        <v>141</v>
      </c>
    </row>
    <row r="245" spans="1:21">
      <c r="A245" t="str">
        <f>"000700"</f>
        <v>000700</v>
      </c>
      <c r="B245" t="s">
        <v>614</v>
      </c>
      <c r="C245">
        <v>0.79</v>
      </c>
      <c r="D245">
        <v>5.09</v>
      </c>
      <c r="E245">
        <v>0.04</v>
      </c>
      <c r="F245">
        <v>5.09</v>
      </c>
      <c r="G245">
        <v>5.1</v>
      </c>
      <c r="H245">
        <v>167595</v>
      </c>
      <c r="I245">
        <v>1275</v>
      </c>
      <c r="J245">
        <v>0</v>
      </c>
      <c r="K245">
        <v>1.83</v>
      </c>
      <c r="L245">
        <v>8485.06</v>
      </c>
      <c r="M245" t="s">
        <v>615</v>
      </c>
      <c r="N245" t="s">
        <v>91</v>
      </c>
      <c r="O245">
        <v>5.03</v>
      </c>
      <c r="P245">
        <v>5.12</v>
      </c>
      <c r="Q245">
        <v>4.99</v>
      </c>
      <c r="R245">
        <v>5.05</v>
      </c>
      <c r="S245" t="s">
        <v>40</v>
      </c>
      <c r="T245">
        <v>0.48</v>
      </c>
      <c r="U245" t="s">
        <v>102</v>
      </c>
    </row>
    <row r="246" spans="1:21">
      <c r="A246" t="str">
        <f>"000701"</f>
        <v>000701</v>
      </c>
      <c r="B246" t="s">
        <v>616</v>
      </c>
      <c r="C246">
        <v>0.81</v>
      </c>
      <c r="D246">
        <v>4.98</v>
      </c>
      <c r="E246">
        <v>0.04</v>
      </c>
      <c r="F246">
        <v>4.97</v>
      </c>
      <c r="G246">
        <v>4.98</v>
      </c>
      <c r="H246">
        <v>13154</v>
      </c>
      <c r="I246">
        <v>180</v>
      </c>
      <c r="J246">
        <v>-0.19</v>
      </c>
      <c r="K246">
        <v>0.32</v>
      </c>
      <c r="L246">
        <v>651.69</v>
      </c>
      <c r="M246" t="s">
        <v>617</v>
      </c>
      <c r="N246" t="s">
        <v>99</v>
      </c>
      <c r="O246">
        <v>4.92</v>
      </c>
      <c r="P246">
        <v>5</v>
      </c>
      <c r="Q246">
        <v>4.89</v>
      </c>
      <c r="R246">
        <v>4.94</v>
      </c>
      <c r="S246">
        <v>40.2</v>
      </c>
      <c r="T246">
        <v>0.64</v>
      </c>
      <c r="U246" t="s">
        <v>339</v>
      </c>
    </row>
    <row r="247" spans="1:21">
      <c r="A247" t="str">
        <f>"000702"</f>
        <v>000702</v>
      </c>
      <c r="B247" t="s">
        <v>618</v>
      </c>
      <c r="C247">
        <v>-0.41</v>
      </c>
      <c r="D247">
        <v>4.8</v>
      </c>
      <c r="E247">
        <v>-0.02</v>
      </c>
      <c r="F247">
        <v>4.8</v>
      </c>
      <c r="G247">
        <v>4.81</v>
      </c>
      <c r="H247">
        <v>23664</v>
      </c>
      <c r="I247">
        <v>853</v>
      </c>
      <c r="J247">
        <v>-0.2</v>
      </c>
      <c r="K247">
        <v>0.89</v>
      </c>
      <c r="L247">
        <v>1136.48</v>
      </c>
      <c r="M247" t="s">
        <v>619</v>
      </c>
      <c r="N247" t="s">
        <v>124</v>
      </c>
      <c r="O247">
        <v>4.78</v>
      </c>
      <c r="P247">
        <v>4.85</v>
      </c>
      <c r="Q247">
        <v>4.76</v>
      </c>
      <c r="R247">
        <v>4.82</v>
      </c>
      <c r="S247" t="s">
        <v>40</v>
      </c>
      <c r="T247">
        <v>0.59</v>
      </c>
      <c r="U247" t="s">
        <v>204</v>
      </c>
    </row>
    <row r="248" spans="1:21">
      <c r="A248" t="str">
        <f>"000703"</f>
        <v>000703</v>
      </c>
      <c r="B248" t="s">
        <v>620</v>
      </c>
      <c r="C248">
        <v>-0.19</v>
      </c>
      <c r="D248">
        <v>10.45</v>
      </c>
      <c r="E248">
        <v>-0.02</v>
      </c>
      <c r="F248">
        <v>10.45</v>
      </c>
      <c r="G248">
        <v>10.46</v>
      </c>
      <c r="H248">
        <v>127703</v>
      </c>
      <c r="I248">
        <v>9706</v>
      </c>
      <c r="J248">
        <v>0</v>
      </c>
      <c r="K248">
        <v>0.38</v>
      </c>
      <c r="L248">
        <v>13312.04</v>
      </c>
      <c r="M248" t="s">
        <v>621</v>
      </c>
      <c r="N248" t="s">
        <v>216</v>
      </c>
      <c r="O248">
        <v>10.44</v>
      </c>
      <c r="P248">
        <v>10.48</v>
      </c>
      <c r="Q248">
        <v>10.38</v>
      </c>
      <c r="R248">
        <v>10.47</v>
      </c>
      <c r="S248">
        <v>9.32</v>
      </c>
      <c r="T248">
        <v>1.01</v>
      </c>
      <c r="U248" t="s">
        <v>342</v>
      </c>
    </row>
    <row r="249" spans="1:21">
      <c r="A249" t="str">
        <f>"000705"</f>
        <v>000705</v>
      </c>
      <c r="B249" t="s">
        <v>622</v>
      </c>
      <c r="C249">
        <v>0.85</v>
      </c>
      <c r="D249">
        <v>7.11</v>
      </c>
      <c r="E249">
        <v>0.06</v>
      </c>
      <c r="F249">
        <v>7.1</v>
      </c>
      <c r="G249">
        <v>7.11</v>
      </c>
      <c r="H249">
        <v>22179</v>
      </c>
      <c r="I249">
        <v>211</v>
      </c>
      <c r="J249">
        <v>0</v>
      </c>
      <c r="K249">
        <v>0.79</v>
      </c>
      <c r="L249">
        <v>1567.93</v>
      </c>
      <c r="M249" t="s">
        <v>623</v>
      </c>
      <c r="N249" t="s">
        <v>86</v>
      </c>
      <c r="O249">
        <v>7.05</v>
      </c>
      <c r="P249">
        <v>7.12</v>
      </c>
      <c r="Q249">
        <v>7</v>
      </c>
      <c r="R249">
        <v>7.05</v>
      </c>
      <c r="S249">
        <v>31.27</v>
      </c>
      <c r="T249">
        <v>1.22</v>
      </c>
      <c r="U249" t="s">
        <v>200</v>
      </c>
    </row>
    <row r="250" spans="1:21">
      <c r="A250" t="str">
        <f>"000707"</f>
        <v>000707</v>
      </c>
      <c r="B250" t="s">
        <v>624</v>
      </c>
      <c r="C250">
        <v>2.28</v>
      </c>
      <c r="D250">
        <v>7.19</v>
      </c>
      <c r="E250">
        <v>0.16</v>
      </c>
      <c r="F250">
        <v>7.18</v>
      </c>
      <c r="G250">
        <v>7.2</v>
      </c>
      <c r="H250">
        <v>67245</v>
      </c>
      <c r="I250">
        <v>611</v>
      </c>
      <c r="J250">
        <v>-0.27</v>
      </c>
      <c r="K250">
        <v>1.45</v>
      </c>
      <c r="L250">
        <v>4778.5</v>
      </c>
      <c r="M250" t="s">
        <v>625</v>
      </c>
      <c r="N250" t="s">
        <v>309</v>
      </c>
      <c r="O250">
        <v>7.05</v>
      </c>
      <c r="P250">
        <v>7.22</v>
      </c>
      <c r="Q250">
        <v>6.93</v>
      </c>
      <c r="R250">
        <v>7.03</v>
      </c>
      <c r="S250">
        <v>19.71</v>
      </c>
      <c r="T250">
        <v>0.64</v>
      </c>
      <c r="U250" t="s">
        <v>267</v>
      </c>
    </row>
    <row r="251" spans="1:21">
      <c r="A251" t="str">
        <f>"000708"</f>
        <v>000708</v>
      </c>
      <c r="B251" t="s">
        <v>626</v>
      </c>
      <c r="C251">
        <v>-1.03</v>
      </c>
      <c r="D251">
        <v>21.1</v>
      </c>
      <c r="E251">
        <v>-0.22</v>
      </c>
      <c r="F251">
        <v>21.1</v>
      </c>
      <c r="G251">
        <v>21.11</v>
      </c>
      <c r="H251">
        <v>80471</v>
      </c>
      <c r="I251">
        <v>870</v>
      </c>
      <c r="J251">
        <v>-0.04</v>
      </c>
      <c r="K251">
        <v>0.64</v>
      </c>
      <c r="L251">
        <v>16904.28</v>
      </c>
      <c r="M251" t="s">
        <v>627</v>
      </c>
      <c r="N251" t="s">
        <v>628</v>
      </c>
      <c r="O251">
        <v>21.02</v>
      </c>
      <c r="P251">
        <v>21.24</v>
      </c>
      <c r="Q251">
        <v>20.6</v>
      </c>
      <c r="R251">
        <v>21.32</v>
      </c>
      <c r="S251">
        <v>13.18</v>
      </c>
      <c r="T251">
        <v>0.81</v>
      </c>
      <c r="U251" t="s">
        <v>267</v>
      </c>
    </row>
    <row r="252" spans="1:21">
      <c r="A252" t="str">
        <f>"000709"</f>
        <v>000709</v>
      </c>
      <c r="B252" t="s">
        <v>629</v>
      </c>
      <c r="C252">
        <v>1.32</v>
      </c>
      <c r="D252">
        <v>2.3</v>
      </c>
      <c r="E252">
        <v>0.03</v>
      </c>
      <c r="F252">
        <v>2.3</v>
      </c>
      <c r="G252">
        <v>2.31</v>
      </c>
      <c r="H252">
        <v>632555</v>
      </c>
      <c r="I252">
        <v>8100</v>
      </c>
      <c r="J252">
        <v>-0.42</v>
      </c>
      <c r="K252">
        <v>0.6</v>
      </c>
      <c r="L252">
        <v>14398.11</v>
      </c>
      <c r="M252" t="s">
        <v>630</v>
      </c>
      <c r="N252" t="s">
        <v>551</v>
      </c>
      <c r="O252">
        <v>2.26</v>
      </c>
      <c r="P252">
        <v>2.31</v>
      </c>
      <c r="Q252">
        <v>2.24</v>
      </c>
      <c r="R252">
        <v>2.27</v>
      </c>
      <c r="S252">
        <v>7.73</v>
      </c>
      <c r="T252">
        <v>1.12</v>
      </c>
      <c r="U252" t="s">
        <v>207</v>
      </c>
    </row>
    <row r="253" spans="1:21">
      <c r="A253" t="str">
        <f>"000710"</f>
        <v>000710</v>
      </c>
      <c r="B253" t="s">
        <v>631</v>
      </c>
      <c r="C253">
        <v>0.77</v>
      </c>
      <c r="D253">
        <v>20.99</v>
      </c>
      <c r="E253">
        <v>0.16</v>
      </c>
      <c r="F253">
        <v>20.99</v>
      </c>
      <c r="G253">
        <v>21</v>
      </c>
      <c r="H253">
        <v>19427</v>
      </c>
      <c r="I253">
        <v>227</v>
      </c>
      <c r="J253">
        <v>0.1</v>
      </c>
      <c r="K253">
        <v>0.65</v>
      </c>
      <c r="L253">
        <v>4045.34</v>
      </c>
      <c r="M253" t="s">
        <v>632</v>
      </c>
      <c r="N253" t="s">
        <v>186</v>
      </c>
      <c r="O253">
        <v>20.83</v>
      </c>
      <c r="P253">
        <v>21</v>
      </c>
      <c r="Q253">
        <v>20.55</v>
      </c>
      <c r="R253">
        <v>20.83</v>
      </c>
      <c r="S253">
        <v>199.05</v>
      </c>
      <c r="T253">
        <v>0.5</v>
      </c>
      <c r="U253" t="s">
        <v>196</v>
      </c>
    </row>
    <row r="254" spans="1:21">
      <c r="A254" t="str">
        <f>"000711"</f>
        <v>000711</v>
      </c>
      <c r="B254" t="s">
        <v>633</v>
      </c>
      <c r="C254">
        <v>-1.06</v>
      </c>
      <c r="D254">
        <v>2.79</v>
      </c>
      <c r="E254">
        <v>-0.03</v>
      </c>
      <c r="F254">
        <v>2.78</v>
      </c>
      <c r="G254">
        <v>2.79</v>
      </c>
      <c r="H254">
        <v>69359</v>
      </c>
      <c r="I254">
        <v>434</v>
      </c>
      <c r="J254">
        <v>0</v>
      </c>
      <c r="K254">
        <v>0.84</v>
      </c>
      <c r="L254">
        <v>1924.83</v>
      </c>
      <c r="M254" t="s">
        <v>634</v>
      </c>
      <c r="N254" t="s">
        <v>33</v>
      </c>
      <c r="O254">
        <v>2.81</v>
      </c>
      <c r="P254">
        <v>2.82</v>
      </c>
      <c r="Q254">
        <v>2.75</v>
      </c>
      <c r="R254">
        <v>2.82</v>
      </c>
      <c r="S254" t="s">
        <v>40</v>
      </c>
      <c r="T254">
        <v>0.7</v>
      </c>
      <c r="U254" t="s">
        <v>445</v>
      </c>
    </row>
    <row r="255" spans="1:21">
      <c r="A255" t="str">
        <f>"000712"</f>
        <v>000712</v>
      </c>
      <c r="B255" t="s">
        <v>635</v>
      </c>
      <c r="C255">
        <v>1.35</v>
      </c>
      <c r="D255">
        <v>16.56</v>
      </c>
      <c r="E255">
        <v>0.22</v>
      </c>
      <c r="F255">
        <v>16.55</v>
      </c>
      <c r="G255">
        <v>16.56</v>
      </c>
      <c r="H255">
        <v>95068</v>
      </c>
      <c r="I255">
        <v>2096</v>
      </c>
      <c r="J255">
        <v>-0.05</v>
      </c>
      <c r="K255">
        <v>1.19</v>
      </c>
      <c r="L255">
        <v>15659.12</v>
      </c>
      <c r="M255" t="s">
        <v>636</v>
      </c>
      <c r="N255" t="s">
        <v>213</v>
      </c>
      <c r="O255">
        <v>16.31</v>
      </c>
      <c r="P255">
        <v>16.66</v>
      </c>
      <c r="Q255">
        <v>16.21</v>
      </c>
      <c r="R255">
        <v>16.34</v>
      </c>
      <c r="S255">
        <v>326.78</v>
      </c>
      <c r="T255">
        <v>1.02</v>
      </c>
      <c r="U255" t="s">
        <v>183</v>
      </c>
    </row>
    <row r="256" spans="1:21">
      <c r="A256" t="str">
        <f>"000713"</f>
        <v>000713</v>
      </c>
      <c r="B256" t="s">
        <v>637</v>
      </c>
      <c r="C256">
        <v>0.33</v>
      </c>
      <c r="D256">
        <v>9.1</v>
      </c>
      <c r="E256">
        <v>0.03</v>
      </c>
      <c r="F256">
        <v>9.1</v>
      </c>
      <c r="G256">
        <v>9.11</v>
      </c>
      <c r="H256">
        <v>121659</v>
      </c>
      <c r="I256">
        <v>2341</v>
      </c>
      <c r="J256">
        <v>0</v>
      </c>
      <c r="K256">
        <v>2.18</v>
      </c>
      <c r="L256">
        <v>11017.58</v>
      </c>
      <c r="M256" t="s">
        <v>638</v>
      </c>
      <c r="N256" t="s">
        <v>639</v>
      </c>
      <c r="O256">
        <v>9.04</v>
      </c>
      <c r="P256">
        <v>9.1</v>
      </c>
      <c r="Q256">
        <v>8.99</v>
      </c>
      <c r="R256">
        <v>9.07</v>
      </c>
      <c r="S256" t="s">
        <v>40</v>
      </c>
      <c r="T256">
        <v>0.44</v>
      </c>
      <c r="U256" t="s">
        <v>193</v>
      </c>
    </row>
    <row r="257" spans="1:21">
      <c r="A257" t="str">
        <f>"000715"</f>
        <v>000715</v>
      </c>
      <c r="B257" t="s">
        <v>640</v>
      </c>
      <c r="C257">
        <v>0.65</v>
      </c>
      <c r="D257">
        <v>4.64</v>
      </c>
      <c r="E257">
        <v>0.03</v>
      </c>
      <c r="F257">
        <v>4.62</v>
      </c>
      <c r="G257">
        <v>4.64</v>
      </c>
      <c r="H257">
        <v>18281</v>
      </c>
      <c r="I257">
        <v>183</v>
      </c>
      <c r="J257">
        <v>0.22</v>
      </c>
      <c r="K257">
        <v>0.44</v>
      </c>
      <c r="L257">
        <v>844.44</v>
      </c>
      <c r="M257" t="s">
        <v>641</v>
      </c>
      <c r="N257" t="s">
        <v>258</v>
      </c>
      <c r="O257">
        <v>4.62</v>
      </c>
      <c r="P257">
        <v>4.65</v>
      </c>
      <c r="Q257">
        <v>4.57</v>
      </c>
      <c r="R257">
        <v>4.61</v>
      </c>
      <c r="S257">
        <v>16.93</v>
      </c>
      <c r="T257">
        <v>0.6</v>
      </c>
      <c r="U257" t="s">
        <v>141</v>
      </c>
    </row>
    <row r="258" spans="1:21">
      <c r="A258" t="str">
        <f>"000716"</f>
        <v>000716</v>
      </c>
      <c r="B258" t="s">
        <v>642</v>
      </c>
      <c r="C258">
        <v>0</v>
      </c>
      <c r="D258">
        <v>3.3</v>
      </c>
      <c r="E258">
        <v>0</v>
      </c>
      <c r="F258">
        <v>3.3</v>
      </c>
      <c r="G258">
        <v>3.31</v>
      </c>
      <c r="H258">
        <v>115869</v>
      </c>
      <c r="I258">
        <v>1269</v>
      </c>
      <c r="J258">
        <v>0</v>
      </c>
      <c r="K258">
        <v>1.66</v>
      </c>
      <c r="L258">
        <v>3811.97</v>
      </c>
      <c r="M258" t="s">
        <v>643</v>
      </c>
      <c r="N258" t="s">
        <v>299</v>
      </c>
      <c r="O258">
        <v>3.31</v>
      </c>
      <c r="P258">
        <v>3.32</v>
      </c>
      <c r="Q258">
        <v>3.26</v>
      </c>
      <c r="R258">
        <v>3.3</v>
      </c>
      <c r="S258">
        <v>128.89</v>
      </c>
      <c r="T258">
        <v>0.93</v>
      </c>
      <c r="U258" t="s">
        <v>342</v>
      </c>
    </row>
    <row r="259" spans="1:21">
      <c r="A259" t="str">
        <f>"000717"</f>
        <v>000717</v>
      </c>
      <c r="B259" t="s">
        <v>644</v>
      </c>
      <c r="C259">
        <v>3.02</v>
      </c>
      <c r="D259">
        <v>4.1</v>
      </c>
      <c r="E259">
        <v>0.12</v>
      </c>
      <c r="F259">
        <v>4.09</v>
      </c>
      <c r="G259">
        <v>4.1</v>
      </c>
      <c r="H259">
        <v>558732</v>
      </c>
      <c r="I259">
        <v>4793</v>
      </c>
      <c r="J259">
        <v>0</v>
      </c>
      <c r="K259">
        <v>2.31</v>
      </c>
      <c r="L259">
        <v>22532.28</v>
      </c>
      <c r="M259" t="s">
        <v>645</v>
      </c>
      <c r="N259" t="s">
        <v>551</v>
      </c>
      <c r="O259">
        <v>3.99</v>
      </c>
      <c r="P259">
        <v>4.11</v>
      </c>
      <c r="Q259">
        <v>3.92</v>
      </c>
      <c r="R259">
        <v>3.98</v>
      </c>
      <c r="S259">
        <v>4.49</v>
      </c>
      <c r="T259">
        <v>1.57</v>
      </c>
      <c r="U259" t="s">
        <v>183</v>
      </c>
    </row>
    <row r="260" spans="1:21">
      <c r="A260" t="str">
        <f>"000718"</f>
        <v>000718</v>
      </c>
      <c r="B260" t="s">
        <v>646</v>
      </c>
      <c r="C260">
        <v>1.14</v>
      </c>
      <c r="D260">
        <v>4.45</v>
      </c>
      <c r="E260">
        <v>0.05</v>
      </c>
      <c r="F260">
        <v>4.45</v>
      </c>
      <c r="G260">
        <v>4.46</v>
      </c>
      <c r="H260">
        <v>246152</v>
      </c>
      <c r="I260">
        <v>3802</v>
      </c>
      <c r="J260">
        <v>0</v>
      </c>
      <c r="K260">
        <v>1.08</v>
      </c>
      <c r="L260">
        <v>10871.95</v>
      </c>
      <c r="M260" t="s">
        <v>647</v>
      </c>
      <c r="N260" t="s">
        <v>36</v>
      </c>
      <c r="O260">
        <v>4.41</v>
      </c>
      <c r="P260">
        <v>4.49</v>
      </c>
      <c r="Q260">
        <v>4.36</v>
      </c>
      <c r="R260">
        <v>4.4</v>
      </c>
      <c r="S260">
        <v>13.66</v>
      </c>
      <c r="T260">
        <v>0.86</v>
      </c>
      <c r="U260" t="s">
        <v>92</v>
      </c>
    </row>
    <row r="261" spans="1:21">
      <c r="A261" t="str">
        <f>"000719"</f>
        <v>000719</v>
      </c>
      <c r="B261" t="s">
        <v>648</v>
      </c>
      <c r="C261">
        <v>-0.14</v>
      </c>
      <c r="D261">
        <v>6.9</v>
      </c>
      <c r="E261">
        <v>-0.01</v>
      </c>
      <c r="F261">
        <v>6.9</v>
      </c>
      <c r="G261">
        <v>6.91</v>
      </c>
      <c r="H261">
        <v>22505</v>
      </c>
      <c r="I261">
        <v>980</v>
      </c>
      <c r="J261">
        <v>0</v>
      </c>
      <c r="K261">
        <v>0.34</v>
      </c>
      <c r="L261">
        <v>1548.58</v>
      </c>
      <c r="M261" t="s">
        <v>649</v>
      </c>
      <c r="N261" t="s">
        <v>650</v>
      </c>
      <c r="O261">
        <v>6.89</v>
      </c>
      <c r="P261">
        <v>6.91</v>
      </c>
      <c r="Q261">
        <v>6.85</v>
      </c>
      <c r="R261">
        <v>6.91</v>
      </c>
      <c r="S261">
        <v>8.39</v>
      </c>
      <c r="T261">
        <v>0.77</v>
      </c>
      <c r="U261" t="s">
        <v>224</v>
      </c>
    </row>
    <row r="262" spans="1:21">
      <c r="A262" t="str">
        <f>"000720"</f>
        <v>000720</v>
      </c>
      <c r="B262" t="s">
        <v>651</v>
      </c>
      <c r="C262">
        <v>0.54</v>
      </c>
      <c r="D262">
        <v>5.62</v>
      </c>
      <c r="E262">
        <v>0.03</v>
      </c>
      <c r="F262">
        <v>5.62</v>
      </c>
      <c r="G262">
        <v>5.63</v>
      </c>
      <c r="H262">
        <v>91276</v>
      </c>
      <c r="I262">
        <v>1228</v>
      </c>
      <c r="J262">
        <v>0</v>
      </c>
      <c r="K262">
        <v>0.71</v>
      </c>
      <c r="L262">
        <v>5085.7</v>
      </c>
      <c r="M262" t="s">
        <v>652</v>
      </c>
      <c r="N262" t="s">
        <v>36</v>
      </c>
      <c r="O262">
        <v>5.56</v>
      </c>
      <c r="P262">
        <v>5.69</v>
      </c>
      <c r="Q262">
        <v>5.49</v>
      </c>
      <c r="R262">
        <v>5.59</v>
      </c>
      <c r="S262" t="s">
        <v>40</v>
      </c>
      <c r="T262">
        <v>0.74</v>
      </c>
      <c r="U262" t="s">
        <v>221</v>
      </c>
    </row>
    <row r="263" spans="1:21">
      <c r="A263" t="str">
        <f>"000721"</f>
        <v>000721</v>
      </c>
      <c r="B263" t="s">
        <v>653</v>
      </c>
      <c r="C263">
        <v>0</v>
      </c>
      <c r="D263">
        <v>3.78</v>
      </c>
      <c r="E263">
        <v>0</v>
      </c>
      <c r="F263">
        <v>3.77</v>
      </c>
      <c r="G263">
        <v>3.78</v>
      </c>
      <c r="H263">
        <v>28137</v>
      </c>
      <c r="I263">
        <v>505</v>
      </c>
      <c r="J263">
        <v>0</v>
      </c>
      <c r="K263">
        <v>0.65</v>
      </c>
      <c r="L263">
        <v>1058.81</v>
      </c>
      <c r="M263" t="s">
        <v>654</v>
      </c>
      <c r="N263" t="s">
        <v>39</v>
      </c>
      <c r="O263">
        <v>3.79</v>
      </c>
      <c r="P263">
        <v>3.8</v>
      </c>
      <c r="Q263">
        <v>3.73</v>
      </c>
      <c r="R263">
        <v>3.78</v>
      </c>
      <c r="S263" t="s">
        <v>40</v>
      </c>
      <c r="T263">
        <v>0.78</v>
      </c>
      <c r="U263" t="s">
        <v>317</v>
      </c>
    </row>
    <row r="264" spans="1:21">
      <c r="A264" t="str">
        <f>"000722"</f>
        <v>000722</v>
      </c>
      <c r="B264" t="s">
        <v>655</v>
      </c>
      <c r="C264">
        <v>0.26</v>
      </c>
      <c r="D264">
        <v>7.81</v>
      </c>
      <c r="E264">
        <v>0.02</v>
      </c>
      <c r="F264">
        <v>7.81</v>
      </c>
      <c r="G264">
        <v>7.82</v>
      </c>
      <c r="H264">
        <v>112257</v>
      </c>
      <c r="I264">
        <v>1058</v>
      </c>
      <c r="J264">
        <v>0.13</v>
      </c>
      <c r="K264">
        <v>2.42</v>
      </c>
      <c r="L264">
        <v>8739.67</v>
      </c>
      <c r="M264" t="s">
        <v>656</v>
      </c>
      <c r="N264" t="s">
        <v>472</v>
      </c>
      <c r="O264">
        <v>7.76</v>
      </c>
      <c r="P264">
        <v>7.9</v>
      </c>
      <c r="Q264">
        <v>7.66</v>
      </c>
      <c r="R264">
        <v>7.79</v>
      </c>
      <c r="S264">
        <v>26.2</v>
      </c>
      <c r="T264">
        <v>0.81</v>
      </c>
      <c r="U264" t="s">
        <v>204</v>
      </c>
    </row>
    <row r="265" spans="1:21">
      <c r="A265" t="str">
        <f>"000723"</f>
        <v>000723</v>
      </c>
      <c r="B265" t="s">
        <v>657</v>
      </c>
      <c r="C265">
        <v>10.04</v>
      </c>
      <c r="D265">
        <v>12.5</v>
      </c>
      <c r="E265">
        <v>1.14</v>
      </c>
      <c r="F265">
        <v>12.5</v>
      </c>
      <c r="G265" t="s">
        <v>40</v>
      </c>
      <c r="H265">
        <v>2966510</v>
      </c>
      <c r="I265">
        <v>6164</v>
      </c>
      <c r="J265">
        <v>0</v>
      </c>
      <c r="K265">
        <v>7.47</v>
      </c>
      <c r="L265">
        <v>359912.55</v>
      </c>
      <c r="M265" t="s">
        <v>658</v>
      </c>
      <c r="N265" t="s">
        <v>659</v>
      </c>
      <c r="O265">
        <v>11.09</v>
      </c>
      <c r="P265">
        <v>12.5</v>
      </c>
      <c r="Q265">
        <v>11.06</v>
      </c>
      <c r="R265">
        <v>11.36</v>
      </c>
      <c r="S265">
        <v>19.77</v>
      </c>
      <c r="T265">
        <v>2.45</v>
      </c>
      <c r="U265" t="s">
        <v>232</v>
      </c>
    </row>
    <row r="266" spans="1:21">
      <c r="A266" t="str">
        <f>"000725"</f>
        <v>000725</v>
      </c>
      <c r="B266" t="s">
        <v>660</v>
      </c>
      <c r="C266">
        <v>0.82</v>
      </c>
      <c r="D266">
        <v>4.93</v>
      </c>
      <c r="E266">
        <v>0.04</v>
      </c>
      <c r="F266">
        <v>4.92</v>
      </c>
      <c r="G266">
        <v>4.93</v>
      </c>
      <c r="H266">
        <v>2534350</v>
      </c>
      <c r="I266">
        <v>34565</v>
      </c>
      <c r="J266">
        <v>0.2</v>
      </c>
      <c r="K266">
        <v>0.76</v>
      </c>
      <c r="L266">
        <v>124437.22</v>
      </c>
      <c r="M266" t="s">
        <v>661</v>
      </c>
      <c r="N266" t="s">
        <v>69</v>
      </c>
      <c r="O266">
        <v>4.88</v>
      </c>
      <c r="P266">
        <v>4.93</v>
      </c>
      <c r="Q266">
        <v>4.87</v>
      </c>
      <c r="R266">
        <v>4.89</v>
      </c>
      <c r="S266">
        <v>7.1</v>
      </c>
      <c r="T266">
        <v>0.78</v>
      </c>
      <c r="U266" t="s">
        <v>44</v>
      </c>
    </row>
    <row r="267" spans="1:21">
      <c r="A267" t="str">
        <f>"000726"</f>
        <v>000726</v>
      </c>
      <c r="B267" t="s">
        <v>662</v>
      </c>
      <c r="C267">
        <v>0.49</v>
      </c>
      <c r="D267">
        <v>6.18</v>
      </c>
      <c r="E267">
        <v>0.03</v>
      </c>
      <c r="F267">
        <v>6.18</v>
      </c>
      <c r="G267">
        <v>6.19</v>
      </c>
      <c r="H267">
        <v>28740</v>
      </c>
      <c r="I267">
        <v>342</v>
      </c>
      <c r="J267">
        <v>0.16</v>
      </c>
      <c r="K267">
        <v>0.51</v>
      </c>
      <c r="L267">
        <v>1770.43</v>
      </c>
      <c r="M267" t="s">
        <v>663</v>
      </c>
      <c r="N267" t="s">
        <v>664</v>
      </c>
      <c r="O267">
        <v>6.15</v>
      </c>
      <c r="P267">
        <v>6.19</v>
      </c>
      <c r="Q267">
        <v>6.13</v>
      </c>
      <c r="R267">
        <v>6.15</v>
      </c>
      <c r="S267">
        <v>16.55</v>
      </c>
      <c r="T267">
        <v>0.74</v>
      </c>
      <c r="U267" t="s">
        <v>221</v>
      </c>
    </row>
    <row r="268" spans="1:21">
      <c r="A268" t="str">
        <f>"000727"</f>
        <v>000727</v>
      </c>
      <c r="B268" t="s">
        <v>665</v>
      </c>
      <c r="C268">
        <v>-1.39</v>
      </c>
      <c r="D268">
        <v>2.84</v>
      </c>
      <c r="E268">
        <v>-0.04</v>
      </c>
      <c r="F268">
        <v>2.84</v>
      </c>
      <c r="G268">
        <v>2.85</v>
      </c>
      <c r="H268">
        <v>1423411</v>
      </c>
      <c r="I268">
        <v>35439</v>
      </c>
      <c r="J268">
        <v>-0.34</v>
      </c>
      <c r="K268">
        <v>4.16</v>
      </c>
      <c r="L268">
        <v>40674.98</v>
      </c>
      <c r="M268" t="s">
        <v>666</v>
      </c>
      <c r="N268" t="s">
        <v>69</v>
      </c>
      <c r="O268">
        <v>2.85</v>
      </c>
      <c r="P268">
        <v>2.91</v>
      </c>
      <c r="Q268">
        <v>2.82</v>
      </c>
      <c r="R268">
        <v>2.88</v>
      </c>
      <c r="S268">
        <v>20.99</v>
      </c>
      <c r="T268">
        <v>0.53</v>
      </c>
      <c r="U268" t="s">
        <v>102</v>
      </c>
    </row>
    <row r="269" spans="1:21">
      <c r="A269" t="str">
        <f>"000728"</f>
        <v>000728</v>
      </c>
      <c r="B269" t="s">
        <v>667</v>
      </c>
      <c r="C269">
        <v>1.73</v>
      </c>
      <c r="D269">
        <v>7.64</v>
      </c>
      <c r="E269">
        <v>0.13</v>
      </c>
      <c r="F269">
        <v>7.64</v>
      </c>
      <c r="G269">
        <v>7.65</v>
      </c>
      <c r="H269">
        <v>204611</v>
      </c>
      <c r="I269">
        <v>2714</v>
      </c>
      <c r="J269">
        <v>0.13</v>
      </c>
      <c r="K269">
        <v>0.48</v>
      </c>
      <c r="L269">
        <v>15545.88</v>
      </c>
      <c r="M269" t="s">
        <v>668</v>
      </c>
      <c r="N269" t="s">
        <v>213</v>
      </c>
      <c r="O269">
        <v>7.51</v>
      </c>
      <c r="P269">
        <v>7.67</v>
      </c>
      <c r="Q269">
        <v>7.5</v>
      </c>
      <c r="R269">
        <v>7.51</v>
      </c>
      <c r="S269">
        <v>18.86</v>
      </c>
      <c r="T269">
        <v>1.44</v>
      </c>
      <c r="U269" t="s">
        <v>193</v>
      </c>
    </row>
    <row r="270" spans="1:21">
      <c r="A270" t="str">
        <f>"000729"</f>
        <v>000729</v>
      </c>
      <c r="B270" t="s">
        <v>669</v>
      </c>
      <c r="C270">
        <v>0.58</v>
      </c>
      <c r="D270">
        <v>6.99</v>
      </c>
      <c r="E270">
        <v>0.04</v>
      </c>
      <c r="F270">
        <v>6.99</v>
      </c>
      <c r="G270">
        <v>7</v>
      </c>
      <c r="H270">
        <v>132658</v>
      </c>
      <c r="I270">
        <v>1639</v>
      </c>
      <c r="J270">
        <v>-0.13</v>
      </c>
      <c r="K270">
        <v>0.53</v>
      </c>
      <c r="L270">
        <v>9278.6</v>
      </c>
      <c r="M270" t="s">
        <v>670</v>
      </c>
      <c r="N270" t="s">
        <v>671</v>
      </c>
      <c r="O270">
        <v>6.95</v>
      </c>
      <c r="P270">
        <v>7.04</v>
      </c>
      <c r="Q270">
        <v>6.94</v>
      </c>
      <c r="R270">
        <v>6.95</v>
      </c>
      <c r="S270">
        <v>26.23</v>
      </c>
      <c r="T270">
        <v>1.06</v>
      </c>
      <c r="U270" t="s">
        <v>44</v>
      </c>
    </row>
    <row r="271" spans="1:21">
      <c r="A271" t="str">
        <f>"000731"</f>
        <v>000731</v>
      </c>
      <c r="B271" t="s">
        <v>672</v>
      </c>
      <c r="C271">
        <v>1.97</v>
      </c>
      <c r="D271">
        <v>8.3</v>
      </c>
      <c r="E271">
        <v>0.16</v>
      </c>
      <c r="F271">
        <v>8.29</v>
      </c>
      <c r="G271">
        <v>8.3</v>
      </c>
      <c r="H271">
        <v>454531</v>
      </c>
      <c r="I271">
        <v>6832</v>
      </c>
      <c r="J271">
        <v>-0.11</v>
      </c>
      <c r="K271">
        <v>7.76</v>
      </c>
      <c r="L271">
        <v>37319</v>
      </c>
      <c r="M271" t="s">
        <v>673</v>
      </c>
      <c r="N271" t="s">
        <v>241</v>
      </c>
      <c r="O271">
        <v>8.16</v>
      </c>
      <c r="P271">
        <v>8.35</v>
      </c>
      <c r="Q271">
        <v>7.98</v>
      </c>
      <c r="R271">
        <v>8.14</v>
      </c>
      <c r="S271">
        <v>9.88</v>
      </c>
      <c r="T271">
        <v>0.81</v>
      </c>
      <c r="U271" t="s">
        <v>196</v>
      </c>
    </row>
    <row r="272" spans="1:21">
      <c r="A272" t="str">
        <f>"000732"</f>
        <v>000732</v>
      </c>
      <c r="B272" t="s">
        <v>674</v>
      </c>
      <c r="C272">
        <v>4.31</v>
      </c>
      <c r="D272">
        <v>2.18</v>
      </c>
      <c r="E272">
        <v>0.09</v>
      </c>
      <c r="F272">
        <v>2.18</v>
      </c>
      <c r="G272">
        <v>2.19</v>
      </c>
      <c r="H272">
        <v>643169</v>
      </c>
      <c r="I272">
        <v>8620</v>
      </c>
      <c r="J272">
        <v>0</v>
      </c>
      <c r="K272">
        <v>2.59</v>
      </c>
      <c r="L272">
        <v>13788.79</v>
      </c>
      <c r="M272" t="s">
        <v>675</v>
      </c>
      <c r="N272" t="s">
        <v>36</v>
      </c>
      <c r="O272">
        <v>2.09</v>
      </c>
      <c r="P272">
        <v>2.22</v>
      </c>
      <c r="Q272">
        <v>2.07</v>
      </c>
      <c r="R272">
        <v>2.09</v>
      </c>
      <c r="S272" t="s">
        <v>40</v>
      </c>
      <c r="T272">
        <v>0.6</v>
      </c>
      <c r="U272" t="s">
        <v>339</v>
      </c>
    </row>
    <row r="273" spans="1:21">
      <c r="A273" t="str">
        <f>"000733"</f>
        <v>000733</v>
      </c>
      <c r="B273" t="s">
        <v>676</v>
      </c>
      <c r="C273">
        <v>-3.81</v>
      </c>
      <c r="D273">
        <v>112.52</v>
      </c>
      <c r="E273">
        <v>-4.46</v>
      </c>
      <c r="F273">
        <v>112.51</v>
      </c>
      <c r="G273">
        <v>112.52</v>
      </c>
      <c r="H273">
        <v>88221</v>
      </c>
      <c r="I273">
        <v>348</v>
      </c>
      <c r="J273">
        <v>0.06</v>
      </c>
      <c r="K273">
        <v>1.71</v>
      </c>
      <c r="L273">
        <v>99487.23</v>
      </c>
      <c r="M273" t="s">
        <v>677</v>
      </c>
      <c r="N273" t="s">
        <v>69</v>
      </c>
      <c r="O273">
        <v>116.03</v>
      </c>
      <c r="P273">
        <v>117.48</v>
      </c>
      <c r="Q273">
        <v>110</v>
      </c>
      <c r="R273">
        <v>116.98</v>
      </c>
      <c r="S273">
        <v>45.46</v>
      </c>
      <c r="T273">
        <v>1.33</v>
      </c>
      <c r="U273" t="s">
        <v>368</v>
      </c>
    </row>
    <row r="274" spans="1:21">
      <c r="A274" t="str">
        <f>"000735"</f>
        <v>000735</v>
      </c>
      <c r="B274" t="s">
        <v>678</v>
      </c>
      <c r="C274">
        <v>0.58</v>
      </c>
      <c r="D274">
        <v>6.98</v>
      </c>
      <c r="E274">
        <v>0.04</v>
      </c>
      <c r="F274">
        <v>6.98</v>
      </c>
      <c r="G274">
        <v>6.99</v>
      </c>
      <c r="H274">
        <v>79510</v>
      </c>
      <c r="I274">
        <v>1476</v>
      </c>
      <c r="J274">
        <v>0</v>
      </c>
      <c r="K274">
        <v>0.69</v>
      </c>
      <c r="L274">
        <v>5524.47</v>
      </c>
      <c r="M274" t="s">
        <v>679</v>
      </c>
      <c r="N274" t="s">
        <v>147</v>
      </c>
      <c r="O274">
        <v>6.96</v>
      </c>
      <c r="P274">
        <v>6.99</v>
      </c>
      <c r="Q274">
        <v>6.91</v>
      </c>
      <c r="R274">
        <v>6.94</v>
      </c>
      <c r="S274" t="s">
        <v>40</v>
      </c>
      <c r="T274">
        <v>0.7</v>
      </c>
      <c r="U274" t="s">
        <v>294</v>
      </c>
    </row>
    <row r="275" spans="1:21">
      <c r="A275" t="str">
        <f>"000736"</f>
        <v>000736</v>
      </c>
      <c r="B275" t="s">
        <v>680</v>
      </c>
      <c r="C275">
        <v>0.39</v>
      </c>
      <c r="D275">
        <v>5.09</v>
      </c>
      <c r="E275">
        <v>0.02</v>
      </c>
      <c r="F275">
        <v>5.09</v>
      </c>
      <c r="G275">
        <v>5.1</v>
      </c>
      <c r="H275">
        <v>21624</v>
      </c>
      <c r="I275">
        <v>494</v>
      </c>
      <c r="J275">
        <v>0</v>
      </c>
      <c r="K275">
        <v>0.31</v>
      </c>
      <c r="L275">
        <v>1088.91</v>
      </c>
      <c r="M275" t="s">
        <v>681</v>
      </c>
      <c r="N275" t="s">
        <v>27</v>
      </c>
      <c r="O275">
        <v>5.07</v>
      </c>
      <c r="P275">
        <v>5.14</v>
      </c>
      <c r="Q275">
        <v>4.94</v>
      </c>
      <c r="R275">
        <v>5.07</v>
      </c>
      <c r="S275">
        <v>1469.27</v>
      </c>
      <c r="T275">
        <v>0.76</v>
      </c>
      <c r="U275" t="s">
        <v>314</v>
      </c>
    </row>
    <row r="276" spans="1:21">
      <c r="A276" t="str">
        <f>"000737"</f>
        <v>000737</v>
      </c>
      <c r="B276" t="s">
        <v>682</v>
      </c>
      <c r="C276">
        <v>0.43</v>
      </c>
      <c r="D276">
        <v>7</v>
      </c>
      <c r="E276">
        <v>0.03</v>
      </c>
      <c r="F276">
        <v>7</v>
      </c>
      <c r="G276">
        <v>7.01</v>
      </c>
      <c r="H276">
        <v>47072</v>
      </c>
      <c r="I276">
        <v>363</v>
      </c>
      <c r="J276">
        <v>-0.13</v>
      </c>
      <c r="K276">
        <v>0.86</v>
      </c>
      <c r="L276">
        <v>3272.1</v>
      </c>
      <c r="M276" t="s">
        <v>683</v>
      </c>
      <c r="N276" t="s">
        <v>332</v>
      </c>
      <c r="O276">
        <v>7</v>
      </c>
      <c r="P276">
        <v>7.04</v>
      </c>
      <c r="Q276">
        <v>6.84</v>
      </c>
      <c r="R276">
        <v>6.97</v>
      </c>
      <c r="S276">
        <v>1429.2</v>
      </c>
      <c r="T276">
        <v>0.78</v>
      </c>
      <c r="U276" t="s">
        <v>232</v>
      </c>
    </row>
    <row r="277" spans="1:21">
      <c r="A277" t="str">
        <f>"000738"</f>
        <v>000738</v>
      </c>
      <c r="B277" t="s">
        <v>684</v>
      </c>
      <c r="C277">
        <v>-0.51</v>
      </c>
      <c r="D277">
        <v>29.15</v>
      </c>
      <c r="E277">
        <v>-0.15</v>
      </c>
      <c r="F277">
        <v>29.15</v>
      </c>
      <c r="G277">
        <v>29.16</v>
      </c>
      <c r="H277">
        <v>194714</v>
      </c>
      <c r="I277">
        <v>1387</v>
      </c>
      <c r="J277">
        <v>0.14</v>
      </c>
      <c r="K277">
        <v>1.7</v>
      </c>
      <c r="L277">
        <v>57004.03</v>
      </c>
      <c r="M277" t="s">
        <v>685</v>
      </c>
      <c r="N277" t="s">
        <v>611</v>
      </c>
      <c r="O277">
        <v>29.11</v>
      </c>
      <c r="P277">
        <v>29.68</v>
      </c>
      <c r="Q277">
        <v>28.78</v>
      </c>
      <c r="R277">
        <v>29.3</v>
      </c>
      <c r="S277">
        <v>72.33</v>
      </c>
      <c r="T277">
        <v>0.71</v>
      </c>
      <c r="U277" t="s">
        <v>102</v>
      </c>
    </row>
    <row r="278" spans="1:21">
      <c r="A278" t="str">
        <f>"000739"</f>
        <v>000739</v>
      </c>
      <c r="B278" t="s">
        <v>686</v>
      </c>
      <c r="C278">
        <v>-0.3</v>
      </c>
      <c r="D278">
        <v>39.33</v>
      </c>
      <c r="E278">
        <v>-0.12</v>
      </c>
      <c r="F278">
        <v>39.22</v>
      </c>
      <c r="G278">
        <v>39.33</v>
      </c>
      <c r="H278">
        <v>100243</v>
      </c>
      <c r="I278">
        <v>466</v>
      </c>
      <c r="J278">
        <v>-0.09</v>
      </c>
      <c r="K278">
        <v>0.85</v>
      </c>
      <c r="L278">
        <v>38668.84</v>
      </c>
      <c r="M278" t="s">
        <v>687</v>
      </c>
      <c r="N278" t="s">
        <v>192</v>
      </c>
      <c r="O278">
        <v>39.32</v>
      </c>
      <c r="P278">
        <v>39.5</v>
      </c>
      <c r="Q278">
        <v>36.6</v>
      </c>
      <c r="R278">
        <v>39.45</v>
      </c>
      <c r="S278">
        <v>45.61</v>
      </c>
      <c r="T278">
        <v>1.63</v>
      </c>
      <c r="U278" t="s">
        <v>200</v>
      </c>
    </row>
    <row r="279" spans="1:21">
      <c r="A279" t="str">
        <f>"000750"</f>
        <v>000750</v>
      </c>
      <c r="B279" t="s">
        <v>688</v>
      </c>
      <c r="C279">
        <v>1.53</v>
      </c>
      <c r="D279">
        <v>3.97</v>
      </c>
      <c r="E279">
        <v>0.06</v>
      </c>
      <c r="F279">
        <v>3.96</v>
      </c>
      <c r="G279">
        <v>3.97</v>
      </c>
      <c r="H279">
        <v>380189</v>
      </c>
      <c r="I279">
        <v>3527</v>
      </c>
      <c r="J279">
        <v>0</v>
      </c>
      <c r="K279">
        <v>0.7</v>
      </c>
      <c r="L279">
        <v>14986.26</v>
      </c>
      <c r="M279" t="s">
        <v>689</v>
      </c>
      <c r="N279" t="s">
        <v>213</v>
      </c>
      <c r="O279">
        <v>3.91</v>
      </c>
      <c r="P279">
        <v>3.99</v>
      </c>
      <c r="Q279">
        <v>3.88</v>
      </c>
      <c r="R279">
        <v>3.91</v>
      </c>
      <c r="S279">
        <v>20.79</v>
      </c>
      <c r="T279">
        <v>1.85</v>
      </c>
      <c r="U279" t="s">
        <v>342</v>
      </c>
    </row>
    <row r="280" spans="1:21">
      <c r="A280" t="str">
        <f>"000751"</f>
        <v>000751</v>
      </c>
      <c r="B280" t="s">
        <v>690</v>
      </c>
      <c r="C280">
        <v>1.33</v>
      </c>
      <c r="D280">
        <v>3.82</v>
      </c>
      <c r="E280">
        <v>0.05</v>
      </c>
      <c r="F280">
        <v>3.81</v>
      </c>
      <c r="G280">
        <v>3.82</v>
      </c>
      <c r="H280">
        <v>259650</v>
      </c>
      <c r="I280">
        <v>3278</v>
      </c>
      <c r="J280">
        <v>0</v>
      </c>
      <c r="K280">
        <v>1.84</v>
      </c>
      <c r="L280">
        <v>9834.23</v>
      </c>
      <c r="M280" t="s">
        <v>691</v>
      </c>
      <c r="N280" t="s">
        <v>144</v>
      </c>
      <c r="O280">
        <v>3.76</v>
      </c>
      <c r="P280">
        <v>3.82</v>
      </c>
      <c r="Q280">
        <v>3.71</v>
      </c>
      <c r="R280">
        <v>3.77</v>
      </c>
      <c r="S280">
        <v>26.23</v>
      </c>
      <c r="T280">
        <v>1.17</v>
      </c>
      <c r="U280" t="s">
        <v>141</v>
      </c>
    </row>
    <row r="281" spans="1:21">
      <c r="A281" t="str">
        <f>"000752"</f>
        <v>000752</v>
      </c>
      <c r="B281" t="s">
        <v>692</v>
      </c>
      <c r="C281">
        <v>1.35</v>
      </c>
      <c r="D281">
        <v>6</v>
      </c>
      <c r="E281">
        <v>0.08</v>
      </c>
      <c r="F281">
        <v>6</v>
      </c>
      <c r="G281">
        <v>6.01</v>
      </c>
      <c r="H281">
        <v>13171</v>
      </c>
      <c r="I281">
        <v>372</v>
      </c>
      <c r="J281">
        <v>0.17</v>
      </c>
      <c r="K281">
        <v>0.5</v>
      </c>
      <c r="L281">
        <v>788.4</v>
      </c>
      <c r="M281" t="s">
        <v>693</v>
      </c>
      <c r="N281" t="s">
        <v>671</v>
      </c>
      <c r="O281">
        <v>5.9</v>
      </c>
      <c r="P281">
        <v>6.07</v>
      </c>
      <c r="Q281">
        <v>5.9</v>
      </c>
      <c r="R281">
        <v>5.92</v>
      </c>
      <c r="S281" t="s">
        <v>40</v>
      </c>
      <c r="T281">
        <v>0.64</v>
      </c>
      <c r="U281" t="s">
        <v>694</v>
      </c>
    </row>
    <row r="282" spans="1:21">
      <c r="A282" t="str">
        <f>"000753"</f>
        <v>000753</v>
      </c>
      <c r="B282" t="s">
        <v>695</v>
      </c>
      <c r="C282">
        <v>0.68</v>
      </c>
      <c r="D282">
        <v>2.95</v>
      </c>
      <c r="E282">
        <v>0.02</v>
      </c>
      <c r="F282">
        <v>2.94</v>
      </c>
      <c r="G282">
        <v>2.95</v>
      </c>
      <c r="H282">
        <v>59493</v>
      </c>
      <c r="I282">
        <v>1219</v>
      </c>
      <c r="J282">
        <v>0.34</v>
      </c>
      <c r="K282">
        <v>0.6</v>
      </c>
      <c r="L282">
        <v>1739.95</v>
      </c>
      <c r="M282" t="s">
        <v>696</v>
      </c>
      <c r="N282" t="s">
        <v>78</v>
      </c>
      <c r="O282">
        <v>2.91</v>
      </c>
      <c r="P282">
        <v>2.95</v>
      </c>
      <c r="Q282">
        <v>2.89</v>
      </c>
      <c r="R282">
        <v>2.93</v>
      </c>
      <c r="S282">
        <v>25.58</v>
      </c>
      <c r="T282">
        <v>0.78</v>
      </c>
      <c r="U282" t="s">
        <v>339</v>
      </c>
    </row>
    <row r="283" spans="1:21">
      <c r="A283" t="str">
        <f>"000755"</f>
        <v>000755</v>
      </c>
      <c r="B283" t="s">
        <v>697</v>
      </c>
      <c r="C283">
        <v>0.26</v>
      </c>
      <c r="D283">
        <v>3.92</v>
      </c>
      <c r="E283">
        <v>0.01</v>
      </c>
      <c r="F283">
        <v>3.92</v>
      </c>
      <c r="G283">
        <v>3.93</v>
      </c>
      <c r="H283">
        <v>60522</v>
      </c>
      <c r="I283">
        <v>866</v>
      </c>
      <c r="J283">
        <v>0</v>
      </c>
      <c r="K283">
        <v>1.29</v>
      </c>
      <c r="L283">
        <v>2365.11</v>
      </c>
      <c r="M283" t="s">
        <v>698</v>
      </c>
      <c r="N283" t="s">
        <v>280</v>
      </c>
      <c r="O283">
        <v>3.87</v>
      </c>
      <c r="P283">
        <v>3.95</v>
      </c>
      <c r="Q283">
        <v>3.84</v>
      </c>
      <c r="R283">
        <v>3.91</v>
      </c>
      <c r="S283">
        <v>12.8</v>
      </c>
      <c r="T283">
        <v>1.03</v>
      </c>
      <c r="U283" t="s">
        <v>232</v>
      </c>
    </row>
    <row r="284" spans="1:21">
      <c r="A284" t="str">
        <f>"000756"</f>
        <v>000756</v>
      </c>
      <c r="B284" t="s">
        <v>699</v>
      </c>
      <c r="C284">
        <v>0.52</v>
      </c>
      <c r="D284">
        <v>7.71</v>
      </c>
      <c r="E284">
        <v>0.04</v>
      </c>
      <c r="F284">
        <v>7.7</v>
      </c>
      <c r="G284">
        <v>7.71</v>
      </c>
      <c r="H284">
        <v>14963</v>
      </c>
      <c r="I284">
        <v>52</v>
      </c>
      <c r="J284">
        <v>0</v>
      </c>
      <c r="K284">
        <v>0.35</v>
      </c>
      <c r="L284">
        <v>1149.54</v>
      </c>
      <c r="M284" t="s">
        <v>700</v>
      </c>
      <c r="N284" t="s">
        <v>192</v>
      </c>
      <c r="O284">
        <v>7.68</v>
      </c>
      <c r="P284">
        <v>7.77</v>
      </c>
      <c r="Q284">
        <v>7.63</v>
      </c>
      <c r="R284">
        <v>7.67</v>
      </c>
      <c r="S284">
        <v>12.71</v>
      </c>
      <c r="T284">
        <v>0.45</v>
      </c>
      <c r="U284" t="s">
        <v>221</v>
      </c>
    </row>
    <row r="285" spans="1:21">
      <c r="A285" t="str">
        <f>"000757"</f>
        <v>000757</v>
      </c>
      <c r="B285" t="s">
        <v>701</v>
      </c>
      <c r="C285">
        <v>0.23</v>
      </c>
      <c r="D285">
        <v>4.34</v>
      </c>
      <c r="E285">
        <v>0.01</v>
      </c>
      <c r="F285">
        <v>4.34</v>
      </c>
      <c r="G285">
        <v>4.35</v>
      </c>
      <c r="H285">
        <v>114266</v>
      </c>
      <c r="I285">
        <v>1864</v>
      </c>
      <c r="J285">
        <v>-0.22</v>
      </c>
      <c r="K285">
        <v>2.24</v>
      </c>
      <c r="L285">
        <v>4932.76</v>
      </c>
      <c r="M285" t="s">
        <v>702</v>
      </c>
      <c r="N285" t="s">
        <v>91</v>
      </c>
      <c r="O285">
        <v>4.33</v>
      </c>
      <c r="P285">
        <v>4.39</v>
      </c>
      <c r="Q285">
        <v>4.25</v>
      </c>
      <c r="R285">
        <v>4.33</v>
      </c>
      <c r="S285">
        <v>27.99</v>
      </c>
      <c r="T285">
        <v>1.28</v>
      </c>
      <c r="U285" t="s">
        <v>196</v>
      </c>
    </row>
    <row r="286" spans="1:21">
      <c r="A286" t="str">
        <f>"000758"</f>
        <v>000758</v>
      </c>
      <c r="B286" t="s">
        <v>703</v>
      </c>
      <c r="C286">
        <v>0.76</v>
      </c>
      <c r="D286">
        <v>5.28</v>
      </c>
      <c r="E286">
        <v>0.04</v>
      </c>
      <c r="F286">
        <v>5.27</v>
      </c>
      <c r="G286">
        <v>5.28</v>
      </c>
      <c r="H286">
        <v>270557</v>
      </c>
      <c r="I286">
        <v>4369</v>
      </c>
      <c r="J286">
        <v>0</v>
      </c>
      <c r="K286">
        <v>1.37</v>
      </c>
      <c r="L286">
        <v>14163.82</v>
      </c>
      <c r="M286" t="s">
        <v>704</v>
      </c>
      <c r="N286" t="s">
        <v>144</v>
      </c>
      <c r="O286">
        <v>5.19</v>
      </c>
      <c r="P286">
        <v>5.29</v>
      </c>
      <c r="Q286">
        <v>5.16</v>
      </c>
      <c r="R286">
        <v>5.24</v>
      </c>
      <c r="S286">
        <v>52.08</v>
      </c>
      <c r="T286">
        <v>1.09</v>
      </c>
      <c r="U286" t="s">
        <v>44</v>
      </c>
    </row>
    <row r="287" spans="1:21">
      <c r="A287" t="str">
        <f>"000759"</f>
        <v>000759</v>
      </c>
      <c r="B287" t="s">
        <v>705</v>
      </c>
      <c r="C287">
        <v>0.21</v>
      </c>
      <c r="D287">
        <v>4.69</v>
      </c>
      <c r="E287">
        <v>0.01</v>
      </c>
      <c r="F287">
        <v>4.69</v>
      </c>
      <c r="G287">
        <v>4.7</v>
      </c>
      <c r="H287">
        <v>10176</v>
      </c>
      <c r="I287">
        <v>76</v>
      </c>
      <c r="J287">
        <v>-0.2</v>
      </c>
      <c r="K287">
        <v>0.15</v>
      </c>
      <c r="L287">
        <v>476.98</v>
      </c>
      <c r="M287" t="s">
        <v>706</v>
      </c>
      <c r="N287" t="s">
        <v>707</v>
      </c>
      <c r="O287">
        <v>4.68</v>
      </c>
      <c r="P287">
        <v>4.71</v>
      </c>
      <c r="Q287">
        <v>4.66</v>
      </c>
      <c r="R287">
        <v>4.68</v>
      </c>
      <c r="S287" t="s">
        <v>40</v>
      </c>
      <c r="T287">
        <v>1.51</v>
      </c>
      <c r="U287" t="s">
        <v>267</v>
      </c>
    </row>
    <row r="288" spans="1:21">
      <c r="A288" t="str">
        <f>"000761"</f>
        <v>000761</v>
      </c>
      <c r="B288" t="s">
        <v>708</v>
      </c>
      <c r="C288">
        <v>2.52</v>
      </c>
      <c r="D288">
        <v>4.07</v>
      </c>
      <c r="E288">
        <v>0.1</v>
      </c>
      <c r="F288">
        <v>4.07</v>
      </c>
      <c r="G288">
        <v>4.08</v>
      </c>
      <c r="H288">
        <v>286890</v>
      </c>
      <c r="I288">
        <v>4365</v>
      </c>
      <c r="J288">
        <v>0</v>
      </c>
      <c r="K288">
        <v>0.77</v>
      </c>
      <c r="L288">
        <v>11495.64</v>
      </c>
      <c r="M288" t="s">
        <v>709</v>
      </c>
      <c r="N288" t="s">
        <v>551</v>
      </c>
      <c r="O288">
        <v>3.96</v>
      </c>
      <c r="P288">
        <v>4.08</v>
      </c>
      <c r="Q288">
        <v>3.92</v>
      </c>
      <c r="R288">
        <v>3.97</v>
      </c>
      <c r="S288">
        <v>3.32</v>
      </c>
      <c r="T288">
        <v>0.99</v>
      </c>
      <c r="U288" t="s">
        <v>141</v>
      </c>
    </row>
    <row r="289" spans="1:21">
      <c r="A289" t="str">
        <f>"000762"</f>
        <v>000762</v>
      </c>
      <c r="B289" t="s">
        <v>710</v>
      </c>
      <c r="C289">
        <v>3.89</v>
      </c>
      <c r="D289">
        <v>56.35</v>
      </c>
      <c r="E289">
        <v>2.11</v>
      </c>
      <c r="F289">
        <v>56.35</v>
      </c>
      <c r="G289">
        <v>56.36</v>
      </c>
      <c r="H289">
        <v>955399</v>
      </c>
      <c r="I289">
        <v>6331</v>
      </c>
      <c r="J289">
        <v>-0.04</v>
      </c>
      <c r="K289">
        <v>18.34</v>
      </c>
      <c r="L289">
        <v>542012.06</v>
      </c>
      <c r="M289" t="s">
        <v>711</v>
      </c>
      <c r="N289" t="s">
        <v>523</v>
      </c>
      <c r="O289">
        <v>55.05</v>
      </c>
      <c r="P289">
        <v>58.96</v>
      </c>
      <c r="Q289">
        <v>54.5</v>
      </c>
      <c r="R289">
        <v>54.24</v>
      </c>
      <c r="S289">
        <v>172.12</v>
      </c>
      <c r="T289">
        <v>2.21</v>
      </c>
      <c r="U289" t="s">
        <v>694</v>
      </c>
    </row>
    <row r="290" spans="1:21">
      <c r="A290" t="str">
        <f>"000766"</f>
        <v>000766</v>
      </c>
      <c r="B290" t="s">
        <v>712</v>
      </c>
      <c r="C290">
        <v>-0.25</v>
      </c>
      <c r="D290">
        <v>4.02</v>
      </c>
      <c r="E290">
        <v>-0.01</v>
      </c>
      <c r="F290">
        <v>4.02</v>
      </c>
      <c r="G290">
        <v>4.03</v>
      </c>
      <c r="H290">
        <v>33154</v>
      </c>
      <c r="I290">
        <v>210</v>
      </c>
      <c r="J290">
        <v>-0.24</v>
      </c>
      <c r="K290">
        <v>0.47</v>
      </c>
      <c r="L290">
        <v>1328.75</v>
      </c>
      <c r="M290" t="s">
        <v>713</v>
      </c>
      <c r="N290" t="s">
        <v>192</v>
      </c>
      <c r="O290">
        <v>4</v>
      </c>
      <c r="P290">
        <v>4.05</v>
      </c>
      <c r="Q290">
        <v>3.97</v>
      </c>
      <c r="R290">
        <v>4.03</v>
      </c>
      <c r="S290">
        <v>184.62</v>
      </c>
      <c r="T290">
        <v>0.55</v>
      </c>
      <c r="U290" t="s">
        <v>92</v>
      </c>
    </row>
    <row r="291" spans="1:21">
      <c r="A291" t="str">
        <f>"000767"</f>
        <v>000767</v>
      </c>
      <c r="B291" t="s">
        <v>714</v>
      </c>
      <c r="C291">
        <v>-0.63</v>
      </c>
      <c r="D291">
        <v>3.14</v>
      </c>
      <c r="E291">
        <v>-0.02</v>
      </c>
      <c r="F291">
        <v>3.14</v>
      </c>
      <c r="G291">
        <v>3.15</v>
      </c>
      <c r="H291">
        <v>205641</v>
      </c>
      <c r="I291">
        <v>1383</v>
      </c>
      <c r="J291">
        <v>0</v>
      </c>
      <c r="K291">
        <v>0.71</v>
      </c>
      <c r="L291">
        <v>6417.77</v>
      </c>
      <c r="M291" t="s">
        <v>715</v>
      </c>
      <c r="N291" t="s">
        <v>83</v>
      </c>
      <c r="O291">
        <v>3.15</v>
      </c>
      <c r="P291">
        <v>3.16</v>
      </c>
      <c r="Q291">
        <v>3.1</v>
      </c>
      <c r="R291">
        <v>3.16</v>
      </c>
      <c r="S291">
        <v>1466.07</v>
      </c>
      <c r="T291">
        <v>1.04</v>
      </c>
      <c r="U291" t="s">
        <v>232</v>
      </c>
    </row>
    <row r="292" spans="1:21">
      <c r="A292" t="str">
        <f>"000768"</f>
        <v>000768</v>
      </c>
      <c r="B292" t="s">
        <v>716</v>
      </c>
      <c r="C292">
        <v>-0.13</v>
      </c>
      <c r="D292">
        <v>37.05</v>
      </c>
      <c r="E292">
        <v>-0.05</v>
      </c>
      <c r="F292">
        <v>37.04</v>
      </c>
      <c r="G292">
        <v>37.05</v>
      </c>
      <c r="H292">
        <v>431113</v>
      </c>
      <c r="I292">
        <v>6284</v>
      </c>
      <c r="J292">
        <v>-0.04</v>
      </c>
      <c r="K292">
        <v>1.56</v>
      </c>
      <c r="L292">
        <v>159565.25</v>
      </c>
      <c r="M292" t="s">
        <v>717</v>
      </c>
      <c r="N292" t="s">
        <v>611</v>
      </c>
      <c r="O292">
        <v>37.3</v>
      </c>
      <c r="P292">
        <v>37.35</v>
      </c>
      <c r="Q292">
        <v>36.62</v>
      </c>
      <c r="R292">
        <v>37.1</v>
      </c>
      <c r="S292">
        <v>126.53</v>
      </c>
      <c r="T292">
        <v>0.64</v>
      </c>
      <c r="U292" t="s">
        <v>317</v>
      </c>
    </row>
    <row r="293" spans="1:21">
      <c r="A293" t="str">
        <f>"000776"</f>
        <v>000776</v>
      </c>
      <c r="B293" t="s">
        <v>718</v>
      </c>
      <c r="C293">
        <v>6.23</v>
      </c>
      <c r="D293">
        <v>22.5</v>
      </c>
      <c r="E293">
        <v>1.32</v>
      </c>
      <c r="F293">
        <v>22.5</v>
      </c>
      <c r="G293">
        <v>22.51</v>
      </c>
      <c r="H293">
        <v>1464695</v>
      </c>
      <c r="I293">
        <v>16537</v>
      </c>
      <c r="J293">
        <v>-0.03</v>
      </c>
      <c r="K293">
        <v>2.47</v>
      </c>
      <c r="L293">
        <v>324660.68</v>
      </c>
      <c r="M293" t="s">
        <v>719</v>
      </c>
      <c r="N293" t="s">
        <v>213</v>
      </c>
      <c r="O293">
        <v>21</v>
      </c>
      <c r="P293">
        <v>23</v>
      </c>
      <c r="Q293">
        <v>20.91</v>
      </c>
      <c r="R293">
        <v>21.18</v>
      </c>
      <c r="S293">
        <v>14.88</v>
      </c>
      <c r="T293">
        <v>1.56</v>
      </c>
      <c r="U293" t="s">
        <v>183</v>
      </c>
    </row>
    <row r="294" spans="1:21">
      <c r="A294" t="str">
        <f>"000777"</f>
        <v>000777</v>
      </c>
      <c r="B294" t="s">
        <v>720</v>
      </c>
      <c r="C294">
        <v>-0.75</v>
      </c>
      <c r="D294">
        <v>13.23</v>
      </c>
      <c r="E294">
        <v>-0.1</v>
      </c>
      <c r="F294">
        <v>13.22</v>
      </c>
      <c r="G294">
        <v>13.23</v>
      </c>
      <c r="H294">
        <v>56343</v>
      </c>
      <c r="I294">
        <v>871</v>
      </c>
      <c r="J294">
        <v>-0.14</v>
      </c>
      <c r="K294">
        <v>1.47</v>
      </c>
      <c r="L294">
        <v>7472.42</v>
      </c>
      <c r="M294" t="s">
        <v>721</v>
      </c>
      <c r="N294" t="s">
        <v>347</v>
      </c>
      <c r="O294">
        <v>13.35</v>
      </c>
      <c r="P294">
        <v>13.38</v>
      </c>
      <c r="Q294">
        <v>13.13</v>
      </c>
      <c r="R294">
        <v>13.33</v>
      </c>
      <c r="S294">
        <v>74.36</v>
      </c>
      <c r="T294">
        <v>0.44</v>
      </c>
      <c r="U294" t="s">
        <v>102</v>
      </c>
    </row>
    <row r="295" spans="1:21">
      <c r="A295" t="str">
        <f>"000778"</f>
        <v>000778</v>
      </c>
      <c r="B295" t="s">
        <v>722</v>
      </c>
      <c r="C295">
        <v>1.35</v>
      </c>
      <c r="D295">
        <v>3.76</v>
      </c>
      <c r="E295">
        <v>0.05</v>
      </c>
      <c r="F295">
        <v>3.76</v>
      </c>
      <c r="G295">
        <v>3.77</v>
      </c>
      <c r="H295">
        <v>378896</v>
      </c>
      <c r="I295">
        <v>4871</v>
      </c>
      <c r="J295">
        <v>-0.26</v>
      </c>
      <c r="K295">
        <v>0.98</v>
      </c>
      <c r="L295">
        <v>14172.93</v>
      </c>
      <c r="M295" t="s">
        <v>723</v>
      </c>
      <c r="N295" t="s">
        <v>724</v>
      </c>
      <c r="O295">
        <v>3.71</v>
      </c>
      <c r="P295">
        <v>3.77</v>
      </c>
      <c r="Q295">
        <v>3.7</v>
      </c>
      <c r="R295">
        <v>3.71</v>
      </c>
      <c r="S295">
        <v>5.88</v>
      </c>
      <c r="T295">
        <v>1.31</v>
      </c>
      <c r="U295" t="s">
        <v>207</v>
      </c>
    </row>
    <row r="296" spans="1:21">
      <c r="A296" t="str">
        <f>"000779"</f>
        <v>000779</v>
      </c>
      <c r="B296" t="s">
        <v>725</v>
      </c>
      <c r="C296">
        <v>0.36</v>
      </c>
      <c r="D296">
        <v>8.46</v>
      </c>
      <c r="E296">
        <v>0.03</v>
      </c>
      <c r="F296">
        <v>8.45</v>
      </c>
      <c r="G296">
        <v>8.46</v>
      </c>
      <c r="H296">
        <v>4832</v>
      </c>
      <c r="I296">
        <v>171</v>
      </c>
      <c r="J296">
        <v>-0.11</v>
      </c>
      <c r="K296">
        <v>0.28</v>
      </c>
      <c r="L296">
        <v>407.32</v>
      </c>
      <c r="M296" t="s">
        <v>726</v>
      </c>
      <c r="N296" t="s">
        <v>50</v>
      </c>
      <c r="O296">
        <v>8.38</v>
      </c>
      <c r="P296">
        <v>8.48</v>
      </c>
      <c r="Q296">
        <v>8.37</v>
      </c>
      <c r="R296">
        <v>8.43</v>
      </c>
      <c r="S296">
        <v>11.14</v>
      </c>
      <c r="T296">
        <v>0.92</v>
      </c>
      <c r="U296" t="s">
        <v>391</v>
      </c>
    </row>
    <row r="297" spans="1:21">
      <c r="A297" t="str">
        <f>"000780"</f>
        <v>000780</v>
      </c>
      <c r="B297" t="s">
        <v>727</v>
      </c>
      <c r="C297">
        <v>-2.25</v>
      </c>
      <c r="D297">
        <v>9.54</v>
      </c>
      <c r="E297">
        <v>-0.22</v>
      </c>
      <c r="F297">
        <v>9.53</v>
      </c>
      <c r="G297">
        <v>9.54</v>
      </c>
      <c r="H297">
        <v>52371</v>
      </c>
      <c r="I297">
        <v>387</v>
      </c>
      <c r="J297">
        <v>-0.09</v>
      </c>
      <c r="K297">
        <v>0.52</v>
      </c>
      <c r="L297">
        <v>5038.63</v>
      </c>
      <c r="M297" t="s">
        <v>728</v>
      </c>
      <c r="N297" t="s">
        <v>390</v>
      </c>
      <c r="O297">
        <v>9.59</v>
      </c>
      <c r="P297">
        <v>9.78</v>
      </c>
      <c r="Q297">
        <v>9.5</v>
      </c>
      <c r="R297">
        <v>9.76</v>
      </c>
      <c r="S297" t="s">
        <v>40</v>
      </c>
      <c r="T297">
        <v>0.6</v>
      </c>
      <c r="U297" t="s">
        <v>275</v>
      </c>
    </row>
    <row r="298" spans="1:21">
      <c r="A298" t="str">
        <f>"000782"</f>
        <v>000782</v>
      </c>
      <c r="B298" t="s">
        <v>729</v>
      </c>
      <c r="C298">
        <v>-1.12</v>
      </c>
      <c r="D298">
        <v>5.28</v>
      </c>
      <c r="E298">
        <v>-0.06</v>
      </c>
      <c r="F298">
        <v>5.27</v>
      </c>
      <c r="G298">
        <v>5.28</v>
      </c>
      <c r="H298">
        <v>68108</v>
      </c>
      <c r="I298">
        <v>582</v>
      </c>
      <c r="J298">
        <v>0</v>
      </c>
      <c r="K298">
        <v>1.29</v>
      </c>
      <c r="L298">
        <v>3593.55</v>
      </c>
      <c r="M298" t="s">
        <v>500</v>
      </c>
      <c r="N298" t="s">
        <v>216</v>
      </c>
      <c r="O298">
        <v>5.34</v>
      </c>
      <c r="P298">
        <v>5.38</v>
      </c>
      <c r="Q298">
        <v>5.25</v>
      </c>
      <c r="R298">
        <v>5.34</v>
      </c>
      <c r="S298">
        <v>42.58</v>
      </c>
      <c r="T298">
        <v>0.8</v>
      </c>
      <c r="U298" t="s">
        <v>183</v>
      </c>
    </row>
    <row r="299" spans="1:21">
      <c r="A299" t="str">
        <f>"000783"</f>
        <v>000783</v>
      </c>
      <c r="B299" t="s">
        <v>730</v>
      </c>
      <c r="C299">
        <v>1.39</v>
      </c>
      <c r="D299">
        <v>7.31</v>
      </c>
      <c r="E299">
        <v>0.1</v>
      </c>
      <c r="F299">
        <v>7.3</v>
      </c>
      <c r="G299">
        <v>7.31</v>
      </c>
      <c r="H299">
        <v>302009</v>
      </c>
      <c r="I299">
        <v>4328</v>
      </c>
      <c r="J299">
        <v>0.14</v>
      </c>
      <c r="K299">
        <v>0.55</v>
      </c>
      <c r="L299">
        <v>21886.28</v>
      </c>
      <c r="M299" t="s">
        <v>731</v>
      </c>
      <c r="N299" t="s">
        <v>213</v>
      </c>
      <c r="O299">
        <v>7.2</v>
      </c>
      <c r="P299">
        <v>7.35</v>
      </c>
      <c r="Q299">
        <v>7.14</v>
      </c>
      <c r="R299">
        <v>7.21</v>
      </c>
      <c r="S299">
        <v>13.79</v>
      </c>
      <c r="T299">
        <v>1.95</v>
      </c>
      <c r="U299" t="s">
        <v>267</v>
      </c>
    </row>
    <row r="300" spans="1:21">
      <c r="A300" t="str">
        <f>"000785"</f>
        <v>000785</v>
      </c>
      <c r="B300" t="s">
        <v>732</v>
      </c>
      <c r="C300">
        <v>1.21</v>
      </c>
      <c r="D300">
        <v>5.03</v>
      </c>
      <c r="E300">
        <v>0.06</v>
      </c>
      <c r="F300">
        <v>5.02</v>
      </c>
      <c r="G300">
        <v>5.03</v>
      </c>
      <c r="H300">
        <v>107213</v>
      </c>
      <c r="I300">
        <v>2433</v>
      </c>
      <c r="J300">
        <v>0.2</v>
      </c>
      <c r="K300">
        <v>1.41</v>
      </c>
      <c r="L300">
        <v>5352.81</v>
      </c>
      <c r="M300" t="s">
        <v>733</v>
      </c>
      <c r="N300" t="s">
        <v>258</v>
      </c>
      <c r="O300">
        <v>4.96</v>
      </c>
      <c r="P300">
        <v>5.05</v>
      </c>
      <c r="Q300">
        <v>4.93</v>
      </c>
      <c r="R300">
        <v>4.97</v>
      </c>
      <c r="S300">
        <v>14.33</v>
      </c>
      <c r="T300">
        <v>1.35</v>
      </c>
      <c r="U300" t="s">
        <v>267</v>
      </c>
    </row>
    <row r="301" spans="1:21">
      <c r="A301" t="str">
        <f>"000786"</f>
        <v>000786</v>
      </c>
      <c r="B301" t="s">
        <v>734</v>
      </c>
      <c r="C301">
        <v>3.01</v>
      </c>
      <c r="D301">
        <v>28.06</v>
      </c>
      <c r="E301">
        <v>0.82</v>
      </c>
      <c r="F301">
        <v>28.05</v>
      </c>
      <c r="G301">
        <v>28.06</v>
      </c>
      <c r="H301">
        <v>110481</v>
      </c>
      <c r="I301">
        <v>901</v>
      </c>
      <c r="J301">
        <v>-0.06</v>
      </c>
      <c r="K301">
        <v>0.65</v>
      </c>
      <c r="L301">
        <v>30446.09</v>
      </c>
      <c r="M301" t="s">
        <v>735</v>
      </c>
      <c r="N301" t="s">
        <v>131</v>
      </c>
      <c r="O301">
        <v>27.05</v>
      </c>
      <c r="P301">
        <v>28.16</v>
      </c>
      <c r="Q301">
        <v>27</v>
      </c>
      <c r="R301">
        <v>27.24</v>
      </c>
      <c r="S301">
        <v>13.06</v>
      </c>
      <c r="T301">
        <v>0.9</v>
      </c>
      <c r="U301" t="s">
        <v>44</v>
      </c>
    </row>
    <row r="302" spans="1:21">
      <c r="A302" t="str">
        <f>"000788"</f>
        <v>000788</v>
      </c>
      <c r="B302" t="s">
        <v>736</v>
      </c>
      <c r="C302">
        <v>0.47</v>
      </c>
      <c r="D302">
        <v>6.43</v>
      </c>
      <c r="E302">
        <v>0.03</v>
      </c>
      <c r="F302">
        <v>6.42</v>
      </c>
      <c r="G302">
        <v>6.43</v>
      </c>
      <c r="H302">
        <v>18766</v>
      </c>
      <c r="I302">
        <v>524</v>
      </c>
      <c r="J302">
        <v>0.16</v>
      </c>
      <c r="K302">
        <v>0.31</v>
      </c>
      <c r="L302">
        <v>1198.81</v>
      </c>
      <c r="M302" t="s">
        <v>737</v>
      </c>
      <c r="N302" t="s">
        <v>192</v>
      </c>
      <c r="O302">
        <v>6.42</v>
      </c>
      <c r="P302">
        <v>6.43</v>
      </c>
      <c r="Q302">
        <v>6.35</v>
      </c>
      <c r="R302">
        <v>6.4</v>
      </c>
      <c r="S302">
        <v>51.77</v>
      </c>
      <c r="T302">
        <v>0.69</v>
      </c>
      <c r="U302" t="s">
        <v>314</v>
      </c>
    </row>
    <row r="303" spans="1:21">
      <c r="A303" t="str">
        <f>"000789"</f>
        <v>000789</v>
      </c>
      <c r="B303" t="s">
        <v>738</v>
      </c>
      <c r="C303">
        <v>1.3</v>
      </c>
      <c r="D303">
        <v>11.67</v>
      </c>
      <c r="E303">
        <v>0.15</v>
      </c>
      <c r="F303">
        <v>11.67</v>
      </c>
      <c r="G303">
        <v>11.68</v>
      </c>
      <c r="H303">
        <v>107411</v>
      </c>
      <c r="I303">
        <v>3292</v>
      </c>
      <c r="J303">
        <v>-0.08</v>
      </c>
      <c r="K303">
        <v>1.35</v>
      </c>
      <c r="L303">
        <v>12417.49</v>
      </c>
      <c r="M303" t="s">
        <v>739</v>
      </c>
      <c r="N303" t="s">
        <v>75</v>
      </c>
      <c r="O303">
        <v>11.49</v>
      </c>
      <c r="P303">
        <v>11.72</v>
      </c>
      <c r="Q303">
        <v>11.42</v>
      </c>
      <c r="R303">
        <v>11.52</v>
      </c>
      <c r="S303">
        <v>6.18</v>
      </c>
      <c r="T303">
        <v>0.82</v>
      </c>
      <c r="U303" t="s">
        <v>235</v>
      </c>
    </row>
    <row r="304" spans="1:21">
      <c r="A304" t="str">
        <f>"000790"</f>
        <v>000790</v>
      </c>
      <c r="B304" t="s">
        <v>740</v>
      </c>
      <c r="C304">
        <v>-1.46</v>
      </c>
      <c r="D304">
        <v>5.4</v>
      </c>
      <c r="E304">
        <v>-0.08</v>
      </c>
      <c r="F304">
        <v>5.4</v>
      </c>
      <c r="G304">
        <v>5.41</v>
      </c>
      <c r="H304">
        <v>128824</v>
      </c>
      <c r="I304">
        <v>2999</v>
      </c>
      <c r="J304">
        <v>-0.17</v>
      </c>
      <c r="K304">
        <v>2.09</v>
      </c>
      <c r="L304">
        <v>7010.34</v>
      </c>
      <c r="M304" t="s">
        <v>741</v>
      </c>
      <c r="N304" t="s">
        <v>270</v>
      </c>
      <c r="O304">
        <v>5.48</v>
      </c>
      <c r="P304">
        <v>5.54</v>
      </c>
      <c r="Q304">
        <v>5.39</v>
      </c>
      <c r="R304">
        <v>5.48</v>
      </c>
      <c r="S304">
        <v>64.16</v>
      </c>
      <c r="T304">
        <v>0.65</v>
      </c>
      <c r="U304" t="s">
        <v>196</v>
      </c>
    </row>
    <row r="305" spans="1:21">
      <c r="A305" t="str">
        <f>"000791"</f>
        <v>000791</v>
      </c>
      <c r="B305" t="s">
        <v>742</v>
      </c>
      <c r="C305">
        <v>0.55</v>
      </c>
      <c r="D305">
        <v>5.52</v>
      </c>
      <c r="E305">
        <v>0.03</v>
      </c>
      <c r="F305">
        <v>5.51</v>
      </c>
      <c r="G305">
        <v>5.52</v>
      </c>
      <c r="H305">
        <v>248667</v>
      </c>
      <c r="I305">
        <v>3963</v>
      </c>
      <c r="J305">
        <v>0.36</v>
      </c>
      <c r="K305">
        <v>1.83</v>
      </c>
      <c r="L305">
        <v>13582.52</v>
      </c>
      <c r="M305" t="s">
        <v>743</v>
      </c>
      <c r="N305" t="s">
        <v>472</v>
      </c>
      <c r="O305">
        <v>5.47</v>
      </c>
      <c r="P305">
        <v>5.52</v>
      </c>
      <c r="Q305">
        <v>5.37</v>
      </c>
      <c r="R305">
        <v>5.49</v>
      </c>
      <c r="S305">
        <v>18.22</v>
      </c>
      <c r="T305">
        <v>1</v>
      </c>
      <c r="U305" t="s">
        <v>391</v>
      </c>
    </row>
    <row r="306" spans="1:21">
      <c r="A306" t="str">
        <f>"000792"</f>
        <v>000792</v>
      </c>
      <c r="B306" t="s">
        <v>744</v>
      </c>
      <c r="C306">
        <v>1.41</v>
      </c>
      <c r="D306">
        <v>28.09</v>
      </c>
      <c r="E306">
        <v>0.39</v>
      </c>
      <c r="F306">
        <v>28.08</v>
      </c>
      <c r="G306">
        <v>28.09</v>
      </c>
      <c r="H306">
        <v>1222770</v>
      </c>
      <c r="I306">
        <v>7458</v>
      </c>
      <c r="J306">
        <v>0</v>
      </c>
      <c r="K306">
        <v>2.25</v>
      </c>
      <c r="L306">
        <v>341116.21</v>
      </c>
      <c r="M306" t="s">
        <v>745</v>
      </c>
      <c r="N306" t="s">
        <v>309</v>
      </c>
      <c r="O306">
        <v>27.2</v>
      </c>
      <c r="P306">
        <v>28.51</v>
      </c>
      <c r="Q306">
        <v>27.01</v>
      </c>
      <c r="R306">
        <v>27.7</v>
      </c>
      <c r="S306">
        <v>30.81</v>
      </c>
      <c r="T306">
        <v>1.32</v>
      </c>
      <c r="U306" t="s">
        <v>242</v>
      </c>
    </row>
    <row r="307" spans="1:21">
      <c r="A307" t="str">
        <f>"000793"</f>
        <v>000793</v>
      </c>
      <c r="B307" t="s">
        <v>746</v>
      </c>
      <c r="C307">
        <v>2.67</v>
      </c>
      <c r="D307">
        <v>2.69</v>
      </c>
      <c r="E307">
        <v>0.07</v>
      </c>
      <c r="F307">
        <v>2.68</v>
      </c>
      <c r="G307">
        <v>2.69</v>
      </c>
      <c r="H307">
        <v>446815</v>
      </c>
      <c r="I307">
        <v>2559</v>
      </c>
      <c r="J307">
        <v>0</v>
      </c>
      <c r="K307">
        <v>2.28</v>
      </c>
      <c r="L307">
        <v>11946.52</v>
      </c>
      <c r="M307" t="s">
        <v>747</v>
      </c>
      <c r="N307" t="s">
        <v>650</v>
      </c>
      <c r="O307">
        <v>2.62</v>
      </c>
      <c r="P307">
        <v>2.72</v>
      </c>
      <c r="Q307">
        <v>2.6</v>
      </c>
      <c r="R307">
        <v>2.62</v>
      </c>
      <c r="S307">
        <v>259.65</v>
      </c>
      <c r="T307">
        <v>0.74</v>
      </c>
      <c r="U307" t="s">
        <v>294</v>
      </c>
    </row>
    <row r="308" spans="1:21">
      <c r="A308" t="str">
        <f>"000795"</f>
        <v>000795</v>
      </c>
      <c r="B308" t="s">
        <v>748</v>
      </c>
      <c r="C308">
        <v>0.34</v>
      </c>
      <c r="D308">
        <v>5.94</v>
      </c>
      <c r="E308">
        <v>0.02</v>
      </c>
      <c r="F308">
        <v>5.93</v>
      </c>
      <c r="G308">
        <v>5.94</v>
      </c>
      <c r="H308">
        <v>299092</v>
      </c>
      <c r="I308">
        <v>2951</v>
      </c>
      <c r="J308">
        <v>0</v>
      </c>
      <c r="K308">
        <v>2.64</v>
      </c>
      <c r="L308">
        <v>17577.36</v>
      </c>
      <c r="M308" t="s">
        <v>749</v>
      </c>
      <c r="N308" t="s">
        <v>750</v>
      </c>
      <c r="O308">
        <v>5.9</v>
      </c>
      <c r="P308">
        <v>5.98</v>
      </c>
      <c r="Q308">
        <v>5.79</v>
      </c>
      <c r="R308">
        <v>5.92</v>
      </c>
      <c r="S308">
        <v>35.13</v>
      </c>
      <c r="T308">
        <v>0.99</v>
      </c>
      <c r="U308" t="s">
        <v>232</v>
      </c>
    </row>
    <row r="309" spans="1:21">
      <c r="A309" t="str">
        <f>"000796"</f>
        <v>000796</v>
      </c>
      <c r="B309" t="s">
        <v>751</v>
      </c>
      <c r="C309">
        <v>-0.12</v>
      </c>
      <c r="D309">
        <v>8.3</v>
      </c>
      <c r="E309">
        <v>-0.01</v>
      </c>
      <c r="F309">
        <v>8.29</v>
      </c>
      <c r="G309">
        <v>8.3</v>
      </c>
      <c r="H309">
        <v>110588</v>
      </c>
      <c r="I309">
        <v>1683</v>
      </c>
      <c r="J309">
        <v>0.48</v>
      </c>
      <c r="K309">
        <v>1.38</v>
      </c>
      <c r="L309">
        <v>9133.41</v>
      </c>
      <c r="M309" t="s">
        <v>752</v>
      </c>
      <c r="N309" t="s">
        <v>489</v>
      </c>
      <c r="O309">
        <v>8.32</v>
      </c>
      <c r="P309">
        <v>8.4</v>
      </c>
      <c r="Q309">
        <v>8.13</v>
      </c>
      <c r="R309">
        <v>8.31</v>
      </c>
      <c r="S309" t="s">
        <v>40</v>
      </c>
      <c r="T309">
        <v>0.66</v>
      </c>
      <c r="U309" t="s">
        <v>294</v>
      </c>
    </row>
    <row r="310" spans="1:21">
      <c r="A310" t="str">
        <f>"000797"</f>
        <v>000797</v>
      </c>
      <c r="B310" t="s">
        <v>753</v>
      </c>
      <c r="C310">
        <v>1.22</v>
      </c>
      <c r="D310">
        <v>2.48</v>
      </c>
      <c r="E310">
        <v>0.03</v>
      </c>
      <c r="F310">
        <v>2.47</v>
      </c>
      <c r="G310">
        <v>2.48</v>
      </c>
      <c r="H310">
        <v>56512</v>
      </c>
      <c r="I310">
        <v>1300</v>
      </c>
      <c r="J310">
        <v>0</v>
      </c>
      <c r="K310">
        <v>0.36</v>
      </c>
      <c r="L310">
        <v>1384.81</v>
      </c>
      <c r="M310" t="s">
        <v>754</v>
      </c>
      <c r="N310" t="s">
        <v>27</v>
      </c>
      <c r="O310">
        <v>2.45</v>
      </c>
      <c r="P310">
        <v>2.48</v>
      </c>
      <c r="Q310">
        <v>2.42</v>
      </c>
      <c r="R310">
        <v>2.45</v>
      </c>
      <c r="S310">
        <v>71.12</v>
      </c>
      <c r="T310">
        <v>0.84</v>
      </c>
      <c r="U310" t="s">
        <v>339</v>
      </c>
    </row>
    <row r="311" spans="1:21">
      <c r="A311" t="str">
        <f>"000798"</f>
        <v>000798</v>
      </c>
      <c r="B311" t="s">
        <v>755</v>
      </c>
      <c r="C311">
        <v>0.28</v>
      </c>
      <c r="D311">
        <v>7.19</v>
      </c>
      <c r="E311">
        <v>0.02</v>
      </c>
      <c r="F311">
        <v>7.18</v>
      </c>
      <c r="G311">
        <v>7.19</v>
      </c>
      <c r="H311">
        <v>27584</v>
      </c>
      <c r="I311">
        <v>214</v>
      </c>
      <c r="J311">
        <v>0.14</v>
      </c>
      <c r="K311">
        <v>0.86</v>
      </c>
      <c r="L311">
        <v>1971.14</v>
      </c>
      <c r="M311" t="s">
        <v>756</v>
      </c>
      <c r="N311" t="s">
        <v>757</v>
      </c>
      <c r="O311">
        <v>7.16</v>
      </c>
      <c r="P311">
        <v>7.22</v>
      </c>
      <c r="Q311">
        <v>7.07</v>
      </c>
      <c r="R311">
        <v>7.17</v>
      </c>
      <c r="S311" t="s">
        <v>40</v>
      </c>
      <c r="T311">
        <v>0.9</v>
      </c>
      <c r="U311" t="s">
        <v>44</v>
      </c>
    </row>
    <row r="312" spans="1:21">
      <c r="A312" t="str">
        <f>"000799"</f>
        <v>000799</v>
      </c>
      <c r="B312" t="s">
        <v>758</v>
      </c>
      <c r="C312">
        <v>0.56</v>
      </c>
      <c r="D312">
        <v>206.22</v>
      </c>
      <c r="E312">
        <v>1.14</v>
      </c>
      <c r="F312">
        <v>206.22</v>
      </c>
      <c r="G312">
        <v>206.23</v>
      </c>
      <c r="H312">
        <v>60840</v>
      </c>
      <c r="I312">
        <v>522</v>
      </c>
      <c r="J312">
        <v>0.04</v>
      </c>
      <c r="K312">
        <v>1.87</v>
      </c>
      <c r="L312">
        <v>125991.95</v>
      </c>
      <c r="M312" t="s">
        <v>759</v>
      </c>
      <c r="N312" t="s">
        <v>423</v>
      </c>
      <c r="O312">
        <v>205.21</v>
      </c>
      <c r="P312">
        <v>210.12</v>
      </c>
      <c r="Q312">
        <v>203.5</v>
      </c>
      <c r="R312">
        <v>205.08</v>
      </c>
      <c r="S312">
        <v>69.79</v>
      </c>
      <c r="T312">
        <v>0.98</v>
      </c>
      <c r="U312" t="s">
        <v>204</v>
      </c>
    </row>
    <row r="313" spans="1:21">
      <c r="A313" t="str">
        <f>"000800"</f>
        <v>000800</v>
      </c>
      <c r="B313" t="s">
        <v>760</v>
      </c>
      <c r="C313">
        <v>0.96</v>
      </c>
      <c r="D313">
        <v>10.5</v>
      </c>
      <c r="E313">
        <v>0.1</v>
      </c>
      <c r="F313">
        <v>10.49</v>
      </c>
      <c r="G313">
        <v>10.5</v>
      </c>
      <c r="H313">
        <v>92649</v>
      </c>
      <c r="I313">
        <v>1134</v>
      </c>
      <c r="J313">
        <v>0.1</v>
      </c>
      <c r="K313">
        <v>1.21</v>
      </c>
      <c r="L313">
        <v>9631.42</v>
      </c>
      <c r="M313" t="s">
        <v>761</v>
      </c>
      <c r="N313" t="s">
        <v>385</v>
      </c>
      <c r="O313">
        <v>10.39</v>
      </c>
      <c r="P313">
        <v>10.5</v>
      </c>
      <c r="Q313">
        <v>10.26</v>
      </c>
      <c r="R313">
        <v>10.4</v>
      </c>
      <c r="S313">
        <v>10.26</v>
      </c>
      <c r="T313">
        <v>1.02</v>
      </c>
      <c r="U313" t="s">
        <v>92</v>
      </c>
    </row>
    <row r="314" spans="1:21">
      <c r="A314" t="str">
        <f>"000801"</f>
        <v>000801</v>
      </c>
      <c r="B314" t="s">
        <v>762</v>
      </c>
      <c r="C314">
        <v>0.13</v>
      </c>
      <c r="D314">
        <v>7.95</v>
      </c>
      <c r="E314">
        <v>0.01</v>
      </c>
      <c r="F314">
        <v>7.94</v>
      </c>
      <c r="G314">
        <v>7.95</v>
      </c>
      <c r="H314">
        <v>118148</v>
      </c>
      <c r="I314">
        <v>540</v>
      </c>
      <c r="J314">
        <v>0.51</v>
      </c>
      <c r="K314">
        <v>1.16</v>
      </c>
      <c r="L314">
        <v>9421.59</v>
      </c>
      <c r="M314" t="s">
        <v>763</v>
      </c>
      <c r="N314" t="s">
        <v>60</v>
      </c>
      <c r="O314">
        <v>7.9</v>
      </c>
      <c r="P314">
        <v>8.07</v>
      </c>
      <c r="Q314">
        <v>7.9</v>
      </c>
      <c r="R314">
        <v>7.94</v>
      </c>
      <c r="S314">
        <v>56.67</v>
      </c>
      <c r="T314">
        <v>0.5</v>
      </c>
      <c r="U314" t="s">
        <v>196</v>
      </c>
    </row>
    <row r="315" spans="1:21">
      <c r="A315" t="str">
        <f>"000802"</f>
        <v>000802</v>
      </c>
      <c r="B315" t="s">
        <v>764</v>
      </c>
      <c r="C315">
        <v>1.04</v>
      </c>
      <c r="D315">
        <v>4.88</v>
      </c>
      <c r="E315">
        <v>0.05</v>
      </c>
      <c r="F315">
        <v>4.88</v>
      </c>
      <c r="G315">
        <v>4.89</v>
      </c>
      <c r="H315">
        <v>12817</v>
      </c>
      <c r="I315">
        <v>254</v>
      </c>
      <c r="J315">
        <v>0</v>
      </c>
      <c r="K315">
        <v>0.18</v>
      </c>
      <c r="L315">
        <v>626.53</v>
      </c>
      <c r="M315" t="s">
        <v>765</v>
      </c>
      <c r="N315" t="s">
        <v>199</v>
      </c>
      <c r="O315">
        <v>4.86</v>
      </c>
      <c r="P315">
        <v>4.99</v>
      </c>
      <c r="Q315">
        <v>4.83</v>
      </c>
      <c r="R315">
        <v>4.83</v>
      </c>
      <c r="S315" t="s">
        <v>40</v>
      </c>
      <c r="T315">
        <v>0.86</v>
      </c>
      <c r="U315" t="s">
        <v>44</v>
      </c>
    </row>
    <row r="316" spans="1:21">
      <c r="A316" t="str">
        <f>"000803"</f>
        <v>000803</v>
      </c>
      <c r="B316" t="s">
        <v>766</v>
      </c>
      <c r="C316">
        <v>-5.36</v>
      </c>
      <c r="D316">
        <v>19.95</v>
      </c>
      <c r="E316">
        <v>-1.13</v>
      </c>
      <c r="F316">
        <v>19.95</v>
      </c>
      <c r="G316">
        <v>19.96</v>
      </c>
      <c r="H316">
        <v>45640</v>
      </c>
      <c r="I316">
        <v>544</v>
      </c>
      <c r="J316">
        <v>0.15</v>
      </c>
      <c r="K316">
        <v>3.09</v>
      </c>
      <c r="L316">
        <v>9119.95</v>
      </c>
      <c r="M316" t="s">
        <v>767</v>
      </c>
      <c r="N316" t="s">
        <v>33</v>
      </c>
      <c r="O316">
        <v>20.98</v>
      </c>
      <c r="P316">
        <v>20.98</v>
      </c>
      <c r="Q316">
        <v>19.64</v>
      </c>
      <c r="R316">
        <v>21.08</v>
      </c>
      <c r="S316">
        <v>603.18</v>
      </c>
      <c r="T316">
        <v>1.2</v>
      </c>
      <c r="U316" t="s">
        <v>196</v>
      </c>
    </row>
    <row r="317" spans="1:21">
      <c r="A317" t="str">
        <f>"000806"</f>
        <v>000806</v>
      </c>
      <c r="B317" t="s">
        <v>768</v>
      </c>
      <c r="C317">
        <v>1.57</v>
      </c>
      <c r="D317">
        <v>2.59</v>
      </c>
      <c r="E317">
        <v>0.04</v>
      </c>
      <c r="F317">
        <v>2.58</v>
      </c>
      <c r="G317">
        <v>2.59</v>
      </c>
      <c r="H317">
        <v>64309</v>
      </c>
      <c r="I317">
        <v>552</v>
      </c>
      <c r="J317">
        <v>0</v>
      </c>
      <c r="K317">
        <v>0.92</v>
      </c>
      <c r="L317">
        <v>1652.35</v>
      </c>
      <c r="M317" t="s">
        <v>769</v>
      </c>
      <c r="N317" t="s">
        <v>47</v>
      </c>
      <c r="O317">
        <v>2.54</v>
      </c>
      <c r="P317">
        <v>2.6</v>
      </c>
      <c r="Q317">
        <v>2.53</v>
      </c>
      <c r="R317">
        <v>2.55</v>
      </c>
      <c r="S317" t="s">
        <v>40</v>
      </c>
      <c r="T317">
        <v>0.36</v>
      </c>
      <c r="U317" t="s">
        <v>342</v>
      </c>
    </row>
    <row r="318" spans="1:21">
      <c r="A318" t="str">
        <f>"000807"</f>
        <v>000807</v>
      </c>
      <c r="B318" t="s">
        <v>770</v>
      </c>
      <c r="C318">
        <v>4.25</v>
      </c>
      <c r="D318">
        <v>10.8</v>
      </c>
      <c r="E318">
        <v>0.44</v>
      </c>
      <c r="F318">
        <v>10.79</v>
      </c>
      <c r="G318">
        <v>10.8</v>
      </c>
      <c r="H318">
        <v>1842932</v>
      </c>
      <c r="I318">
        <v>26718</v>
      </c>
      <c r="J318">
        <v>0</v>
      </c>
      <c r="K318">
        <v>6.55</v>
      </c>
      <c r="L318">
        <v>197318.68</v>
      </c>
      <c r="M318" t="s">
        <v>771</v>
      </c>
      <c r="N318" t="s">
        <v>494</v>
      </c>
      <c r="O318">
        <v>10.44</v>
      </c>
      <c r="P318">
        <v>11.06</v>
      </c>
      <c r="Q318">
        <v>10.25</v>
      </c>
      <c r="R318">
        <v>10.36</v>
      </c>
      <c r="S318">
        <v>7.84</v>
      </c>
      <c r="T318">
        <v>1.59</v>
      </c>
      <c r="U318" t="s">
        <v>363</v>
      </c>
    </row>
    <row r="319" spans="1:21">
      <c r="A319" t="str">
        <f>"000809"</f>
        <v>000809</v>
      </c>
      <c r="B319" t="s">
        <v>772</v>
      </c>
      <c r="C319">
        <v>-2.97</v>
      </c>
      <c r="D319">
        <v>3.27</v>
      </c>
      <c r="E319">
        <v>-0.1</v>
      </c>
      <c r="F319">
        <v>3.26</v>
      </c>
      <c r="G319">
        <v>3.27</v>
      </c>
      <c r="H319">
        <v>208259</v>
      </c>
      <c r="I319">
        <v>1514</v>
      </c>
      <c r="J319">
        <v>-0.29</v>
      </c>
      <c r="K319">
        <v>2.52</v>
      </c>
      <c r="L319">
        <v>6773.8</v>
      </c>
      <c r="M319" t="s">
        <v>773</v>
      </c>
      <c r="N319" t="s">
        <v>36</v>
      </c>
      <c r="O319">
        <v>3.38</v>
      </c>
      <c r="P319">
        <v>3.4</v>
      </c>
      <c r="Q319">
        <v>3.19</v>
      </c>
      <c r="R319">
        <v>3.37</v>
      </c>
      <c r="S319" t="s">
        <v>40</v>
      </c>
      <c r="T319">
        <v>0.96</v>
      </c>
      <c r="U319" t="s">
        <v>141</v>
      </c>
    </row>
    <row r="320" spans="1:21">
      <c r="A320" t="str">
        <f>"000810"</f>
        <v>000810</v>
      </c>
      <c r="B320" t="s">
        <v>774</v>
      </c>
      <c r="C320">
        <v>10.01</v>
      </c>
      <c r="D320">
        <v>9.12</v>
      </c>
      <c r="E320">
        <v>0.83</v>
      </c>
      <c r="F320">
        <v>9.12</v>
      </c>
      <c r="G320" t="s">
        <v>40</v>
      </c>
      <c r="H320">
        <v>371068</v>
      </c>
      <c r="I320">
        <v>228</v>
      </c>
      <c r="J320">
        <v>0</v>
      </c>
      <c r="K320">
        <v>3.62</v>
      </c>
      <c r="L320">
        <v>33374.72</v>
      </c>
      <c r="M320" t="s">
        <v>775</v>
      </c>
      <c r="N320" t="s">
        <v>60</v>
      </c>
      <c r="O320">
        <v>8.35</v>
      </c>
      <c r="P320">
        <v>9.12</v>
      </c>
      <c r="Q320">
        <v>8.35</v>
      </c>
      <c r="R320">
        <v>8.29</v>
      </c>
      <c r="S320">
        <v>27.04</v>
      </c>
      <c r="T320">
        <v>1.42</v>
      </c>
      <c r="U320" t="s">
        <v>196</v>
      </c>
    </row>
    <row r="321" spans="1:21">
      <c r="A321" t="str">
        <f>"000811"</f>
        <v>000811</v>
      </c>
      <c r="B321" t="s">
        <v>776</v>
      </c>
      <c r="C321">
        <v>5.83</v>
      </c>
      <c r="D321">
        <v>13.61</v>
      </c>
      <c r="E321">
        <v>0.75</v>
      </c>
      <c r="F321">
        <v>13.6</v>
      </c>
      <c r="G321">
        <v>13.61</v>
      </c>
      <c r="H321">
        <v>352202</v>
      </c>
      <c r="I321">
        <v>3976</v>
      </c>
      <c r="J321">
        <v>0.07</v>
      </c>
      <c r="K321">
        <v>4.72</v>
      </c>
      <c r="L321">
        <v>46576.95</v>
      </c>
      <c r="M321" t="s">
        <v>777</v>
      </c>
      <c r="N321" t="s">
        <v>203</v>
      </c>
      <c r="O321">
        <v>12.71</v>
      </c>
      <c r="P321">
        <v>13.81</v>
      </c>
      <c r="Q321">
        <v>12.48</v>
      </c>
      <c r="R321">
        <v>12.86</v>
      </c>
      <c r="S321">
        <v>32.78</v>
      </c>
      <c r="T321">
        <v>1.49</v>
      </c>
      <c r="U321" t="s">
        <v>221</v>
      </c>
    </row>
    <row r="322" spans="1:21">
      <c r="A322" t="str">
        <f>"000812"</f>
        <v>000812</v>
      </c>
      <c r="B322" t="s">
        <v>778</v>
      </c>
      <c r="C322">
        <v>-0.29</v>
      </c>
      <c r="D322">
        <v>3.47</v>
      </c>
      <c r="E322">
        <v>-0.01</v>
      </c>
      <c r="F322">
        <v>3.47</v>
      </c>
      <c r="G322">
        <v>3.48</v>
      </c>
      <c r="H322">
        <v>125827</v>
      </c>
      <c r="I322">
        <v>1485</v>
      </c>
      <c r="J322">
        <v>0</v>
      </c>
      <c r="K322">
        <v>1.64</v>
      </c>
      <c r="L322">
        <v>4357.43</v>
      </c>
      <c r="M322" t="s">
        <v>779</v>
      </c>
      <c r="N322" t="s">
        <v>482</v>
      </c>
      <c r="O322">
        <v>3.49</v>
      </c>
      <c r="P322">
        <v>3.51</v>
      </c>
      <c r="Q322">
        <v>3.42</v>
      </c>
      <c r="R322">
        <v>3.48</v>
      </c>
      <c r="S322">
        <v>170.77</v>
      </c>
      <c r="T322">
        <v>0.55</v>
      </c>
      <c r="U322" t="s">
        <v>317</v>
      </c>
    </row>
    <row r="323" spans="1:21">
      <c r="A323" t="str">
        <f>"000813"</f>
        <v>000813</v>
      </c>
      <c r="B323" t="s">
        <v>780</v>
      </c>
      <c r="C323">
        <v>-0.55</v>
      </c>
      <c r="D323">
        <v>3.6</v>
      </c>
      <c r="E323">
        <v>-0.02</v>
      </c>
      <c r="F323">
        <v>3.59</v>
      </c>
      <c r="G323">
        <v>3.6</v>
      </c>
      <c r="H323">
        <v>157266</v>
      </c>
      <c r="I323">
        <v>1056</v>
      </c>
      <c r="J323">
        <v>0.28</v>
      </c>
      <c r="K323">
        <v>0.71</v>
      </c>
      <c r="L323">
        <v>5640.63</v>
      </c>
      <c r="M323" t="s">
        <v>781</v>
      </c>
      <c r="N323" t="s">
        <v>192</v>
      </c>
      <c r="O323">
        <v>3.59</v>
      </c>
      <c r="P323">
        <v>3.61</v>
      </c>
      <c r="Q323">
        <v>3.57</v>
      </c>
      <c r="R323">
        <v>3.62</v>
      </c>
      <c r="S323">
        <v>48.62</v>
      </c>
      <c r="T323">
        <v>1.19</v>
      </c>
      <c r="U323" t="s">
        <v>210</v>
      </c>
    </row>
    <row r="324" spans="1:21">
      <c r="A324" t="str">
        <f>"000815"</f>
        <v>000815</v>
      </c>
      <c r="B324" t="s">
        <v>782</v>
      </c>
      <c r="C324">
        <v>-1.77</v>
      </c>
      <c r="D324">
        <v>6.11</v>
      </c>
      <c r="E324">
        <v>-0.11</v>
      </c>
      <c r="F324">
        <v>6.11</v>
      </c>
      <c r="G324">
        <v>6.12</v>
      </c>
      <c r="H324">
        <v>231138</v>
      </c>
      <c r="I324">
        <v>4233</v>
      </c>
      <c r="J324">
        <v>-0.32</v>
      </c>
      <c r="K324">
        <v>3.32</v>
      </c>
      <c r="L324">
        <v>14075.17</v>
      </c>
      <c r="M324" t="s">
        <v>783</v>
      </c>
      <c r="N324" t="s">
        <v>285</v>
      </c>
      <c r="O324">
        <v>6.1</v>
      </c>
      <c r="P324">
        <v>6.19</v>
      </c>
      <c r="Q324">
        <v>6</v>
      </c>
      <c r="R324">
        <v>6.22</v>
      </c>
      <c r="S324">
        <v>222.6</v>
      </c>
      <c r="T324">
        <v>1.09</v>
      </c>
      <c r="U324" t="s">
        <v>401</v>
      </c>
    </row>
    <row r="325" spans="1:21">
      <c r="A325" t="str">
        <f>"000816"</f>
        <v>000816</v>
      </c>
      <c r="B325" t="s">
        <v>784</v>
      </c>
      <c r="C325">
        <v>-1.54</v>
      </c>
      <c r="D325">
        <v>3.83</v>
      </c>
      <c r="E325">
        <v>-0.06</v>
      </c>
      <c r="F325">
        <v>3.83</v>
      </c>
      <c r="G325">
        <v>3.84</v>
      </c>
      <c r="H325">
        <v>1292077</v>
      </c>
      <c r="I325">
        <v>15582</v>
      </c>
      <c r="J325">
        <v>-0.25</v>
      </c>
      <c r="K325">
        <v>9.66</v>
      </c>
      <c r="L325">
        <v>49490.13</v>
      </c>
      <c r="M325" t="s">
        <v>785</v>
      </c>
      <c r="N325" t="s">
        <v>786</v>
      </c>
      <c r="O325">
        <v>3.8</v>
      </c>
      <c r="P325">
        <v>3.92</v>
      </c>
      <c r="Q325">
        <v>3.71</v>
      </c>
      <c r="R325">
        <v>3.89</v>
      </c>
      <c r="S325">
        <v>132.23</v>
      </c>
      <c r="T325">
        <v>2.29</v>
      </c>
      <c r="U325" t="s">
        <v>102</v>
      </c>
    </row>
    <row r="326" spans="1:21">
      <c r="A326" t="str">
        <f>"000818"</f>
        <v>000818</v>
      </c>
      <c r="B326" t="s">
        <v>787</v>
      </c>
      <c r="C326">
        <v>4.9</v>
      </c>
      <c r="D326">
        <v>36.2</v>
      </c>
      <c r="E326">
        <v>1.69</v>
      </c>
      <c r="F326">
        <v>36.2</v>
      </c>
      <c r="G326">
        <v>36.21</v>
      </c>
      <c r="H326">
        <v>185391</v>
      </c>
      <c r="I326">
        <v>1829</v>
      </c>
      <c r="J326">
        <v>0.28</v>
      </c>
      <c r="K326">
        <v>2.74</v>
      </c>
      <c r="L326">
        <v>66601.08</v>
      </c>
      <c r="M326" t="s">
        <v>788</v>
      </c>
      <c r="N326" t="s">
        <v>309</v>
      </c>
      <c r="O326">
        <v>34.32</v>
      </c>
      <c r="P326">
        <v>36.66</v>
      </c>
      <c r="Q326">
        <v>34.3</v>
      </c>
      <c r="R326">
        <v>34.51</v>
      </c>
      <c r="S326">
        <v>29.15</v>
      </c>
      <c r="T326">
        <v>0.75</v>
      </c>
      <c r="U326" t="s">
        <v>141</v>
      </c>
    </row>
    <row r="327" spans="1:21">
      <c r="A327" t="str">
        <f>"000819"</f>
        <v>000819</v>
      </c>
      <c r="B327" t="s">
        <v>789</v>
      </c>
      <c r="C327">
        <v>4.58</v>
      </c>
      <c r="D327">
        <v>8</v>
      </c>
      <c r="E327">
        <v>0.35</v>
      </c>
      <c r="F327">
        <v>7.99</v>
      </c>
      <c r="G327">
        <v>8</v>
      </c>
      <c r="H327">
        <v>142634</v>
      </c>
      <c r="I327">
        <v>2321</v>
      </c>
      <c r="J327">
        <v>0</v>
      </c>
      <c r="K327">
        <v>4.77</v>
      </c>
      <c r="L327">
        <v>11311.77</v>
      </c>
      <c r="M327" t="s">
        <v>790</v>
      </c>
      <c r="N327" t="s">
        <v>140</v>
      </c>
      <c r="O327">
        <v>7.71</v>
      </c>
      <c r="P327">
        <v>8.08</v>
      </c>
      <c r="Q327">
        <v>7.65</v>
      </c>
      <c r="R327">
        <v>7.65</v>
      </c>
      <c r="S327">
        <v>58.38</v>
      </c>
      <c r="T327">
        <v>2.27</v>
      </c>
      <c r="U327" t="s">
        <v>204</v>
      </c>
    </row>
    <row r="328" spans="1:21">
      <c r="A328" t="str">
        <f>"000820"</f>
        <v>000820</v>
      </c>
      <c r="B328" t="s">
        <v>791</v>
      </c>
      <c r="C328">
        <v>1.16</v>
      </c>
      <c r="D328">
        <v>3.48</v>
      </c>
      <c r="E328">
        <v>0.04</v>
      </c>
      <c r="F328">
        <v>3.47</v>
      </c>
      <c r="G328">
        <v>3.48</v>
      </c>
      <c r="H328">
        <v>87167</v>
      </c>
      <c r="I328">
        <v>1004</v>
      </c>
      <c r="J328">
        <v>0.29</v>
      </c>
      <c r="K328">
        <v>3.03</v>
      </c>
      <c r="L328">
        <v>3047.57</v>
      </c>
      <c r="M328" t="s">
        <v>792</v>
      </c>
      <c r="N328" t="s">
        <v>33</v>
      </c>
      <c r="O328">
        <v>3.46</v>
      </c>
      <c r="P328">
        <v>3.54</v>
      </c>
      <c r="Q328">
        <v>3.45</v>
      </c>
      <c r="R328">
        <v>3.44</v>
      </c>
      <c r="S328">
        <v>0.84</v>
      </c>
      <c r="T328">
        <v>1.19</v>
      </c>
      <c r="U328" t="s">
        <v>141</v>
      </c>
    </row>
    <row r="329" spans="1:21">
      <c r="A329" t="str">
        <f>"000821"</f>
        <v>000821</v>
      </c>
      <c r="B329" t="s">
        <v>793</v>
      </c>
      <c r="C329">
        <v>-0.91</v>
      </c>
      <c r="D329">
        <v>15.2</v>
      </c>
      <c r="E329">
        <v>-0.14</v>
      </c>
      <c r="F329">
        <v>15.2</v>
      </c>
      <c r="G329">
        <v>15.21</v>
      </c>
      <c r="H329">
        <v>270915</v>
      </c>
      <c r="I329">
        <v>6374</v>
      </c>
      <c r="J329">
        <v>-0.12</v>
      </c>
      <c r="K329">
        <v>5.69</v>
      </c>
      <c r="L329">
        <v>41427.48</v>
      </c>
      <c r="M329" t="s">
        <v>794</v>
      </c>
      <c r="N329" t="s">
        <v>111</v>
      </c>
      <c r="O329">
        <v>15.26</v>
      </c>
      <c r="P329">
        <v>15.58</v>
      </c>
      <c r="Q329">
        <v>15.05</v>
      </c>
      <c r="R329">
        <v>15.34</v>
      </c>
      <c r="S329">
        <v>49.18</v>
      </c>
      <c r="T329">
        <v>0.9</v>
      </c>
      <c r="U329" t="s">
        <v>267</v>
      </c>
    </row>
    <row r="330" spans="1:21">
      <c r="A330" t="str">
        <f>"000822"</f>
        <v>000822</v>
      </c>
      <c r="B330" t="s">
        <v>795</v>
      </c>
      <c r="C330">
        <v>6.41</v>
      </c>
      <c r="D330">
        <v>7.8</v>
      </c>
      <c r="E330">
        <v>0.47</v>
      </c>
      <c r="F330">
        <v>7.8</v>
      </c>
      <c r="G330">
        <v>7.81</v>
      </c>
      <c r="H330">
        <v>635236</v>
      </c>
      <c r="I330">
        <v>10063</v>
      </c>
      <c r="J330">
        <v>-0.12</v>
      </c>
      <c r="K330">
        <v>7.1</v>
      </c>
      <c r="L330">
        <v>47971.13</v>
      </c>
      <c r="M330" t="s">
        <v>796</v>
      </c>
      <c r="N330" t="s">
        <v>309</v>
      </c>
      <c r="O330">
        <v>7.33</v>
      </c>
      <c r="P330">
        <v>7.84</v>
      </c>
      <c r="Q330">
        <v>7.15</v>
      </c>
      <c r="R330">
        <v>7.33</v>
      </c>
      <c r="S330">
        <v>12.44</v>
      </c>
      <c r="T330">
        <v>2</v>
      </c>
      <c r="U330" t="s">
        <v>221</v>
      </c>
    </row>
    <row r="331" spans="1:21">
      <c r="A331" t="str">
        <f>"000823"</f>
        <v>000823</v>
      </c>
      <c r="B331" t="s">
        <v>797</v>
      </c>
      <c r="C331">
        <v>1.97</v>
      </c>
      <c r="D331">
        <v>14</v>
      </c>
      <c r="E331">
        <v>0.27</v>
      </c>
      <c r="F331">
        <v>13.99</v>
      </c>
      <c r="G331">
        <v>14</v>
      </c>
      <c r="H331">
        <v>168994</v>
      </c>
      <c r="I331">
        <v>3533</v>
      </c>
      <c r="J331">
        <v>0.21</v>
      </c>
      <c r="K331">
        <v>3.15</v>
      </c>
      <c r="L331">
        <v>23525.53</v>
      </c>
      <c r="M331" t="s">
        <v>798</v>
      </c>
      <c r="N331" t="s">
        <v>69</v>
      </c>
      <c r="O331">
        <v>13.65</v>
      </c>
      <c r="P331">
        <v>14.12</v>
      </c>
      <c r="Q331">
        <v>13.63</v>
      </c>
      <c r="R331">
        <v>13.73</v>
      </c>
      <c r="S331">
        <v>19.09</v>
      </c>
      <c r="T331">
        <v>0.83</v>
      </c>
      <c r="U331" t="s">
        <v>183</v>
      </c>
    </row>
    <row r="332" spans="1:21">
      <c r="A332" t="str">
        <f>"000825"</f>
        <v>000825</v>
      </c>
      <c r="B332" t="s">
        <v>799</v>
      </c>
      <c r="C332">
        <v>4.84</v>
      </c>
      <c r="D332">
        <v>7.8</v>
      </c>
      <c r="E332">
        <v>0.36</v>
      </c>
      <c r="F332">
        <v>7.8</v>
      </c>
      <c r="G332">
        <v>7.81</v>
      </c>
      <c r="H332">
        <v>1531823</v>
      </c>
      <c r="I332">
        <v>27673</v>
      </c>
      <c r="J332">
        <v>-0.37</v>
      </c>
      <c r="K332">
        <v>2.69</v>
      </c>
      <c r="L332">
        <v>117302.12</v>
      </c>
      <c r="M332" t="s">
        <v>800</v>
      </c>
      <c r="N332" t="s">
        <v>628</v>
      </c>
      <c r="O332">
        <v>7.54</v>
      </c>
      <c r="P332">
        <v>7.88</v>
      </c>
      <c r="Q332">
        <v>7.44</v>
      </c>
      <c r="R332">
        <v>7.44</v>
      </c>
      <c r="S332">
        <v>4.9</v>
      </c>
      <c r="T332">
        <v>2.06</v>
      </c>
      <c r="U332" t="s">
        <v>232</v>
      </c>
    </row>
    <row r="333" spans="1:21">
      <c r="A333" t="str">
        <f>"000826"</f>
        <v>000826</v>
      </c>
      <c r="B333" t="s">
        <v>801</v>
      </c>
      <c r="C333">
        <v>-0.76</v>
      </c>
      <c r="D333">
        <v>3.91</v>
      </c>
      <c r="E333">
        <v>-0.03</v>
      </c>
      <c r="F333">
        <v>3.9</v>
      </c>
      <c r="G333">
        <v>3.91</v>
      </c>
      <c r="H333">
        <v>132269</v>
      </c>
      <c r="I333">
        <v>1423</v>
      </c>
      <c r="J333">
        <v>-0.25</v>
      </c>
      <c r="K333">
        <v>0.93</v>
      </c>
      <c r="L333">
        <v>5100.27</v>
      </c>
      <c r="M333" t="s">
        <v>802</v>
      </c>
      <c r="N333" t="s">
        <v>33</v>
      </c>
      <c r="O333">
        <v>3.9</v>
      </c>
      <c r="P333">
        <v>3.93</v>
      </c>
      <c r="Q333">
        <v>3.78</v>
      </c>
      <c r="R333">
        <v>3.94</v>
      </c>
      <c r="S333" t="s">
        <v>40</v>
      </c>
      <c r="T333">
        <v>1.83</v>
      </c>
      <c r="U333" t="s">
        <v>267</v>
      </c>
    </row>
    <row r="334" spans="1:21">
      <c r="A334" t="str">
        <f>"000828"</f>
        <v>000828</v>
      </c>
      <c r="B334" t="s">
        <v>803</v>
      </c>
      <c r="C334">
        <v>0.97</v>
      </c>
      <c r="D334">
        <v>10.42</v>
      </c>
      <c r="E334">
        <v>0.1</v>
      </c>
      <c r="F334">
        <v>10.42</v>
      </c>
      <c r="G334">
        <v>10.43</v>
      </c>
      <c r="H334">
        <v>42009</v>
      </c>
      <c r="I334">
        <v>455</v>
      </c>
      <c r="J334">
        <v>-0.09</v>
      </c>
      <c r="K334">
        <v>0.4</v>
      </c>
      <c r="L334">
        <v>4354.34</v>
      </c>
      <c r="M334" t="s">
        <v>804</v>
      </c>
      <c r="N334" t="s">
        <v>280</v>
      </c>
      <c r="O334">
        <v>10.31</v>
      </c>
      <c r="P334">
        <v>10.45</v>
      </c>
      <c r="Q334">
        <v>10.24</v>
      </c>
      <c r="R334">
        <v>10.32</v>
      </c>
      <c r="S334">
        <v>10.31</v>
      </c>
      <c r="T334">
        <v>0.96</v>
      </c>
      <c r="U334" t="s">
        <v>183</v>
      </c>
    </row>
    <row r="335" spans="1:21">
      <c r="A335" t="str">
        <f>"000829"</f>
        <v>000829</v>
      </c>
      <c r="B335" t="s">
        <v>805</v>
      </c>
      <c r="C335">
        <v>-0.72</v>
      </c>
      <c r="D335">
        <v>21.91</v>
      </c>
      <c r="E335">
        <v>-0.16</v>
      </c>
      <c r="F335">
        <v>21.91</v>
      </c>
      <c r="G335">
        <v>21.92</v>
      </c>
      <c r="H335">
        <v>340160</v>
      </c>
      <c r="I335">
        <v>2984</v>
      </c>
      <c r="J335">
        <v>-0.26</v>
      </c>
      <c r="K335">
        <v>3.32</v>
      </c>
      <c r="L335">
        <v>75868.42</v>
      </c>
      <c r="M335" t="s">
        <v>806</v>
      </c>
      <c r="N335" t="s">
        <v>66</v>
      </c>
      <c r="O335">
        <v>22.18</v>
      </c>
      <c r="P335">
        <v>23.09</v>
      </c>
      <c r="Q335">
        <v>21.5</v>
      </c>
      <c r="R335">
        <v>22.07</v>
      </c>
      <c r="S335">
        <v>154.07</v>
      </c>
      <c r="T335">
        <v>0.66</v>
      </c>
      <c r="U335" t="s">
        <v>235</v>
      </c>
    </row>
    <row r="336" spans="1:21">
      <c r="A336" t="str">
        <f>"000830"</f>
        <v>000830</v>
      </c>
      <c r="B336" t="s">
        <v>807</v>
      </c>
      <c r="C336">
        <v>2.74</v>
      </c>
      <c r="D336">
        <v>15.36</v>
      </c>
      <c r="E336">
        <v>0.41</v>
      </c>
      <c r="F336">
        <v>15.36</v>
      </c>
      <c r="G336">
        <v>15.37</v>
      </c>
      <c r="H336">
        <v>576824</v>
      </c>
      <c r="I336">
        <v>9710</v>
      </c>
      <c r="J336">
        <v>0</v>
      </c>
      <c r="K336">
        <v>3.94</v>
      </c>
      <c r="L336">
        <v>87352.12</v>
      </c>
      <c r="M336" t="s">
        <v>808</v>
      </c>
      <c r="N336" t="s">
        <v>241</v>
      </c>
      <c r="O336">
        <v>15</v>
      </c>
      <c r="P336">
        <v>15.43</v>
      </c>
      <c r="Q336">
        <v>14.69</v>
      </c>
      <c r="R336">
        <v>14.95</v>
      </c>
      <c r="S336">
        <v>6.08</v>
      </c>
      <c r="T336">
        <v>1.51</v>
      </c>
      <c r="U336" t="s">
        <v>221</v>
      </c>
    </row>
    <row r="337" spans="1:21">
      <c r="A337" t="str">
        <f>"000831"</f>
        <v>000831</v>
      </c>
      <c r="B337" t="s">
        <v>809</v>
      </c>
      <c r="C337">
        <v>-1.12</v>
      </c>
      <c r="D337">
        <v>38.92</v>
      </c>
      <c r="E337">
        <v>-0.44</v>
      </c>
      <c r="F337">
        <v>38.92</v>
      </c>
      <c r="G337">
        <v>38.93</v>
      </c>
      <c r="H337">
        <v>266939</v>
      </c>
      <c r="I337">
        <v>2586</v>
      </c>
      <c r="J337">
        <v>0.03</v>
      </c>
      <c r="K337">
        <v>2.72</v>
      </c>
      <c r="L337">
        <v>103830.59</v>
      </c>
      <c r="M337" t="s">
        <v>810</v>
      </c>
      <c r="N337" t="s">
        <v>523</v>
      </c>
      <c r="O337">
        <v>39.08</v>
      </c>
      <c r="P337">
        <v>39.74</v>
      </c>
      <c r="Q337">
        <v>38.3</v>
      </c>
      <c r="R337">
        <v>39.36</v>
      </c>
      <c r="S337">
        <v>144.68</v>
      </c>
      <c r="T337">
        <v>0.74</v>
      </c>
      <c r="U337" t="s">
        <v>232</v>
      </c>
    </row>
    <row r="338" spans="1:21">
      <c r="A338" t="str">
        <f>"000833"</f>
        <v>000833</v>
      </c>
      <c r="B338" t="s">
        <v>811</v>
      </c>
      <c r="C338">
        <v>1.54</v>
      </c>
      <c r="D338">
        <v>6.6</v>
      </c>
      <c r="E338">
        <v>0.1</v>
      </c>
      <c r="F338">
        <v>6.59</v>
      </c>
      <c r="G338">
        <v>6.6</v>
      </c>
      <c r="H338">
        <v>175843</v>
      </c>
      <c r="I338">
        <v>1754</v>
      </c>
      <c r="J338">
        <v>0.15</v>
      </c>
      <c r="K338">
        <v>4.65</v>
      </c>
      <c r="L338">
        <v>11571.02</v>
      </c>
      <c r="M338" t="s">
        <v>812</v>
      </c>
      <c r="N338" t="s">
        <v>299</v>
      </c>
      <c r="O338">
        <v>6.59</v>
      </c>
      <c r="P338">
        <v>6.72</v>
      </c>
      <c r="Q338">
        <v>6.5</v>
      </c>
      <c r="R338">
        <v>6.5</v>
      </c>
      <c r="S338">
        <v>11.89</v>
      </c>
      <c r="T338">
        <v>1.51</v>
      </c>
      <c r="U338" t="s">
        <v>342</v>
      </c>
    </row>
    <row r="339" spans="1:21">
      <c r="A339" t="str">
        <f>"000835"</f>
        <v>000835</v>
      </c>
      <c r="B339" t="s">
        <v>813</v>
      </c>
      <c r="C339">
        <v>0.37</v>
      </c>
      <c r="D339">
        <v>2.72</v>
      </c>
      <c r="E339">
        <v>0.01</v>
      </c>
      <c r="F339">
        <v>2.71</v>
      </c>
      <c r="G339">
        <v>2.72</v>
      </c>
      <c r="H339">
        <v>62499</v>
      </c>
      <c r="I339">
        <v>2357</v>
      </c>
      <c r="J339">
        <v>0</v>
      </c>
      <c r="K339">
        <v>2.06</v>
      </c>
      <c r="L339">
        <v>1700.31</v>
      </c>
      <c r="M339" t="s">
        <v>814</v>
      </c>
      <c r="N339" t="s">
        <v>199</v>
      </c>
      <c r="O339">
        <v>2.7</v>
      </c>
      <c r="P339">
        <v>2.78</v>
      </c>
      <c r="Q339">
        <v>2.66</v>
      </c>
      <c r="R339">
        <v>2.71</v>
      </c>
      <c r="S339" t="s">
        <v>40</v>
      </c>
      <c r="T339">
        <v>0.55</v>
      </c>
      <c r="U339" t="s">
        <v>196</v>
      </c>
    </row>
    <row r="340" spans="1:21">
      <c r="A340" t="str">
        <f>"000836"</f>
        <v>000836</v>
      </c>
      <c r="B340" t="s">
        <v>815</v>
      </c>
      <c r="C340">
        <v>1.06</v>
      </c>
      <c r="D340">
        <v>2.86</v>
      </c>
      <c r="E340">
        <v>0.03</v>
      </c>
      <c r="F340">
        <v>2.86</v>
      </c>
      <c r="G340">
        <v>2.87</v>
      </c>
      <c r="H340">
        <v>260814</v>
      </c>
      <c r="I340">
        <v>5053</v>
      </c>
      <c r="J340">
        <v>0.35</v>
      </c>
      <c r="K340">
        <v>2.16</v>
      </c>
      <c r="L340">
        <v>7497.83</v>
      </c>
      <c r="M340" t="s">
        <v>816</v>
      </c>
      <c r="N340" t="s">
        <v>153</v>
      </c>
      <c r="O340">
        <v>2.86</v>
      </c>
      <c r="P340">
        <v>2.93</v>
      </c>
      <c r="Q340">
        <v>2.82</v>
      </c>
      <c r="R340">
        <v>2.83</v>
      </c>
      <c r="S340" t="s">
        <v>40</v>
      </c>
      <c r="T340">
        <v>0.63</v>
      </c>
      <c r="U340" t="s">
        <v>360</v>
      </c>
    </row>
    <row r="341" spans="1:21">
      <c r="A341" t="str">
        <f>"000837"</f>
        <v>000837</v>
      </c>
      <c r="B341" t="s">
        <v>817</v>
      </c>
      <c r="C341">
        <v>2.84</v>
      </c>
      <c r="D341">
        <v>11.58</v>
      </c>
      <c r="E341">
        <v>0.32</v>
      </c>
      <c r="F341">
        <v>11.57</v>
      </c>
      <c r="G341">
        <v>11.58</v>
      </c>
      <c r="H341">
        <v>303700</v>
      </c>
      <c r="I341">
        <v>3275</v>
      </c>
      <c r="J341">
        <v>0.26</v>
      </c>
      <c r="K341">
        <v>4.38</v>
      </c>
      <c r="L341">
        <v>34689.33</v>
      </c>
      <c r="M341" t="s">
        <v>818</v>
      </c>
      <c r="N341" t="s">
        <v>247</v>
      </c>
      <c r="O341">
        <v>11.26</v>
      </c>
      <c r="P341">
        <v>11.61</v>
      </c>
      <c r="Q341">
        <v>11.1</v>
      </c>
      <c r="R341">
        <v>11.26</v>
      </c>
      <c r="S341">
        <v>30.39</v>
      </c>
      <c r="T341">
        <v>1.01</v>
      </c>
      <c r="U341" t="s">
        <v>317</v>
      </c>
    </row>
    <row r="342" spans="1:21">
      <c r="A342" t="str">
        <f>"000838"</f>
        <v>000838</v>
      </c>
      <c r="B342" t="s">
        <v>819</v>
      </c>
      <c r="C342">
        <v>-0.34</v>
      </c>
      <c r="D342">
        <v>2.93</v>
      </c>
      <c r="E342">
        <v>-0.01</v>
      </c>
      <c r="F342">
        <v>2.93</v>
      </c>
      <c r="G342">
        <v>2.94</v>
      </c>
      <c r="H342">
        <v>128407</v>
      </c>
      <c r="I342">
        <v>3346</v>
      </c>
      <c r="J342">
        <v>-0.33</v>
      </c>
      <c r="K342">
        <v>1.52</v>
      </c>
      <c r="L342">
        <v>3751.78</v>
      </c>
      <c r="M342" t="s">
        <v>820</v>
      </c>
      <c r="N342" t="s">
        <v>36</v>
      </c>
      <c r="O342">
        <v>2.98</v>
      </c>
      <c r="P342">
        <v>3</v>
      </c>
      <c r="Q342">
        <v>2.88</v>
      </c>
      <c r="R342">
        <v>2.94</v>
      </c>
      <c r="S342" t="s">
        <v>40</v>
      </c>
      <c r="T342">
        <v>0.67</v>
      </c>
      <c r="U342" t="s">
        <v>314</v>
      </c>
    </row>
    <row r="343" spans="1:21">
      <c r="A343" t="str">
        <f>"000839"</f>
        <v>000839</v>
      </c>
      <c r="B343" t="s">
        <v>821</v>
      </c>
      <c r="C343">
        <v>0.85</v>
      </c>
      <c r="D343">
        <v>2.36</v>
      </c>
      <c r="E343">
        <v>0.02</v>
      </c>
      <c r="F343">
        <v>2.35</v>
      </c>
      <c r="G343">
        <v>2.36</v>
      </c>
      <c r="H343">
        <v>246093</v>
      </c>
      <c r="I343">
        <v>2125</v>
      </c>
      <c r="J343">
        <v>0</v>
      </c>
      <c r="K343">
        <v>0.63</v>
      </c>
      <c r="L343">
        <v>5746.98</v>
      </c>
      <c r="M343" t="s">
        <v>822</v>
      </c>
      <c r="N343" t="s">
        <v>99</v>
      </c>
      <c r="O343">
        <v>2.35</v>
      </c>
      <c r="P343">
        <v>2.37</v>
      </c>
      <c r="Q343">
        <v>2.31</v>
      </c>
      <c r="R343">
        <v>2.34</v>
      </c>
      <c r="S343" t="s">
        <v>40</v>
      </c>
      <c r="T343">
        <v>0.51</v>
      </c>
      <c r="U343" t="s">
        <v>44</v>
      </c>
    </row>
    <row r="344" spans="1:21">
      <c r="A344" t="str">
        <f>"000848"</f>
        <v>000848</v>
      </c>
      <c r="B344" t="s">
        <v>823</v>
      </c>
      <c r="C344">
        <v>-0.29</v>
      </c>
      <c r="D344">
        <v>10.17</v>
      </c>
      <c r="E344">
        <v>-0.03</v>
      </c>
      <c r="F344">
        <v>10.16</v>
      </c>
      <c r="G344">
        <v>10.17</v>
      </c>
      <c r="H344">
        <v>157951</v>
      </c>
      <c r="I344">
        <v>3448</v>
      </c>
      <c r="J344">
        <v>-0.09</v>
      </c>
      <c r="K344">
        <v>1.47</v>
      </c>
      <c r="L344">
        <v>16008.6</v>
      </c>
      <c r="M344" t="s">
        <v>824</v>
      </c>
      <c r="N344" t="s">
        <v>825</v>
      </c>
      <c r="O344">
        <v>10.17</v>
      </c>
      <c r="P344">
        <v>10.28</v>
      </c>
      <c r="Q344">
        <v>10.07</v>
      </c>
      <c r="R344">
        <v>10.2</v>
      </c>
      <c r="S344">
        <v>20.51</v>
      </c>
      <c r="T344">
        <v>0.84</v>
      </c>
      <c r="U344" t="s">
        <v>207</v>
      </c>
    </row>
    <row r="345" spans="1:21">
      <c r="A345" t="str">
        <f>"000850"</f>
        <v>000850</v>
      </c>
      <c r="B345" t="s">
        <v>826</v>
      </c>
      <c r="C345">
        <v>0.23</v>
      </c>
      <c r="D345">
        <v>4.32</v>
      </c>
      <c r="E345">
        <v>0.01</v>
      </c>
      <c r="F345">
        <v>4.31</v>
      </c>
      <c r="G345">
        <v>4.32</v>
      </c>
      <c r="H345">
        <v>68953</v>
      </c>
      <c r="I345">
        <v>603</v>
      </c>
      <c r="J345">
        <v>0</v>
      </c>
      <c r="K345">
        <v>0.73</v>
      </c>
      <c r="L345">
        <v>2966.72</v>
      </c>
      <c r="M345" t="s">
        <v>827</v>
      </c>
      <c r="N345" t="s">
        <v>664</v>
      </c>
      <c r="O345">
        <v>4.32</v>
      </c>
      <c r="P345">
        <v>4.34</v>
      </c>
      <c r="Q345">
        <v>4.26</v>
      </c>
      <c r="R345">
        <v>4.31</v>
      </c>
      <c r="S345">
        <v>8.89</v>
      </c>
      <c r="T345">
        <v>0.77</v>
      </c>
      <c r="U345" t="s">
        <v>193</v>
      </c>
    </row>
    <row r="346" spans="1:21">
      <c r="A346" t="str">
        <f>"000851"</f>
        <v>000851</v>
      </c>
      <c r="B346" t="s">
        <v>828</v>
      </c>
      <c r="C346">
        <v>4.09</v>
      </c>
      <c r="D346">
        <v>6.11</v>
      </c>
      <c r="E346">
        <v>0.24</v>
      </c>
      <c r="F346">
        <v>6.11</v>
      </c>
      <c r="G346">
        <v>6.12</v>
      </c>
      <c r="H346">
        <v>270972</v>
      </c>
      <c r="I346">
        <v>2841</v>
      </c>
      <c r="J346">
        <v>-0.15</v>
      </c>
      <c r="K346">
        <v>3.08</v>
      </c>
      <c r="L346">
        <v>16638.6</v>
      </c>
      <c r="M346" t="s">
        <v>829</v>
      </c>
      <c r="N346" t="s">
        <v>153</v>
      </c>
      <c r="O346">
        <v>5.88</v>
      </c>
      <c r="P346">
        <v>6.25</v>
      </c>
      <c r="Q346">
        <v>5.88</v>
      </c>
      <c r="R346">
        <v>5.87</v>
      </c>
      <c r="S346">
        <v>212.07</v>
      </c>
      <c r="T346">
        <v>3.1</v>
      </c>
      <c r="U346" t="s">
        <v>368</v>
      </c>
    </row>
    <row r="347" spans="1:21">
      <c r="A347" t="str">
        <f>"000852"</f>
        <v>000852</v>
      </c>
      <c r="B347" t="s">
        <v>830</v>
      </c>
      <c r="C347">
        <v>4.84</v>
      </c>
      <c r="D347">
        <v>6.06</v>
      </c>
      <c r="E347">
        <v>0.28</v>
      </c>
      <c r="F347">
        <v>6.06</v>
      </c>
      <c r="G347">
        <v>6.07</v>
      </c>
      <c r="H347">
        <v>358046</v>
      </c>
      <c r="I347">
        <v>10137</v>
      </c>
      <c r="J347">
        <v>-0.32</v>
      </c>
      <c r="K347">
        <v>4.6</v>
      </c>
      <c r="L347">
        <v>21368.57</v>
      </c>
      <c r="M347" t="s">
        <v>831</v>
      </c>
      <c r="N347" t="s">
        <v>832</v>
      </c>
      <c r="O347">
        <v>5.71</v>
      </c>
      <c r="P347">
        <v>6.12</v>
      </c>
      <c r="Q347">
        <v>5.71</v>
      </c>
      <c r="R347">
        <v>5.78</v>
      </c>
      <c r="S347">
        <v>146.24</v>
      </c>
      <c r="T347">
        <v>1.67</v>
      </c>
      <c r="U347" t="s">
        <v>267</v>
      </c>
    </row>
    <row r="348" spans="1:21">
      <c r="A348" t="str">
        <f>"000856"</f>
        <v>000856</v>
      </c>
      <c r="B348" t="s">
        <v>833</v>
      </c>
      <c r="C348">
        <v>0.59</v>
      </c>
      <c r="D348">
        <v>6.8</v>
      </c>
      <c r="E348">
        <v>0.04</v>
      </c>
      <c r="F348">
        <v>6.8</v>
      </c>
      <c r="G348">
        <v>6.81</v>
      </c>
      <c r="H348">
        <v>15015</v>
      </c>
      <c r="I348">
        <v>106</v>
      </c>
      <c r="J348">
        <v>0.15</v>
      </c>
      <c r="K348">
        <v>0.66</v>
      </c>
      <c r="L348">
        <v>1019.78</v>
      </c>
      <c r="M348" t="s">
        <v>834</v>
      </c>
      <c r="N348" t="s">
        <v>347</v>
      </c>
      <c r="O348">
        <v>6.76</v>
      </c>
      <c r="P348">
        <v>6.84</v>
      </c>
      <c r="Q348">
        <v>6.72</v>
      </c>
      <c r="R348">
        <v>6.76</v>
      </c>
      <c r="S348">
        <v>50.72</v>
      </c>
      <c r="T348">
        <v>0.68</v>
      </c>
      <c r="U348" t="s">
        <v>207</v>
      </c>
    </row>
    <row r="349" spans="1:21">
      <c r="A349" t="str">
        <f>"000858"</f>
        <v>000858</v>
      </c>
      <c r="B349" t="s">
        <v>835</v>
      </c>
      <c r="C349">
        <v>1.91</v>
      </c>
      <c r="D349">
        <v>212.6</v>
      </c>
      <c r="E349">
        <v>3.98</v>
      </c>
      <c r="F349">
        <v>212.59</v>
      </c>
      <c r="G349">
        <v>212.6</v>
      </c>
      <c r="H349">
        <v>242930</v>
      </c>
      <c r="I349">
        <v>1798</v>
      </c>
      <c r="J349">
        <v>-0.04</v>
      </c>
      <c r="K349">
        <v>0.63</v>
      </c>
      <c r="L349">
        <v>518816.15</v>
      </c>
      <c r="M349" t="s">
        <v>836</v>
      </c>
      <c r="N349" t="s">
        <v>423</v>
      </c>
      <c r="O349">
        <v>207.88</v>
      </c>
      <c r="P349">
        <v>216.5</v>
      </c>
      <c r="Q349">
        <v>207.4</v>
      </c>
      <c r="R349">
        <v>208.62</v>
      </c>
      <c r="S349">
        <v>35.72</v>
      </c>
      <c r="T349">
        <v>1.23</v>
      </c>
      <c r="U349" t="s">
        <v>196</v>
      </c>
    </row>
    <row r="350" spans="1:21">
      <c r="A350" t="str">
        <f>"000859"</f>
        <v>000859</v>
      </c>
      <c r="B350" t="s">
        <v>837</v>
      </c>
      <c r="C350">
        <v>1.68</v>
      </c>
      <c r="D350">
        <v>6.07</v>
      </c>
      <c r="E350">
        <v>0.1</v>
      </c>
      <c r="F350">
        <v>6.07</v>
      </c>
      <c r="G350">
        <v>6.08</v>
      </c>
      <c r="H350">
        <v>149622</v>
      </c>
      <c r="I350">
        <v>1962</v>
      </c>
      <c r="J350">
        <v>0</v>
      </c>
      <c r="K350">
        <v>1.78</v>
      </c>
      <c r="L350">
        <v>9020.98</v>
      </c>
      <c r="M350" t="s">
        <v>838</v>
      </c>
      <c r="N350" t="s">
        <v>839</v>
      </c>
      <c r="O350">
        <v>5.97</v>
      </c>
      <c r="P350">
        <v>6.08</v>
      </c>
      <c r="Q350">
        <v>5.95</v>
      </c>
      <c r="R350">
        <v>5.97</v>
      </c>
      <c r="S350">
        <v>18.26</v>
      </c>
      <c r="T350">
        <v>0.87</v>
      </c>
      <c r="U350" t="s">
        <v>193</v>
      </c>
    </row>
    <row r="351" spans="1:21">
      <c r="A351" t="str">
        <f>"000860"</f>
        <v>000860</v>
      </c>
      <c r="B351" t="s">
        <v>840</v>
      </c>
      <c r="C351">
        <v>0.18</v>
      </c>
      <c r="D351">
        <v>33.55</v>
      </c>
      <c r="E351">
        <v>0.06</v>
      </c>
      <c r="F351">
        <v>33.55</v>
      </c>
      <c r="G351">
        <v>33.56</v>
      </c>
      <c r="H351">
        <v>98891</v>
      </c>
      <c r="I351">
        <v>1482</v>
      </c>
      <c r="J351">
        <v>0.06</v>
      </c>
      <c r="K351">
        <v>1.33</v>
      </c>
      <c r="L351">
        <v>33275.99</v>
      </c>
      <c r="M351" t="s">
        <v>841</v>
      </c>
      <c r="N351" t="s">
        <v>423</v>
      </c>
      <c r="O351">
        <v>33.3</v>
      </c>
      <c r="P351">
        <v>34.11</v>
      </c>
      <c r="Q351">
        <v>33.01</v>
      </c>
      <c r="R351">
        <v>33.49</v>
      </c>
      <c r="S351">
        <v>50.19</v>
      </c>
      <c r="T351">
        <v>0.89</v>
      </c>
      <c r="U351" t="s">
        <v>44</v>
      </c>
    </row>
    <row r="352" spans="1:21">
      <c r="A352" t="str">
        <f>"000861"</f>
        <v>000861</v>
      </c>
      <c r="B352" t="s">
        <v>842</v>
      </c>
      <c r="C352">
        <v>10.09</v>
      </c>
      <c r="D352">
        <v>2.4</v>
      </c>
      <c r="E352">
        <v>0.22</v>
      </c>
      <c r="F352">
        <v>2.4</v>
      </c>
      <c r="G352" t="s">
        <v>40</v>
      </c>
      <c r="H352">
        <v>866747</v>
      </c>
      <c r="I352">
        <v>305</v>
      </c>
      <c r="J352">
        <v>0</v>
      </c>
      <c r="K352">
        <v>4</v>
      </c>
      <c r="L352">
        <v>20206.61</v>
      </c>
      <c r="M352" t="s">
        <v>843</v>
      </c>
      <c r="N352" t="s">
        <v>66</v>
      </c>
      <c r="O352">
        <v>2.17</v>
      </c>
      <c r="P352">
        <v>2.4</v>
      </c>
      <c r="Q352">
        <v>2.17</v>
      </c>
      <c r="R352">
        <v>2.18</v>
      </c>
      <c r="S352">
        <v>53.29</v>
      </c>
      <c r="T352">
        <v>3.33</v>
      </c>
      <c r="U352" t="s">
        <v>183</v>
      </c>
    </row>
    <row r="353" spans="1:21">
      <c r="A353" t="str">
        <f>"000862"</f>
        <v>000862</v>
      </c>
      <c r="B353" t="s">
        <v>844</v>
      </c>
      <c r="C353">
        <v>0.41</v>
      </c>
      <c r="D353">
        <v>7.36</v>
      </c>
      <c r="E353">
        <v>0.03</v>
      </c>
      <c r="F353">
        <v>7.35</v>
      </c>
      <c r="G353">
        <v>7.36</v>
      </c>
      <c r="H353">
        <v>299149</v>
      </c>
      <c r="I353">
        <v>4302</v>
      </c>
      <c r="J353">
        <v>0.27</v>
      </c>
      <c r="K353">
        <v>5.97</v>
      </c>
      <c r="L353">
        <v>21775.64</v>
      </c>
      <c r="M353" t="s">
        <v>845</v>
      </c>
      <c r="N353" t="s">
        <v>114</v>
      </c>
      <c r="O353">
        <v>7.25</v>
      </c>
      <c r="P353">
        <v>7.39</v>
      </c>
      <c r="Q353">
        <v>7.14</v>
      </c>
      <c r="R353">
        <v>7.33</v>
      </c>
      <c r="S353">
        <v>27.11</v>
      </c>
      <c r="T353">
        <v>0.78</v>
      </c>
      <c r="U353" t="s">
        <v>401</v>
      </c>
    </row>
    <row r="354" spans="1:21">
      <c r="A354" t="str">
        <f>"000863"</f>
        <v>000863</v>
      </c>
      <c r="B354" t="s">
        <v>846</v>
      </c>
      <c r="C354">
        <v>1.46</v>
      </c>
      <c r="D354">
        <v>2.78</v>
      </c>
      <c r="E354">
        <v>0.04</v>
      </c>
      <c r="F354">
        <v>2.77</v>
      </c>
      <c r="G354">
        <v>2.78</v>
      </c>
      <c r="H354">
        <v>67691</v>
      </c>
      <c r="I354">
        <v>540</v>
      </c>
      <c r="J354">
        <v>0</v>
      </c>
      <c r="K354">
        <v>0.57</v>
      </c>
      <c r="L354">
        <v>1863.47</v>
      </c>
      <c r="M354" t="s">
        <v>847</v>
      </c>
      <c r="N354" t="s">
        <v>36</v>
      </c>
      <c r="O354">
        <v>2.74</v>
      </c>
      <c r="P354">
        <v>2.79</v>
      </c>
      <c r="Q354">
        <v>2.71</v>
      </c>
      <c r="R354">
        <v>2.74</v>
      </c>
      <c r="S354">
        <v>7.93</v>
      </c>
      <c r="T354">
        <v>1.05</v>
      </c>
      <c r="U354" t="s">
        <v>848</v>
      </c>
    </row>
    <row r="355" spans="1:21">
      <c r="A355" t="str">
        <f>"000868"</f>
        <v>000868</v>
      </c>
      <c r="B355" t="s">
        <v>849</v>
      </c>
      <c r="C355">
        <v>0.76</v>
      </c>
      <c r="D355">
        <v>3.99</v>
      </c>
      <c r="E355">
        <v>0.03</v>
      </c>
      <c r="F355">
        <v>3.98</v>
      </c>
      <c r="G355">
        <v>3.99</v>
      </c>
      <c r="H355">
        <v>65591</v>
      </c>
      <c r="I355">
        <v>1188</v>
      </c>
      <c r="J355">
        <v>0.25</v>
      </c>
      <c r="K355">
        <v>0.89</v>
      </c>
      <c r="L355">
        <v>2606.65</v>
      </c>
      <c r="M355" t="s">
        <v>850</v>
      </c>
      <c r="N355" t="s">
        <v>385</v>
      </c>
      <c r="O355">
        <v>3.94</v>
      </c>
      <c r="P355">
        <v>4.02</v>
      </c>
      <c r="Q355">
        <v>3.93</v>
      </c>
      <c r="R355">
        <v>3.96</v>
      </c>
      <c r="S355" t="s">
        <v>40</v>
      </c>
      <c r="T355">
        <v>0.65</v>
      </c>
      <c r="U355" t="s">
        <v>193</v>
      </c>
    </row>
    <row r="356" spans="1:21">
      <c r="A356" t="str">
        <f>"000869"</f>
        <v>000869</v>
      </c>
      <c r="B356" t="s">
        <v>851</v>
      </c>
      <c r="C356">
        <v>0.74</v>
      </c>
      <c r="D356">
        <v>31.16</v>
      </c>
      <c r="E356">
        <v>0.23</v>
      </c>
      <c r="F356">
        <v>31.16</v>
      </c>
      <c r="G356">
        <v>31.17</v>
      </c>
      <c r="H356">
        <v>19660</v>
      </c>
      <c r="I356">
        <v>224</v>
      </c>
      <c r="J356">
        <v>0.03</v>
      </c>
      <c r="K356">
        <v>0.43</v>
      </c>
      <c r="L356">
        <v>6115.61</v>
      </c>
      <c r="M356" t="s">
        <v>852</v>
      </c>
      <c r="N356" t="s">
        <v>853</v>
      </c>
      <c r="O356">
        <v>30.95</v>
      </c>
      <c r="P356">
        <v>31.27</v>
      </c>
      <c r="Q356">
        <v>30.95</v>
      </c>
      <c r="R356">
        <v>30.93</v>
      </c>
      <c r="S356">
        <v>35.48</v>
      </c>
      <c r="T356">
        <v>0.93</v>
      </c>
      <c r="U356" t="s">
        <v>221</v>
      </c>
    </row>
    <row r="357" spans="1:21">
      <c r="A357" t="str">
        <f>"000875"</f>
        <v>000875</v>
      </c>
      <c r="B357" t="s">
        <v>854</v>
      </c>
      <c r="C357">
        <v>2.33</v>
      </c>
      <c r="D357">
        <v>7.04</v>
      </c>
      <c r="E357">
        <v>0.16</v>
      </c>
      <c r="F357">
        <v>7.04</v>
      </c>
      <c r="G357">
        <v>7.05</v>
      </c>
      <c r="H357">
        <v>1314028</v>
      </c>
      <c r="I357">
        <v>9661</v>
      </c>
      <c r="J357">
        <v>0.14</v>
      </c>
      <c r="K357">
        <v>5.37</v>
      </c>
      <c r="L357">
        <v>91270.07</v>
      </c>
      <c r="M357" t="s">
        <v>855</v>
      </c>
      <c r="N357" t="s">
        <v>83</v>
      </c>
      <c r="O357">
        <v>6.83</v>
      </c>
      <c r="P357">
        <v>7.17</v>
      </c>
      <c r="Q357">
        <v>6.7</v>
      </c>
      <c r="R357">
        <v>6.88</v>
      </c>
      <c r="S357">
        <v>21.77</v>
      </c>
      <c r="T357">
        <v>1.34</v>
      </c>
      <c r="U357" t="s">
        <v>92</v>
      </c>
    </row>
    <row r="358" spans="1:21">
      <c r="A358" t="str">
        <f>"000876"</f>
        <v>000876</v>
      </c>
      <c r="B358" t="s">
        <v>856</v>
      </c>
      <c r="C358">
        <v>-1.35</v>
      </c>
      <c r="D358">
        <v>15.37</v>
      </c>
      <c r="E358">
        <v>-0.21</v>
      </c>
      <c r="F358">
        <v>15.37</v>
      </c>
      <c r="G358">
        <v>15.38</v>
      </c>
      <c r="H358">
        <v>558928</v>
      </c>
      <c r="I358">
        <v>5310</v>
      </c>
      <c r="J358">
        <v>0.07</v>
      </c>
      <c r="K358">
        <v>1.29</v>
      </c>
      <c r="L358">
        <v>85353.04</v>
      </c>
      <c r="M358" t="s">
        <v>857</v>
      </c>
      <c r="N358" t="s">
        <v>124</v>
      </c>
      <c r="O358">
        <v>15.49</v>
      </c>
      <c r="P358">
        <v>15.56</v>
      </c>
      <c r="Q358">
        <v>15.06</v>
      </c>
      <c r="R358">
        <v>15.58</v>
      </c>
      <c r="S358" t="s">
        <v>40</v>
      </c>
      <c r="T358">
        <v>0.97</v>
      </c>
      <c r="U358" t="s">
        <v>196</v>
      </c>
    </row>
    <row r="359" spans="1:21">
      <c r="A359" t="str">
        <f>"000877"</f>
        <v>000877</v>
      </c>
      <c r="B359" t="s">
        <v>858</v>
      </c>
      <c r="C359">
        <v>-0.22</v>
      </c>
      <c r="D359">
        <v>13.65</v>
      </c>
      <c r="E359">
        <v>-0.03</v>
      </c>
      <c r="F359">
        <v>13.65</v>
      </c>
      <c r="G359">
        <v>13.66</v>
      </c>
      <c r="H359">
        <v>113454</v>
      </c>
      <c r="I359">
        <v>742</v>
      </c>
      <c r="J359">
        <v>-0.14</v>
      </c>
      <c r="K359">
        <v>1.29</v>
      </c>
      <c r="L359">
        <v>15463.51</v>
      </c>
      <c r="M359" t="s">
        <v>859</v>
      </c>
      <c r="N359" t="s">
        <v>75</v>
      </c>
      <c r="O359">
        <v>13.71</v>
      </c>
      <c r="P359">
        <v>13.76</v>
      </c>
      <c r="Q359">
        <v>13.47</v>
      </c>
      <c r="R359">
        <v>13.68</v>
      </c>
      <c r="S359">
        <v>8.65</v>
      </c>
      <c r="T359">
        <v>0.88</v>
      </c>
      <c r="U359" t="s">
        <v>210</v>
      </c>
    </row>
    <row r="360" spans="1:21">
      <c r="A360" t="str">
        <f>"000878"</f>
        <v>000878</v>
      </c>
      <c r="B360" t="s">
        <v>860</v>
      </c>
      <c r="C360">
        <v>2.24</v>
      </c>
      <c r="D360">
        <v>13.67</v>
      </c>
      <c r="E360">
        <v>0.3</v>
      </c>
      <c r="F360">
        <v>13.67</v>
      </c>
      <c r="G360">
        <v>13.68</v>
      </c>
      <c r="H360">
        <v>300945</v>
      </c>
      <c r="I360">
        <v>3328</v>
      </c>
      <c r="J360">
        <v>-0.14</v>
      </c>
      <c r="K360">
        <v>1.83</v>
      </c>
      <c r="L360">
        <v>40772.07</v>
      </c>
      <c r="M360" t="s">
        <v>861</v>
      </c>
      <c r="N360" t="s">
        <v>526</v>
      </c>
      <c r="O360">
        <v>13.32</v>
      </c>
      <c r="P360">
        <v>13.73</v>
      </c>
      <c r="Q360">
        <v>13.31</v>
      </c>
      <c r="R360">
        <v>13.37</v>
      </c>
      <c r="S360">
        <v>33.42</v>
      </c>
      <c r="T360">
        <v>1.63</v>
      </c>
      <c r="U360" t="s">
        <v>363</v>
      </c>
    </row>
    <row r="361" spans="1:21">
      <c r="A361" t="str">
        <f>"000880"</f>
        <v>000880</v>
      </c>
      <c r="B361" t="s">
        <v>862</v>
      </c>
      <c r="C361">
        <v>2.34</v>
      </c>
      <c r="D361">
        <v>9.2</v>
      </c>
      <c r="E361">
        <v>0.21</v>
      </c>
      <c r="F361">
        <v>9.19</v>
      </c>
      <c r="G361">
        <v>9.2</v>
      </c>
      <c r="H361">
        <v>110567</v>
      </c>
      <c r="I361">
        <v>1355</v>
      </c>
      <c r="J361">
        <v>0.22</v>
      </c>
      <c r="K361">
        <v>6.82</v>
      </c>
      <c r="L361">
        <v>10049.66</v>
      </c>
      <c r="M361" t="s">
        <v>863</v>
      </c>
      <c r="N361" t="s">
        <v>347</v>
      </c>
      <c r="O361">
        <v>8.99</v>
      </c>
      <c r="P361">
        <v>9.28</v>
      </c>
      <c r="Q361">
        <v>8.75</v>
      </c>
      <c r="R361">
        <v>8.99</v>
      </c>
      <c r="S361">
        <v>20.06</v>
      </c>
      <c r="T361">
        <v>0.83</v>
      </c>
      <c r="U361" t="s">
        <v>221</v>
      </c>
    </row>
    <row r="362" spans="1:21">
      <c r="A362" t="str">
        <f>"000881"</f>
        <v>000881</v>
      </c>
      <c r="B362" t="s">
        <v>864</v>
      </c>
      <c r="C362">
        <v>0</v>
      </c>
      <c r="D362">
        <v>9.2</v>
      </c>
      <c r="E362">
        <v>0</v>
      </c>
      <c r="F362">
        <v>9.2</v>
      </c>
      <c r="G362">
        <v>9.21</v>
      </c>
      <c r="H362">
        <v>46121</v>
      </c>
      <c r="I362">
        <v>952</v>
      </c>
      <c r="J362">
        <v>0.11</v>
      </c>
      <c r="K362">
        <v>0.6</v>
      </c>
      <c r="L362">
        <v>4228.23</v>
      </c>
      <c r="M362" t="s">
        <v>865</v>
      </c>
      <c r="N362" t="s">
        <v>99</v>
      </c>
      <c r="O362">
        <v>9.22</v>
      </c>
      <c r="P362">
        <v>9.24</v>
      </c>
      <c r="Q362">
        <v>9.1</v>
      </c>
      <c r="R362">
        <v>9.2</v>
      </c>
      <c r="S362">
        <v>31.95</v>
      </c>
      <c r="T362">
        <v>0.96</v>
      </c>
      <c r="U362" t="s">
        <v>141</v>
      </c>
    </row>
    <row r="363" spans="1:21">
      <c r="A363" t="str">
        <f>"000882"</f>
        <v>000882</v>
      </c>
      <c r="B363" t="s">
        <v>866</v>
      </c>
      <c r="C363">
        <v>1.13</v>
      </c>
      <c r="D363">
        <v>1.79</v>
      </c>
      <c r="E363">
        <v>0.02</v>
      </c>
      <c r="F363">
        <v>1.78</v>
      </c>
      <c r="G363">
        <v>1.79</v>
      </c>
      <c r="H363">
        <v>138590</v>
      </c>
      <c r="I363">
        <v>1766</v>
      </c>
      <c r="J363">
        <v>0</v>
      </c>
      <c r="K363">
        <v>0.51</v>
      </c>
      <c r="L363">
        <v>2458.42</v>
      </c>
      <c r="M363" t="s">
        <v>867</v>
      </c>
      <c r="N363" t="s">
        <v>66</v>
      </c>
      <c r="O363">
        <v>1.78</v>
      </c>
      <c r="P363">
        <v>1.8</v>
      </c>
      <c r="Q363">
        <v>1.75</v>
      </c>
      <c r="R363">
        <v>1.77</v>
      </c>
      <c r="S363">
        <v>337.69</v>
      </c>
      <c r="T363">
        <v>1.02</v>
      </c>
      <c r="U363" t="s">
        <v>44</v>
      </c>
    </row>
    <row r="364" spans="1:21">
      <c r="A364" t="str">
        <f>"000883"</f>
        <v>000883</v>
      </c>
      <c r="B364" t="s">
        <v>868</v>
      </c>
      <c r="C364">
        <v>0.66</v>
      </c>
      <c r="D364">
        <v>4.55</v>
      </c>
      <c r="E364">
        <v>0.03</v>
      </c>
      <c r="F364">
        <v>4.54</v>
      </c>
      <c r="G364">
        <v>4.55</v>
      </c>
      <c r="H364">
        <v>409338</v>
      </c>
      <c r="I364">
        <v>5703</v>
      </c>
      <c r="J364">
        <v>0.22</v>
      </c>
      <c r="K364">
        <v>0.63</v>
      </c>
      <c r="L364">
        <v>18432.81</v>
      </c>
      <c r="M364" t="s">
        <v>869</v>
      </c>
      <c r="N364" t="s">
        <v>83</v>
      </c>
      <c r="O364">
        <v>4.51</v>
      </c>
      <c r="P364">
        <v>4.56</v>
      </c>
      <c r="Q364">
        <v>4.45</v>
      </c>
      <c r="R364">
        <v>4.52</v>
      </c>
      <c r="S364">
        <v>8.18</v>
      </c>
      <c r="T364">
        <v>1.22</v>
      </c>
      <c r="U364" t="s">
        <v>267</v>
      </c>
    </row>
    <row r="365" spans="1:21">
      <c r="A365" t="str">
        <f>"000885"</f>
        <v>000885</v>
      </c>
      <c r="B365" t="s">
        <v>870</v>
      </c>
      <c r="C365">
        <v>1.18</v>
      </c>
      <c r="D365">
        <v>10.26</v>
      </c>
      <c r="E365">
        <v>0.12</v>
      </c>
      <c r="F365">
        <v>10.24</v>
      </c>
      <c r="G365">
        <v>10.26</v>
      </c>
      <c r="H365">
        <v>46845</v>
      </c>
      <c r="I365">
        <v>344</v>
      </c>
      <c r="J365">
        <v>0.2</v>
      </c>
      <c r="K365">
        <v>0.73</v>
      </c>
      <c r="L365">
        <v>4749.58</v>
      </c>
      <c r="M365" t="s">
        <v>871</v>
      </c>
      <c r="N365" t="s">
        <v>280</v>
      </c>
      <c r="O365">
        <v>10.07</v>
      </c>
      <c r="P365">
        <v>10.3</v>
      </c>
      <c r="Q365">
        <v>10.01</v>
      </c>
      <c r="R365">
        <v>10.14</v>
      </c>
      <c r="S365">
        <v>6.53</v>
      </c>
      <c r="T365">
        <v>1.52</v>
      </c>
      <c r="U365" t="s">
        <v>224</v>
      </c>
    </row>
    <row r="366" spans="1:21">
      <c r="A366" t="str">
        <f>"000886"</f>
        <v>000886</v>
      </c>
      <c r="B366" t="s">
        <v>872</v>
      </c>
      <c r="C366">
        <v>1.03</v>
      </c>
      <c r="D366">
        <v>3.94</v>
      </c>
      <c r="E366">
        <v>0.04</v>
      </c>
      <c r="F366">
        <v>3.93</v>
      </c>
      <c r="G366">
        <v>3.94</v>
      </c>
      <c r="H366">
        <v>23745</v>
      </c>
      <c r="I366">
        <v>836</v>
      </c>
      <c r="J366">
        <v>0.51</v>
      </c>
      <c r="K366">
        <v>0.24</v>
      </c>
      <c r="L366">
        <v>929.4</v>
      </c>
      <c r="M366" t="s">
        <v>754</v>
      </c>
      <c r="N366" t="s">
        <v>280</v>
      </c>
      <c r="O366">
        <v>3.89</v>
      </c>
      <c r="P366">
        <v>3.94</v>
      </c>
      <c r="Q366">
        <v>3.89</v>
      </c>
      <c r="R366">
        <v>3.9</v>
      </c>
      <c r="S366">
        <v>47.19</v>
      </c>
      <c r="T366">
        <v>0.86</v>
      </c>
      <c r="U366" t="s">
        <v>294</v>
      </c>
    </row>
    <row r="367" spans="1:21">
      <c r="A367" t="str">
        <f>"000887"</f>
        <v>000887</v>
      </c>
      <c r="B367" t="s">
        <v>873</v>
      </c>
      <c r="C367">
        <v>5.87</v>
      </c>
      <c r="D367">
        <v>18.04</v>
      </c>
      <c r="E367">
        <v>1</v>
      </c>
      <c r="F367">
        <v>18.03</v>
      </c>
      <c r="G367">
        <v>18.04</v>
      </c>
      <c r="H367">
        <v>364509</v>
      </c>
      <c r="I367">
        <v>3202</v>
      </c>
      <c r="J367">
        <v>-0.05</v>
      </c>
      <c r="K367">
        <v>2.99</v>
      </c>
      <c r="L367">
        <v>64136.44</v>
      </c>
      <c r="M367" t="s">
        <v>874</v>
      </c>
      <c r="N367" t="s">
        <v>91</v>
      </c>
      <c r="O367">
        <v>17.03</v>
      </c>
      <c r="P367">
        <v>18.29</v>
      </c>
      <c r="Q367">
        <v>16.8</v>
      </c>
      <c r="R367">
        <v>17.04</v>
      </c>
      <c r="S367">
        <v>20.19</v>
      </c>
      <c r="T367">
        <v>0.97</v>
      </c>
      <c r="U367" t="s">
        <v>193</v>
      </c>
    </row>
    <row r="368" spans="1:21">
      <c r="A368" t="str">
        <f>"000888"</f>
        <v>000888</v>
      </c>
      <c r="B368" t="s">
        <v>875</v>
      </c>
      <c r="C368">
        <v>0.48</v>
      </c>
      <c r="D368">
        <v>6.28</v>
      </c>
      <c r="E368">
        <v>0.03</v>
      </c>
      <c r="F368">
        <v>6.27</v>
      </c>
      <c r="G368">
        <v>6.28</v>
      </c>
      <c r="H368">
        <v>46081</v>
      </c>
      <c r="I368">
        <v>477</v>
      </c>
      <c r="J368">
        <v>0</v>
      </c>
      <c r="K368">
        <v>0.87</v>
      </c>
      <c r="L368">
        <v>2885.03</v>
      </c>
      <c r="M368" t="s">
        <v>876</v>
      </c>
      <c r="N368" t="s">
        <v>162</v>
      </c>
      <c r="O368">
        <v>6.23</v>
      </c>
      <c r="P368">
        <v>6.29</v>
      </c>
      <c r="Q368">
        <v>6.21</v>
      </c>
      <c r="R368">
        <v>6.25</v>
      </c>
      <c r="S368">
        <v>54.78</v>
      </c>
      <c r="T368">
        <v>0.69</v>
      </c>
      <c r="U368" t="s">
        <v>196</v>
      </c>
    </row>
    <row r="369" spans="1:21">
      <c r="A369" t="str">
        <f>"000889"</f>
        <v>000889</v>
      </c>
      <c r="B369" t="s">
        <v>877</v>
      </c>
      <c r="C369">
        <v>0.3</v>
      </c>
      <c r="D369">
        <v>3.32</v>
      </c>
      <c r="E369">
        <v>0.01</v>
      </c>
      <c r="F369">
        <v>3.31</v>
      </c>
      <c r="G369">
        <v>3.32</v>
      </c>
      <c r="H369">
        <v>113616</v>
      </c>
      <c r="I369">
        <v>1358</v>
      </c>
      <c r="J369">
        <v>0</v>
      </c>
      <c r="K369">
        <v>1.31</v>
      </c>
      <c r="L369">
        <v>3770.89</v>
      </c>
      <c r="M369" t="s">
        <v>878</v>
      </c>
      <c r="N369" t="s">
        <v>153</v>
      </c>
      <c r="O369">
        <v>3.31</v>
      </c>
      <c r="P369">
        <v>3.36</v>
      </c>
      <c r="Q369">
        <v>3.28</v>
      </c>
      <c r="R369">
        <v>3.31</v>
      </c>
      <c r="S369" t="s">
        <v>40</v>
      </c>
      <c r="T369">
        <v>0.82</v>
      </c>
      <c r="U369" t="s">
        <v>207</v>
      </c>
    </row>
    <row r="370" spans="1:21">
      <c r="A370" t="str">
        <f>"000890"</f>
        <v>000890</v>
      </c>
      <c r="B370" t="s">
        <v>879</v>
      </c>
      <c r="C370">
        <v>2.18</v>
      </c>
      <c r="D370">
        <v>4.68</v>
      </c>
      <c r="E370">
        <v>0.1</v>
      </c>
      <c r="F370">
        <v>4.67</v>
      </c>
      <c r="G370">
        <v>4.68</v>
      </c>
      <c r="H370">
        <v>17608</v>
      </c>
      <c r="I370">
        <v>297</v>
      </c>
      <c r="J370">
        <v>0.65</v>
      </c>
      <c r="K370">
        <v>0.46</v>
      </c>
      <c r="L370">
        <v>810.82</v>
      </c>
      <c r="M370" t="s">
        <v>880</v>
      </c>
      <c r="N370" t="s">
        <v>724</v>
      </c>
      <c r="O370">
        <v>4.64</v>
      </c>
      <c r="P370">
        <v>4.68</v>
      </c>
      <c r="Q370">
        <v>4.52</v>
      </c>
      <c r="R370">
        <v>4.58</v>
      </c>
      <c r="S370" t="s">
        <v>40</v>
      </c>
      <c r="T370">
        <v>0.75</v>
      </c>
      <c r="U370" t="s">
        <v>102</v>
      </c>
    </row>
    <row r="371" spans="1:21">
      <c r="A371" t="str">
        <f>"000892"</f>
        <v>000892</v>
      </c>
      <c r="B371" t="s">
        <v>881</v>
      </c>
      <c r="C371">
        <v>-1.18</v>
      </c>
      <c r="D371">
        <v>3.36</v>
      </c>
      <c r="E371">
        <v>-0.04</v>
      </c>
      <c r="F371">
        <v>3.36</v>
      </c>
      <c r="G371">
        <v>3.37</v>
      </c>
      <c r="H371">
        <v>95990</v>
      </c>
      <c r="I371">
        <v>1953</v>
      </c>
      <c r="J371">
        <v>-0.29</v>
      </c>
      <c r="K371">
        <v>1.79</v>
      </c>
      <c r="L371">
        <v>3240.69</v>
      </c>
      <c r="M371" t="s">
        <v>49</v>
      </c>
      <c r="N371" t="s">
        <v>199</v>
      </c>
      <c r="O371">
        <v>3.42</v>
      </c>
      <c r="P371">
        <v>3.43</v>
      </c>
      <c r="Q371">
        <v>3.33</v>
      </c>
      <c r="R371">
        <v>3.4</v>
      </c>
      <c r="S371">
        <v>41.31</v>
      </c>
      <c r="T371">
        <v>0.5</v>
      </c>
      <c r="U371" t="s">
        <v>314</v>
      </c>
    </row>
    <row r="372" spans="1:21">
      <c r="A372" t="str">
        <f>"000893"</f>
        <v>000893</v>
      </c>
      <c r="B372" t="s">
        <v>882</v>
      </c>
      <c r="C372">
        <v>-0.62</v>
      </c>
      <c r="D372">
        <v>17.53</v>
      </c>
      <c r="E372">
        <v>-0.11</v>
      </c>
      <c r="F372">
        <v>17.53</v>
      </c>
      <c r="G372">
        <v>17.54</v>
      </c>
      <c r="H372">
        <v>47914</v>
      </c>
      <c r="I372">
        <v>528</v>
      </c>
      <c r="J372">
        <v>0.06</v>
      </c>
      <c r="K372">
        <v>1.19</v>
      </c>
      <c r="L372">
        <v>8398.73</v>
      </c>
      <c r="M372" t="s">
        <v>883</v>
      </c>
      <c r="N372" t="s">
        <v>241</v>
      </c>
      <c r="O372">
        <v>17.64</v>
      </c>
      <c r="P372">
        <v>17.66</v>
      </c>
      <c r="Q372">
        <v>17.43</v>
      </c>
      <c r="R372">
        <v>17.64</v>
      </c>
      <c r="S372">
        <v>13.89</v>
      </c>
      <c r="T372">
        <v>0.78</v>
      </c>
      <c r="U372" t="s">
        <v>183</v>
      </c>
    </row>
    <row r="373" spans="1:21">
      <c r="A373" t="str">
        <f>"000895"</f>
        <v>000895</v>
      </c>
      <c r="B373" t="s">
        <v>884</v>
      </c>
      <c r="C373">
        <v>0.4</v>
      </c>
      <c r="D373">
        <v>30.2</v>
      </c>
      <c r="E373">
        <v>0.12</v>
      </c>
      <c r="F373">
        <v>30.2</v>
      </c>
      <c r="G373">
        <v>30.21</v>
      </c>
      <c r="H373">
        <v>140669</v>
      </c>
      <c r="I373">
        <v>1314</v>
      </c>
      <c r="J373">
        <v>-0.06</v>
      </c>
      <c r="K373">
        <v>0.94</v>
      </c>
      <c r="L373">
        <v>42254.28</v>
      </c>
      <c r="M373" t="s">
        <v>885</v>
      </c>
      <c r="N373" t="s">
        <v>299</v>
      </c>
      <c r="O373">
        <v>30.06</v>
      </c>
      <c r="P373">
        <v>30.35</v>
      </c>
      <c r="Q373">
        <v>29.71</v>
      </c>
      <c r="R373">
        <v>30.08</v>
      </c>
      <c r="S373">
        <v>22.73</v>
      </c>
      <c r="T373">
        <v>0.69</v>
      </c>
      <c r="U373" t="s">
        <v>224</v>
      </c>
    </row>
    <row r="374" spans="1:21">
      <c r="A374" t="str">
        <f>"000897"</f>
        <v>000897</v>
      </c>
      <c r="B374" t="s">
        <v>886</v>
      </c>
      <c r="C374">
        <v>0.4</v>
      </c>
      <c r="D374">
        <v>2.5</v>
      </c>
      <c r="E374">
        <v>0.01</v>
      </c>
      <c r="F374">
        <v>2.5</v>
      </c>
      <c r="G374">
        <v>2.51</v>
      </c>
      <c r="H374">
        <v>382701</v>
      </c>
      <c r="I374">
        <v>5512</v>
      </c>
      <c r="J374">
        <v>0</v>
      </c>
      <c r="K374">
        <v>2.37</v>
      </c>
      <c r="L374">
        <v>9584.2</v>
      </c>
      <c r="M374" t="s">
        <v>887</v>
      </c>
      <c r="N374" t="s">
        <v>36</v>
      </c>
      <c r="O374">
        <v>2.47</v>
      </c>
      <c r="P374">
        <v>2.55</v>
      </c>
      <c r="Q374">
        <v>2.45</v>
      </c>
      <c r="R374">
        <v>2.49</v>
      </c>
      <c r="S374">
        <v>5.94</v>
      </c>
      <c r="T374">
        <v>0.82</v>
      </c>
      <c r="U374" t="s">
        <v>360</v>
      </c>
    </row>
    <row r="375" spans="1:21">
      <c r="A375" t="str">
        <f>"000898"</f>
        <v>000898</v>
      </c>
      <c r="B375" t="s">
        <v>888</v>
      </c>
      <c r="C375">
        <v>2.22</v>
      </c>
      <c r="D375">
        <v>3.68</v>
      </c>
      <c r="E375">
        <v>0.08</v>
      </c>
      <c r="F375">
        <v>3.67</v>
      </c>
      <c r="G375">
        <v>3.68</v>
      </c>
      <c r="H375">
        <v>826843</v>
      </c>
      <c r="I375">
        <v>14704</v>
      </c>
      <c r="J375">
        <v>-0.26</v>
      </c>
      <c r="K375">
        <v>1.04</v>
      </c>
      <c r="L375">
        <v>29895.6</v>
      </c>
      <c r="M375" t="s">
        <v>889</v>
      </c>
      <c r="N375" t="s">
        <v>551</v>
      </c>
      <c r="O375">
        <v>3.58</v>
      </c>
      <c r="P375">
        <v>3.69</v>
      </c>
      <c r="Q375">
        <v>3.53</v>
      </c>
      <c r="R375">
        <v>3.6</v>
      </c>
      <c r="S375">
        <v>3.47</v>
      </c>
      <c r="T375">
        <v>1.42</v>
      </c>
      <c r="U375" t="s">
        <v>141</v>
      </c>
    </row>
    <row r="376" spans="1:21">
      <c r="A376" t="str">
        <f>"000899"</f>
        <v>000899</v>
      </c>
      <c r="B376" t="s">
        <v>890</v>
      </c>
      <c r="C376">
        <v>0.2</v>
      </c>
      <c r="D376">
        <v>5.07</v>
      </c>
      <c r="E376">
        <v>0.01</v>
      </c>
      <c r="F376">
        <v>5.07</v>
      </c>
      <c r="G376">
        <v>5.08</v>
      </c>
      <c r="H376">
        <v>117666</v>
      </c>
      <c r="I376">
        <v>1266</v>
      </c>
      <c r="J376">
        <v>0</v>
      </c>
      <c r="K376">
        <v>1.21</v>
      </c>
      <c r="L376">
        <v>5911.56</v>
      </c>
      <c r="M376" t="s">
        <v>891</v>
      </c>
      <c r="N376" t="s">
        <v>83</v>
      </c>
      <c r="O376">
        <v>5.06</v>
      </c>
      <c r="P376">
        <v>5.1</v>
      </c>
      <c r="Q376">
        <v>4.94</v>
      </c>
      <c r="R376">
        <v>5.06</v>
      </c>
      <c r="S376" t="s">
        <v>40</v>
      </c>
      <c r="T376">
        <v>1.05</v>
      </c>
      <c r="U376" t="s">
        <v>235</v>
      </c>
    </row>
    <row r="377" spans="1:21">
      <c r="A377" t="str">
        <f>"000900"</f>
        <v>000900</v>
      </c>
      <c r="B377" t="s">
        <v>892</v>
      </c>
      <c r="C377">
        <v>0.25</v>
      </c>
      <c r="D377">
        <v>4.03</v>
      </c>
      <c r="E377">
        <v>0.01</v>
      </c>
      <c r="F377">
        <v>4.03</v>
      </c>
      <c r="G377">
        <v>4.04</v>
      </c>
      <c r="H377">
        <v>29249</v>
      </c>
      <c r="I377">
        <v>2109</v>
      </c>
      <c r="J377">
        <v>0.25</v>
      </c>
      <c r="K377">
        <v>0.19</v>
      </c>
      <c r="L377">
        <v>1173.74</v>
      </c>
      <c r="M377" t="s">
        <v>893</v>
      </c>
      <c r="N377" t="s">
        <v>280</v>
      </c>
      <c r="O377">
        <v>4.02</v>
      </c>
      <c r="P377">
        <v>4.03</v>
      </c>
      <c r="Q377">
        <v>3.99</v>
      </c>
      <c r="R377">
        <v>4.02</v>
      </c>
      <c r="S377">
        <v>7.69</v>
      </c>
      <c r="T377">
        <v>1.21</v>
      </c>
      <c r="U377" t="s">
        <v>204</v>
      </c>
    </row>
    <row r="378" spans="1:21">
      <c r="A378" t="str">
        <f>"000901"</f>
        <v>000901</v>
      </c>
      <c r="B378" t="s">
        <v>894</v>
      </c>
      <c r="C378">
        <v>1.12</v>
      </c>
      <c r="D378">
        <v>9.05</v>
      </c>
      <c r="E378">
        <v>0.1</v>
      </c>
      <c r="F378">
        <v>9.05</v>
      </c>
      <c r="G378">
        <v>9.06</v>
      </c>
      <c r="H378">
        <v>110885</v>
      </c>
      <c r="I378">
        <v>1253</v>
      </c>
      <c r="J378">
        <v>0.11</v>
      </c>
      <c r="K378">
        <v>1.39</v>
      </c>
      <c r="L378">
        <v>9989.24</v>
      </c>
      <c r="M378" t="s">
        <v>895</v>
      </c>
      <c r="N378" t="s">
        <v>91</v>
      </c>
      <c r="O378">
        <v>8.9</v>
      </c>
      <c r="P378">
        <v>9.08</v>
      </c>
      <c r="Q378">
        <v>8.86</v>
      </c>
      <c r="R378">
        <v>8.95</v>
      </c>
      <c r="S378">
        <v>281</v>
      </c>
      <c r="T378">
        <v>1.07</v>
      </c>
      <c r="U378" t="s">
        <v>445</v>
      </c>
    </row>
    <row r="379" spans="1:21">
      <c r="A379" t="str">
        <f>"000902"</f>
        <v>000902</v>
      </c>
      <c r="B379" t="s">
        <v>896</v>
      </c>
      <c r="C379">
        <v>1.66</v>
      </c>
      <c r="D379">
        <v>16.5</v>
      </c>
      <c r="E379">
        <v>0.27</v>
      </c>
      <c r="F379">
        <v>16.5</v>
      </c>
      <c r="G379">
        <v>16.51</v>
      </c>
      <c r="H379">
        <v>125988</v>
      </c>
      <c r="I379">
        <v>1580</v>
      </c>
      <c r="J379">
        <v>0.06</v>
      </c>
      <c r="K379">
        <v>1.06</v>
      </c>
      <c r="L379">
        <v>20501.69</v>
      </c>
      <c r="M379" t="s">
        <v>897</v>
      </c>
      <c r="N379" t="s">
        <v>241</v>
      </c>
      <c r="O379">
        <v>16.24</v>
      </c>
      <c r="P379">
        <v>16.51</v>
      </c>
      <c r="Q379">
        <v>16.01</v>
      </c>
      <c r="R379">
        <v>16.23</v>
      </c>
      <c r="S379">
        <v>15.36</v>
      </c>
      <c r="T379">
        <v>0.92</v>
      </c>
      <c r="U379" t="s">
        <v>267</v>
      </c>
    </row>
    <row r="380" spans="1:21">
      <c r="A380" t="str">
        <f>"000903"</f>
        <v>000903</v>
      </c>
      <c r="B380" t="s">
        <v>898</v>
      </c>
      <c r="C380">
        <v>1.48</v>
      </c>
      <c r="D380">
        <v>3.42</v>
      </c>
      <c r="E380">
        <v>0.05</v>
      </c>
      <c r="F380">
        <v>3.41</v>
      </c>
      <c r="G380">
        <v>3.42</v>
      </c>
      <c r="H380">
        <v>155102</v>
      </c>
      <c r="I380">
        <v>2110</v>
      </c>
      <c r="J380">
        <v>0.29</v>
      </c>
      <c r="K380">
        <v>0.79</v>
      </c>
      <c r="L380">
        <v>5253.82</v>
      </c>
      <c r="M380" t="s">
        <v>899</v>
      </c>
      <c r="N380" t="s">
        <v>91</v>
      </c>
      <c r="O380">
        <v>3.38</v>
      </c>
      <c r="P380">
        <v>3.43</v>
      </c>
      <c r="Q380">
        <v>3.34</v>
      </c>
      <c r="R380">
        <v>3.37</v>
      </c>
      <c r="S380">
        <v>31.6</v>
      </c>
      <c r="T380">
        <v>1.31</v>
      </c>
      <c r="U380" t="s">
        <v>363</v>
      </c>
    </row>
    <row r="381" spans="1:21">
      <c r="A381" t="str">
        <f>"000905"</f>
        <v>000905</v>
      </c>
      <c r="B381" t="s">
        <v>900</v>
      </c>
      <c r="C381">
        <v>8.52</v>
      </c>
      <c r="D381">
        <v>7.39</v>
      </c>
      <c r="E381">
        <v>0.58</v>
      </c>
      <c r="F381">
        <v>7.38</v>
      </c>
      <c r="G381">
        <v>7.39</v>
      </c>
      <c r="H381">
        <v>287784</v>
      </c>
      <c r="I381">
        <v>2325</v>
      </c>
      <c r="J381">
        <v>-0.13</v>
      </c>
      <c r="K381">
        <v>5.42</v>
      </c>
      <c r="L381">
        <v>20904.4</v>
      </c>
      <c r="M381" t="s">
        <v>901</v>
      </c>
      <c r="N381" t="s">
        <v>169</v>
      </c>
      <c r="O381">
        <v>6.82</v>
      </c>
      <c r="P381">
        <v>7.48</v>
      </c>
      <c r="Q381">
        <v>6.82</v>
      </c>
      <c r="R381">
        <v>6.81</v>
      </c>
      <c r="S381">
        <v>18.26</v>
      </c>
      <c r="T381">
        <v>4.61</v>
      </c>
      <c r="U381" t="s">
        <v>339</v>
      </c>
    </row>
    <row r="382" spans="1:21">
      <c r="A382" t="str">
        <f>"000906"</f>
        <v>000906</v>
      </c>
      <c r="B382" t="s">
        <v>902</v>
      </c>
      <c r="C382">
        <v>4.76</v>
      </c>
      <c r="D382">
        <v>11.22</v>
      </c>
      <c r="E382">
        <v>0.51</v>
      </c>
      <c r="F382">
        <v>11.22</v>
      </c>
      <c r="G382">
        <v>11.23</v>
      </c>
      <c r="H382">
        <v>48788</v>
      </c>
      <c r="I382">
        <v>119</v>
      </c>
      <c r="J382">
        <v>0</v>
      </c>
      <c r="K382">
        <v>0.73</v>
      </c>
      <c r="L382">
        <v>5407.27</v>
      </c>
      <c r="M382" t="s">
        <v>903</v>
      </c>
      <c r="N382" t="s">
        <v>150</v>
      </c>
      <c r="O382">
        <v>10.61</v>
      </c>
      <c r="P382">
        <v>11.27</v>
      </c>
      <c r="Q382">
        <v>10.61</v>
      </c>
      <c r="R382">
        <v>10.71</v>
      </c>
      <c r="S382">
        <v>9.3</v>
      </c>
      <c r="T382">
        <v>1.74</v>
      </c>
      <c r="U382" t="s">
        <v>200</v>
      </c>
    </row>
    <row r="383" spans="1:21">
      <c r="A383" t="str">
        <f>"000908"</f>
        <v>000908</v>
      </c>
      <c r="B383" t="s">
        <v>904</v>
      </c>
      <c r="C383">
        <v>0.53</v>
      </c>
      <c r="D383">
        <v>3.76</v>
      </c>
      <c r="E383">
        <v>0.02</v>
      </c>
      <c r="F383">
        <v>3.75</v>
      </c>
      <c r="G383">
        <v>3.76</v>
      </c>
      <c r="H383">
        <v>90910</v>
      </c>
      <c r="I383">
        <v>2444</v>
      </c>
      <c r="J383">
        <v>0</v>
      </c>
      <c r="K383">
        <v>1.2</v>
      </c>
      <c r="L383">
        <v>3367.88</v>
      </c>
      <c r="M383" t="s">
        <v>905</v>
      </c>
      <c r="N383" t="s">
        <v>192</v>
      </c>
      <c r="O383">
        <v>3.72</v>
      </c>
      <c r="P383">
        <v>3.77</v>
      </c>
      <c r="Q383">
        <v>3.66</v>
      </c>
      <c r="R383">
        <v>3.74</v>
      </c>
      <c r="S383">
        <v>169.25</v>
      </c>
      <c r="T383">
        <v>1.08</v>
      </c>
      <c r="U383" t="s">
        <v>204</v>
      </c>
    </row>
    <row r="384" spans="1:21">
      <c r="A384" t="str">
        <f>"000909"</f>
        <v>000909</v>
      </c>
      <c r="B384" t="s">
        <v>906</v>
      </c>
      <c r="C384">
        <v>-0.31</v>
      </c>
      <c r="D384">
        <v>6.5</v>
      </c>
      <c r="E384">
        <v>-0.02</v>
      </c>
      <c r="F384">
        <v>6.5</v>
      </c>
      <c r="G384">
        <v>6.51</v>
      </c>
      <c r="H384">
        <v>12835</v>
      </c>
      <c r="I384">
        <v>49</v>
      </c>
      <c r="J384">
        <v>0</v>
      </c>
      <c r="K384">
        <v>0.33</v>
      </c>
      <c r="L384">
        <v>832.21</v>
      </c>
      <c r="M384" t="s">
        <v>907</v>
      </c>
      <c r="N384" t="s">
        <v>99</v>
      </c>
      <c r="O384">
        <v>6.52</v>
      </c>
      <c r="P384">
        <v>6.54</v>
      </c>
      <c r="Q384">
        <v>6.45</v>
      </c>
      <c r="R384">
        <v>6.52</v>
      </c>
      <c r="S384">
        <v>58.22</v>
      </c>
      <c r="T384">
        <v>1.16</v>
      </c>
      <c r="U384" t="s">
        <v>200</v>
      </c>
    </row>
    <row r="385" spans="1:21">
      <c r="A385" t="str">
        <f>"000910"</f>
        <v>000910</v>
      </c>
      <c r="B385" t="s">
        <v>908</v>
      </c>
      <c r="C385">
        <v>1.75</v>
      </c>
      <c r="D385">
        <v>12.18</v>
      </c>
      <c r="E385">
        <v>0.21</v>
      </c>
      <c r="F385">
        <v>12.18</v>
      </c>
      <c r="G385">
        <v>12.19</v>
      </c>
      <c r="H385">
        <v>23173</v>
      </c>
      <c r="I385">
        <v>221</v>
      </c>
      <c r="J385">
        <v>-0.07</v>
      </c>
      <c r="K385">
        <v>0.42</v>
      </c>
      <c r="L385">
        <v>2808.6</v>
      </c>
      <c r="M385" t="s">
        <v>909</v>
      </c>
      <c r="N385" t="s">
        <v>910</v>
      </c>
      <c r="O385">
        <v>11.97</v>
      </c>
      <c r="P385">
        <v>12.22</v>
      </c>
      <c r="Q385">
        <v>11.95</v>
      </c>
      <c r="R385">
        <v>11.97</v>
      </c>
      <c r="S385">
        <v>10.43</v>
      </c>
      <c r="T385">
        <v>0.83</v>
      </c>
      <c r="U385" t="s">
        <v>102</v>
      </c>
    </row>
    <row r="386" spans="1:21">
      <c r="A386" t="str">
        <f>"000911"</f>
        <v>000911</v>
      </c>
      <c r="B386" t="s">
        <v>911</v>
      </c>
      <c r="C386">
        <v>0.79</v>
      </c>
      <c r="D386">
        <v>12.81</v>
      </c>
      <c r="E386">
        <v>0.1</v>
      </c>
      <c r="F386">
        <v>12.8</v>
      </c>
      <c r="G386">
        <v>12.81</v>
      </c>
      <c r="H386">
        <v>146685</v>
      </c>
      <c r="I386">
        <v>1096</v>
      </c>
      <c r="J386">
        <v>-0.07</v>
      </c>
      <c r="K386">
        <v>4.53</v>
      </c>
      <c r="L386">
        <v>18508.23</v>
      </c>
      <c r="M386" t="s">
        <v>912</v>
      </c>
      <c r="N386" t="s">
        <v>299</v>
      </c>
      <c r="O386">
        <v>12.58</v>
      </c>
      <c r="P386">
        <v>13.05</v>
      </c>
      <c r="Q386">
        <v>12.07</v>
      </c>
      <c r="R386">
        <v>12.71</v>
      </c>
      <c r="S386">
        <v>305.21</v>
      </c>
      <c r="T386">
        <v>1.28</v>
      </c>
      <c r="U386" t="s">
        <v>342</v>
      </c>
    </row>
    <row r="387" spans="1:21">
      <c r="A387" t="str">
        <f>"000912"</f>
        <v>000912</v>
      </c>
      <c r="B387" t="s">
        <v>913</v>
      </c>
      <c r="C387">
        <v>2.2</v>
      </c>
      <c r="D387">
        <v>5.12</v>
      </c>
      <c r="E387">
        <v>0.11</v>
      </c>
      <c r="F387">
        <v>5.11</v>
      </c>
      <c r="G387">
        <v>5.12</v>
      </c>
      <c r="H387">
        <v>509063</v>
      </c>
      <c r="I387">
        <v>7076</v>
      </c>
      <c r="J387">
        <v>-0.18</v>
      </c>
      <c r="K387">
        <v>3.25</v>
      </c>
      <c r="L387">
        <v>25723.37</v>
      </c>
      <c r="M387" t="s">
        <v>914</v>
      </c>
      <c r="N387" t="s">
        <v>241</v>
      </c>
      <c r="O387">
        <v>5.01</v>
      </c>
      <c r="P387">
        <v>5.15</v>
      </c>
      <c r="Q387">
        <v>4.91</v>
      </c>
      <c r="R387">
        <v>5.01</v>
      </c>
      <c r="S387">
        <v>13.27</v>
      </c>
      <c r="T387">
        <v>0.95</v>
      </c>
      <c r="U387" t="s">
        <v>196</v>
      </c>
    </row>
    <row r="388" spans="1:21">
      <c r="A388" t="str">
        <f>"000913"</f>
        <v>000913</v>
      </c>
      <c r="B388" t="s">
        <v>915</v>
      </c>
      <c r="C388">
        <v>5.61</v>
      </c>
      <c r="D388">
        <v>15.99</v>
      </c>
      <c r="E388">
        <v>0.85</v>
      </c>
      <c r="F388">
        <v>15.99</v>
      </c>
      <c r="G388">
        <v>16</v>
      </c>
      <c r="H388">
        <v>120187</v>
      </c>
      <c r="I388">
        <v>1406</v>
      </c>
      <c r="J388">
        <v>0</v>
      </c>
      <c r="K388">
        <v>2.65</v>
      </c>
      <c r="L388">
        <v>18938.68</v>
      </c>
      <c r="M388" t="s">
        <v>916</v>
      </c>
      <c r="N388" t="s">
        <v>917</v>
      </c>
      <c r="O388">
        <v>15.46</v>
      </c>
      <c r="P388">
        <v>16.14</v>
      </c>
      <c r="Q388">
        <v>15.32</v>
      </c>
      <c r="R388">
        <v>15.14</v>
      </c>
      <c r="S388">
        <v>19.78</v>
      </c>
      <c r="T388">
        <v>1.51</v>
      </c>
      <c r="U388" t="s">
        <v>200</v>
      </c>
    </row>
    <row r="389" spans="1:21">
      <c r="A389" t="str">
        <f>"000915"</f>
        <v>000915</v>
      </c>
      <c r="B389" t="s">
        <v>918</v>
      </c>
      <c r="C389">
        <v>-0.67</v>
      </c>
      <c r="D389">
        <v>26.65</v>
      </c>
      <c r="E389">
        <v>-0.18</v>
      </c>
      <c r="F389">
        <v>26.64</v>
      </c>
      <c r="G389">
        <v>26.65</v>
      </c>
      <c r="H389">
        <v>24615</v>
      </c>
      <c r="I389">
        <v>360</v>
      </c>
      <c r="J389">
        <v>-0.1</v>
      </c>
      <c r="K389">
        <v>1.05</v>
      </c>
      <c r="L389">
        <v>6559.52</v>
      </c>
      <c r="M389" t="s">
        <v>919</v>
      </c>
      <c r="N389" t="s">
        <v>192</v>
      </c>
      <c r="O389">
        <v>27.03</v>
      </c>
      <c r="P389">
        <v>27.1</v>
      </c>
      <c r="Q389">
        <v>26.3</v>
      </c>
      <c r="R389">
        <v>26.83</v>
      </c>
      <c r="S389">
        <v>14.7</v>
      </c>
      <c r="T389">
        <v>0.88</v>
      </c>
      <c r="U389" t="s">
        <v>221</v>
      </c>
    </row>
    <row r="390" spans="1:21">
      <c r="A390" t="str">
        <f>"000917"</f>
        <v>000917</v>
      </c>
      <c r="B390" t="s">
        <v>920</v>
      </c>
      <c r="C390">
        <v>-1.59</v>
      </c>
      <c r="D390">
        <v>6.19</v>
      </c>
      <c r="E390">
        <v>-0.1</v>
      </c>
      <c r="F390">
        <v>6.19</v>
      </c>
      <c r="G390">
        <v>6.2</v>
      </c>
      <c r="H390">
        <v>152294</v>
      </c>
      <c r="I390">
        <v>2928</v>
      </c>
      <c r="J390">
        <v>0</v>
      </c>
      <c r="K390">
        <v>1.07</v>
      </c>
      <c r="L390">
        <v>9421.21</v>
      </c>
      <c r="M390" t="s">
        <v>921</v>
      </c>
      <c r="N390" t="s">
        <v>199</v>
      </c>
      <c r="O390">
        <v>6.27</v>
      </c>
      <c r="P390">
        <v>6.31</v>
      </c>
      <c r="Q390">
        <v>6.11</v>
      </c>
      <c r="R390">
        <v>6.29</v>
      </c>
      <c r="S390">
        <v>14.26</v>
      </c>
      <c r="T390">
        <v>0.8</v>
      </c>
      <c r="U390" t="s">
        <v>204</v>
      </c>
    </row>
    <row r="391" spans="1:21">
      <c r="A391" t="str">
        <f>"000918"</f>
        <v>000918</v>
      </c>
      <c r="B391" t="s">
        <v>922</v>
      </c>
      <c r="C391">
        <v>1.27</v>
      </c>
      <c r="D391">
        <v>2.4</v>
      </c>
      <c r="E391">
        <v>0.03</v>
      </c>
      <c r="F391">
        <v>2.39</v>
      </c>
      <c r="G391">
        <v>2.4</v>
      </c>
      <c r="H391">
        <v>315526</v>
      </c>
      <c r="I391">
        <v>7468</v>
      </c>
      <c r="J391">
        <v>0.42</v>
      </c>
      <c r="K391">
        <v>1.75</v>
      </c>
      <c r="L391">
        <v>7400.26</v>
      </c>
      <c r="M391" t="s">
        <v>923</v>
      </c>
      <c r="N391" t="s">
        <v>27</v>
      </c>
      <c r="O391">
        <v>2.36</v>
      </c>
      <c r="P391">
        <v>2.41</v>
      </c>
      <c r="Q391">
        <v>2.28</v>
      </c>
      <c r="R391">
        <v>2.37</v>
      </c>
      <c r="S391" t="s">
        <v>40</v>
      </c>
      <c r="T391">
        <v>0.9</v>
      </c>
      <c r="U391" t="s">
        <v>200</v>
      </c>
    </row>
    <row r="392" spans="1:21">
      <c r="A392" t="str">
        <f>"000919"</f>
        <v>000919</v>
      </c>
      <c r="B392" t="s">
        <v>924</v>
      </c>
      <c r="C392">
        <v>0</v>
      </c>
      <c r="D392">
        <v>6.72</v>
      </c>
      <c r="E392">
        <v>0</v>
      </c>
      <c r="F392">
        <v>6.72</v>
      </c>
      <c r="G392">
        <v>6.73</v>
      </c>
      <c r="H392">
        <v>22525</v>
      </c>
      <c r="I392">
        <v>170</v>
      </c>
      <c r="J392">
        <v>0</v>
      </c>
      <c r="K392">
        <v>0.45</v>
      </c>
      <c r="L392">
        <v>1508.53</v>
      </c>
      <c r="M392" t="s">
        <v>925</v>
      </c>
      <c r="N392" t="s">
        <v>192</v>
      </c>
      <c r="O392">
        <v>6.72</v>
      </c>
      <c r="P392">
        <v>6.75</v>
      </c>
      <c r="Q392">
        <v>6.66</v>
      </c>
      <c r="R392">
        <v>6.72</v>
      </c>
      <c r="S392">
        <v>26.05</v>
      </c>
      <c r="T392">
        <v>0.61</v>
      </c>
      <c r="U392" t="s">
        <v>102</v>
      </c>
    </row>
    <row r="393" spans="1:21">
      <c r="A393" t="str">
        <f>"000920"</f>
        <v>000920</v>
      </c>
      <c r="B393" t="s">
        <v>926</v>
      </c>
      <c r="C393">
        <v>-0.33</v>
      </c>
      <c r="D393">
        <v>9.13</v>
      </c>
      <c r="E393">
        <v>-0.03</v>
      </c>
      <c r="F393">
        <v>9.12</v>
      </c>
      <c r="G393">
        <v>9.13</v>
      </c>
      <c r="H393">
        <v>103732</v>
      </c>
      <c r="I393">
        <v>1631</v>
      </c>
      <c r="J393">
        <v>0.33</v>
      </c>
      <c r="K393">
        <v>2.46</v>
      </c>
      <c r="L393">
        <v>9341.34</v>
      </c>
      <c r="M393" t="s">
        <v>927</v>
      </c>
      <c r="N393" t="s">
        <v>33</v>
      </c>
      <c r="O393">
        <v>9.08</v>
      </c>
      <c r="P393">
        <v>9.13</v>
      </c>
      <c r="Q393">
        <v>8.87</v>
      </c>
      <c r="R393">
        <v>9.16</v>
      </c>
      <c r="S393">
        <v>28.06</v>
      </c>
      <c r="T393">
        <v>0.97</v>
      </c>
      <c r="U393" t="s">
        <v>368</v>
      </c>
    </row>
    <row r="394" spans="1:21">
      <c r="A394" t="str">
        <f>"000921"</f>
        <v>000921</v>
      </c>
      <c r="B394" t="s">
        <v>928</v>
      </c>
      <c r="C394">
        <v>0.42</v>
      </c>
      <c r="D394">
        <v>11.93</v>
      </c>
      <c r="E394">
        <v>0.05</v>
      </c>
      <c r="F394">
        <v>11.92</v>
      </c>
      <c r="G394">
        <v>11.93</v>
      </c>
      <c r="H394">
        <v>16415</v>
      </c>
      <c r="I394">
        <v>198</v>
      </c>
      <c r="J394">
        <v>0</v>
      </c>
      <c r="K394">
        <v>0.18</v>
      </c>
      <c r="L394">
        <v>1953.55</v>
      </c>
      <c r="M394" t="s">
        <v>929</v>
      </c>
      <c r="N394" t="s">
        <v>60</v>
      </c>
      <c r="O394">
        <v>11.78</v>
      </c>
      <c r="P394">
        <v>11.95</v>
      </c>
      <c r="Q394">
        <v>11.78</v>
      </c>
      <c r="R394">
        <v>11.88</v>
      </c>
      <c r="S394">
        <v>13.16</v>
      </c>
      <c r="T394">
        <v>0.49</v>
      </c>
      <c r="U394" t="s">
        <v>183</v>
      </c>
    </row>
    <row r="395" spans="1:21">
      <c r="A395" t="str">
        <f>"000922"</f>
        <v>000922</v>
      </c>
      <c r="B395" t="s">
        <v>930</v>
      </c>
      <c r="C395">
        <v>2.33</v>
      </c>
      <c r="D395">
        <v>12.3</v>
      </c>
      <c r="E395">
        <v>0.28</v>
      </c>
      <c r="F395">
        <v>12.3</v>
      </c>
      <c r="G395">
        <v>12.31</v>
      </c>
      <c r="H395">
        <v>188118</v>
      </c>
      <c r="I395">
        <v>4446</v>
      </c>
      <c r="J395">
        <v>0.99</v>
      </c>
      <c r="K395">
        <v>3.23</v>
      </c>
      <c r="L395">
        <v>22665.32</v>
      </c>
      <c r="M395" t="s">
        <v>931</v>
      </c>
      <c r="N395" t="s">
        <v>47</v>
      </c>
      <c r="O395">
        <v>12.15</v>
      </c>
      <c r="P395">
        <v>12.36</v>
      </c>
      <c r="Q395">
        <v>11.74</v>
      </c>
      <c r="R395">
        <v>12.02</v>
      </c>
      <c r="S395">
        <v>29.81</v>
      </c>
      <c r="T395">
        <v>1</v>
      </c>
      <c r="U395" t="s">
        <v>445</v>
      </c>
    </row>
    <row r="396" spans="1:21">
      <c r="A396" t="str">
        <f>"000923"</f>
        <v>000923</v>
      </c>
      <c r="B396" t="s">
        <v>932</v>
      </c>
      <c r="C396">
        <v>1.9</v>
      </c>
      <c r="D396">
        <v>13.44</v>
      </c>
      <c r="E396">
        <v>0.25</v>
      </c>
      <c r="F396">
        <v>13.44</v>
      </c>
      <c r="G396">
        <v>13.45</v>
      </c>
      <c r="H396">
        <v>92156</v>
      </c>
      <c r="I396">
        <v>897</v>
      </c>
      <c r="J396">
        <v>-0.14</v>
      </c>
      <c r="K396">
        <v>1.47</v>
      </c>
      <c r="L396">
        <v>12256.08</v>
      </c>
      <c r="M396" t="s">
        <v>933</v>
      </c>
      <c r="N396" t="s">
        <v>551</v>
      </c>
      <c r="O396">
        <v>13.16</v>
      </c>
      <c r="P396">
        <v>13.48</v>
      </c>
      <c r="Q396">
        <v>13.08</v>
      </c>
      <c r="R396">
        <v>13.19</v>
      </c>
      <c r="S396">
        <v>4.93</v>
      </c>
      <c r="T396">
        <v>1.16</v>
      </c>
      <c r="U396" t="s">
        <v>207</v>
      </c>
    </row>
    <row r="397" spans="1:21">
      <c r="A397" t="str">
        <f>"000925"</f>
        <v>000925</v>
      </c>
      <c r="B397" t="s">
        <v>934</v>
      </c>
      <c r="C397">
        <v>1.94</v>
      </c>
      <c r="D397">
        <v>8.42</v>
      </c>
      <c r="E397">
        <v>0.16</v>
      </c>
      <c r="F397">
        <v>8.41</v>
      </c>
      <c r="G397">
        <v>8.42</v>
      </c>
      <c r="H397">
        <v>87253</v>
      </c>
      <c r="I397">
        <v>478</v>
      </c>
      <c r="J397">
        <v>0.12</v>
      </c>
      <c r="K397">
        <v>1.66</v>
      </c>
      <c r="L397">
        <v>7289.97</v>
      </c>
      <c r="M397" t="s">
        <v>935</v>
      </c>
      <c r="N397" t="s">
        <v>324</v>
      </c>
      <c r="O397">
        <v>8.28</v>
      </c>
      <c r="P397">
        <v>8.45</v>
      </c>
      <c r="Q397">
        <v>8.19</v>
      </c>
      <c r="R397">
        <v>8.26</v>
      </c>
      <c r="S397">
        <v>32.92</v>
      </c>
      <c r="T397">
        <v>1.03</v>
      </c>
      <c r="U397" t="s">
        <v>200</v>
      </c>
    </row>
    <row r="398" spans="1:21">
      <c r="A398" t="str">
        <f>"000926"</f>
        <v>000926</v>
      </c>
      <c r="B398" t="s">
        <v>936</v>
      </c>
      <c r="C398">
        <v>1.76</v>
      </c>
      <c r="D398">
        <v>4.04</v>
      </c>
      <c r="E398">
        <v>0.07</v>
      </c>
      <c r="F398">
        <v>4.03</v>
      </c>
      <c r="G398">
        <v>4.04</v>
      </c>
      <c r="H398">
        <v>35858</v>
      </c>
      <c r="I398">
        <v>1264</v>
      </c>
      <c r="J398">
        <v>0.25</v>
      </c>
      <c r="K398">
        <v>0.38</v>
      </c>
      <c r="L398">
        <v>1438.01</v>
      </c>
      <c r="M398" t="s">
        <v>937</v>
      </c>
      <c r="N398" t="s">
        <v>36</v>
      </c>
      <c r="O398">
        <v>3.98</v>
      </c>
      <c r="P398">
        <v>4.04</v>
      </c>
      <c r="Q398">
        <v>3.97</v>
      </c>
      <c r="R398">
        <v>3.97</v>
      </c>
      <c r="S398">
        <v>25.14</v>
      </c>
      <c r="T398">
        <v>0.93</v>
      </c>
      <c r="U398" t="s">
        <v>267</v>
      </c>
    </row>
    <row r="399" spans="1:21">
      <c r="A399" t="str">
        <f>"000927"</f>
        <v>000927</v>
      </c>
      <c r="B399" t="s">
        <v>938</v>
      </c>
      <c r="C399">
        <v>3.76</v>
      </c>
      <c r="D399">
        <v>3.59</v>
      </c>
      <c r="E399">
        <v>0.13</v>
      </c>
      <c r="F399">
        <v>3.59</v>
      </c>
      <c r="G399">
        <v>3.6</v>
      </c>
      <c r="H399">
        <v>258850</v>
      </c>
      <c r="I399">
        <v>1000</v>
      </c>
      <c r="J399">
        <v>-0.27</v>
      </c>
      <c r="K399">
        <v>1.32</v>
      </c>
      <c r="L399">
        <v>9249.72</v>
      </c>
      <c r="M399" t="s">
        <v>939</v>
      </c>
      <c r="N399" t="s">
        <v>150</v>
      </c>
      <c r="O399">
        <v>3.43</v>
      </c>
      <c r="P399">
        <v>3.66</v>
      </c>
      <c r="Q399">
        <v>3.43</v>
      </c>
      <c r="R399">
        <v>3.46</v>
      </c>
      <c r="S399">
        <v>21.43</v>
      </c>
      <c r="T399">
        <v>2.14</v>
      </c>
      <c r="U399" t="s">
        <v>360</v>
      </c>
    </row>
    <row r="400" spans="1:21">
      <c r="A400" t="str">
        <f>"000928"</f>
        <v>000928</v>
      </c>
      <c r="B400" t="s">
        <v>940</v>
      </c>
      <c r="C400">
        <v>4.89</v>
      </c>
      <c r="D400">
        <v>7.94</v>
      </c>
      <c r="E400">
        <v>0.37</v>
      </c>
      <c r="F400">
        <v>7.93</v>
      </c>
      <c r="G400">
        <v>7.94</v>
      </c>
      <c r="H400">
        <v>563715</v>
      </c>
      <c r="I400">
        <v>3421</v>
      </c>
      <c r="J400">
        <v>0.13</v>
      </c>
      <c r="K400">
        <v>4.4</v>
      </c>
      <c r="L400">
        <v>44717.57</v>
      </c>
      <c r="M400" t="s">
        <v>941</v>
      </c>
      <c r="N400" t="s">
        <v>50</v>
      </c>
      <c r="O400">
        <v>7.69</v>
      </c>
      <c r="P400">
        <v>8.17</v>
      </c>
      <c r="Q400">
        <v>7.63</v>
      </c>
      <c r="R400">
        <v>7.57</v>
      </c>
      <c r="S400">
        <v>14.77</v>
      </c>
      <c r="T400">
        <v>1.73</v>
      </c>
      <c r="U400" t="s">
        <v>92</v>
      </c>
    </row>
    <row r="401" spans="1:21">
      <c r="A401" t="str">
        <f>"000929"</f>
        <v>000929</v>
      </c>
      <c r="B401" t="s">
        <v>942</v>
      </c>
      <c r="C401">
        <v>1.07</v>
      </c>
      <c r="D401">
        <v>8.49</v>
      </c>
      <c r="E401">
        <v>0.09</v>
      </c>
      <c r="F401">
        <v>8.49</v>
      </c>
      <c r="G401">
        <v>8.5</v>
      </c>
      <c r="H401">
        <v>32228</v>
      </c>
      <c r="I401">
        <v>281</v>
      </c>
      <c r="J401">
        <v>-0.11</v>
      </c>
      <c r="K401">
        <v>1.73</v>
      </c>
      <c r="L401">
        <v>2731.02</v>
      </c>
      <c r="M401" t="s">
        <v>943</v>
      </c>
      <c r="N401" t="s">
        <v>671</v>
      </c>
      <c r="O401">
        <v>8.39</v>
      </c>
      <c r="P401">
        <v>8.51</v>
      </c>
      <c r="Q401">
        <v>8.36</v>
      </c>
      <c r="R401">
        <v>8.4</v>
      </c>
      <c r="S401">
        <v>29.9</v>
      </c>
      <c r="T401">
        <v>0.64</v>
      </c>
      <c r="U401" t="s">
        <v>391</v>
      </c>
    </row>
    <row r="402" spans="1:21">
      <c r="A402" t="str">
        <f>"000930"</f>
        <v>000930</v>
      </c>
      <c r="B402" t="s">
        <v>944</v>
      </c>
      <c r="C402">
        <v>-4.03</v>
      </c>
      <c r="D402">
        <v>11.66</v>
      </c>
      <c r="E402">
        <v>-0.49</v>
      </c>
      <c r="F402">
        <v>11.66</v>
      </c>
      <c r="G402">
        <v>11.67</v>
      </c>
      <c r="H402">
        <v>920191</v>
      </c>
      <c r="I402">
        <v>17869</v>
      </c>
      <c r="J402">
        <v>-0.16</v>
      </c>
      <c r="K402">
        <v>9.54</v>
      </c>
      <c r="L402">
        <v>108343.18</v>
      </c>
      <c r="M402" t="s">
        <v>945</v>
      </c>
      <c r="N402" t="s">
        <v>147</v>
      </c>
      <c r="O402">
        <v>11.97</v>
      </c>
      <c r="P402">
        <v>12.12</v>
      </c>
      <c r="Q402">
        <v>11.6</v>
      </c>
      <c r="R402">
        <v>12.15</v>
      </c>
      <c r="S402">
        <v>17.34</v>
      </c>
      <c r="T402">
        <v>0.93</v>
      </c>
      <c r="U402" t="s">
        <v>193</v>
      </c>
    </row>
    <row r="403" spans="1:21">
      <c r="A403" t="str">
        <f>"000931"</f>
        <v>000931</v>
      </c>
      <c r="B403" t="s">
        <v>946</v>
      </c>
      <c r="C403">
        <v>0.88</v>
      </c>
      <c r="D403">
        <v>6.88</v>
      </c>
      <c r="E403">
        <v>0.06</v>
      </c>
      <c r="F403">
        <v>6.88</v>
      </c>
      <c r="G403">
        <v>6.89</v>
      </c>
      <c r="H403">
        <v>105568</v>
      </c>
      <c r="I403">
        <v>2508</v>
      </c>
      <c r="J403">
        <v>0.29</v>
      </c>
      <c r="K403">
        <v>1.41</v>
      </c>
      <c r="L403">
        <v>7224.73</v>
      </c>
      <c r="M403" t="s">
        <v>947</v>
      </c>
      <c r="N403" t="s">
        <v>231</v>
      </c>
      <c r="O403">
        <v>6.83</v>
      </c>
      <c r="P403">
        <v>6.89</v>
      </c>
      <c r="Q403">
        <v>6.78</v>
      </c>
      <c r="R403">
        <v>6.82</v>
      </c>
      <c r="S403" t="s">
        <v>40</v>
      </c>
      <c r="T403">
        <v>0.38</v>
      </c>
      <c r="U403" t="s">
        <v>44</v>
      </c>
    </row>
    <row r="404" spans="1:21">
      <c r="A404" t="str">
        <f>"000932"</f>
        <v>000932</v>
      </c>
      <c r="B404" t="s">
        <v>948</v>
      </c>
      <c r="C404">
        <v>1.85</v>
      </c>
      <c r="D404">
        <v>4.95</v>
      </c>
      <c r="E404">
        <v>0.09</v>
      </c>
      <c r="F404">
        <v>4.94</v>
      </c>
      <c r="G404">
        <v>4.95</v>
      </c>
      <c r="H404">
        <v>1178883</v>
      </c>
      <c r="I404">
        <v>18842</v>
      </c>
      <c r="J404">
        <v>0</v>
      </c>
      <c r="K404">
        <v>2.06</v>
      </c>
      <c r="L404">
        <v>57524.84</v>
      </c>
      <c r="M404" t="s">
        <v>949</v>
      </c>
      <c r="N404" t="s">
        <v>551</v>
      </c>
      <c r="O404">
        <v>4.86</v>
      </c>
      <c r="P404">
        <v>4.96</v>
      </c>
      <c r="Q404">
        <v>4.78</v>
      </c>
      <c r="R404">
        <v>4.86</v>
      </c>
      <c r="S404">
        <v>3.3</v>
      </c>
      <c r="T404">
        <v>1.1</v>
      </c>
      <c r="U404" t="s">
        <v>204</v>
      </c>
    </row>
    <row r="405" spans="1:21">
      <c r="A405" t="str">
        <f>"000933"</f>
        <v>000933</v>
      </c>
      <c r="B405" t="s">
        <v>950</v>
      </c>
      <c r="C405">
        <v>4.54</v>
      </c>
      <c r="D405">
        <v>8.75</v>
      </c>
      <c r="E405">
        <v>0.38</v>
      </c>
      <c r="F405">
        <v>8.75</v>
      </c>
      <c r="G405">
        <v>8.76</v>
      </c>
      <c r="H405">
        <v>1655577</v>
      </c>
      <c r="I405">
        <v>19336</v>
      </c>
      <c r="J405">
        <v>-0.1</v>
      </c>
      <c r="K405">
        <v>7.42</v>
      </c>
      <c r="L405">
        <v>141700.44</v>
      </c>
      <c r="M405" t="s">
        <v>951</v>
      </c>
      <c r="N405" t="s">
        <v>494</v>
      </c>
      <c r="O405">
        <v>8.37</v>
      </c>
      <c r="P405">
        <v>8.76</v>
      </c>
      <c r="Q405">
        <v>8.19</v>
      </c>
      <c r="R405">
        <v>8.37</v>
      </c>
      <c r="S405">
        <v>6.42</v>
      </c>
      <c r="T405">
        <v>1.67</v>
      </c>
      <c r="U405" t="s">
        <v>224</v>
      </c>
    </row>
    <row r="406" spans="1:21">
      <c r="A406" t="str">
        <f>"000935"</f>
        <v>000935</v>
      </c>
      <c r="B406" t="s">
        <v>952</v>
      </c>
      <c r="C406">
        <v>1.11</v>
      </c>
      <c r="D406">
        <v>21.04</v>
      </c>
      <c r="E406">
        <v>0.23</v>
      </c>
      <c r="F406">
        <v>21.04</v>
      </c>
      <c r="G406">
        <v>21.05</v>
      </c>
      <c r="H406">
        <v>61600</v>
      </c>
      <c r="I406">
        <v>878</v>
      </c>
      <c r="J406">
        <v>0.05</v>
      </c>
      <c r="K406">
        <v>0.81</v>
      </c>
      <c r="L406">
        <v>12933.45</v>
      </c>
      <c r="M406" t="s">
        <v>953</v>
      </c>
      <c r="N406" t="s">
        <v>75</v>
      </c>
      <c r="O406">
        <v>21</v>
      </c>
      <c r="P406">
        <v>21.17</v>
      </c>
      <c r="Q406">
        <v>20.76</v>
      </c>
      <c r="R406">
        <v>20.81</v>
      </c>
      <c r="S406">
        <v>18.54</v>
      </c>
      <c r="T406">
        <v>0.62</v>
      </c>
      <c r="U406" t="s">
        <v>196</v>
      </c>
    </row>
    <row r="407" spans="1:21">
      <c r="A407" t="str">
        <f>"000936"</f>
        <v>000936</v>
      </c>
      <c r="B407" t="s">
        <v>954</v>
      </c>
      <c r="C407">
        <v>0.5</v>
      </c>
      <c r="D407">
        <v>6.01</v>
      </c>
      <c r="E407">
        <v>0.03</v>
      </c>
      <c r="F407">
        <v>6.01</v>
      </c>
      <c r="G407">
        <v>6.02</v>
      </c>
      <c r="H407">
        <v>38656</v>
      </c>
      <c r="I407">
        <v>302</v>
      </c>
      <c r="J407">
        <v>0</v>
      </c>
      <c r="K407">
        <v>0.44</v>
      </c>
      <c r="L407">
        <v>2313.23</v>
      </c>
      <c r="M407" t="s">
        <v>955</v>
      </c>
      <c r="N407" t="s">
        <v>216</v>
      </c>
      <c r="O407">
        <v>6.02</v>
      </c>
      <c r="P407">
        <v>6.02</v>
      </c>
      <c r="Q407">
        <v>5.95</v>
      </c>
      <c r="R407">
        <v>5.98</v>
      </c>
      <c r="S407">
        <v>12.81</v>
      </c>
      <c r="T407">
        <v>0.81</v>
      </c>
      <c r="U407" t="s">
        <v>102</v>
      </c>
    </row>
    <row r="408" spans="1:21">
      <c r="A408" t="str">
        <f>"000937"</f>
        <v>000937</v>
      </c>
      <c r="B408" t="s">
        <v>956</v>
      </c>
      <c r="C408">
        <v>2.27</v>
      </c>
      <c r="D408">
        <v>5.85</v>
      </c>
      <c r="E408">
        <v>0.13</v>
      </c>
      <c r="F408">
        <v>5.85</v>
      </c>
      <c r="G408">
        <v>5.86</v>
      </c>
      <c r="H408">
        <v>631353</v>
      </c>
      <c r="I408">
        <v>15075</v>
      </c>
      <c r="J408">
        <v>0.17</v>
      </c>
      <c r="K408">
        <v>2.17</v>
      </c>
      <c r="L408">
        <v>36390.87</v>
      </c>
      <c r="M408" t="s">
        <v>957</v>
      </c>
      <c r="N408" t="s">
        <v>390</v>
      </c>
      <c r="O408">
        <v>5.72</v>
      </c>
      <c r="P408">
        <v>5.86</v>
      </c>
      <c r="Q408">
        <v>5.61</v>
      </c>
      <c r="R408">
        <v>5.72</v>
      </c>
      <c r="S408">
        <v>11.34</v>
      </c>
      <c r="T408">
        <v>0.92</v>
      </c>
      <c r="U408" t="s">
        <v>207</v>
      </c>
    </row>
    <row r="409" spans="1:21">
      <c r="A409" t="str">
        <f>"000938"</f>
        <v>000938</v>
      </c>
      <c r="B409" t="s">
        <v>958</v>
      </c>
      <c r="C409">
        <v>-0.85</v>
      </c>
      <c r="D409">
        <v>26.96</v>
      </c>
      <c r="E409">
        <v>-0.23</v>
      </c>
      <c r="F409">
        <v>26.95</v>
      </c>
      <c r="G409">
        <v>26.96</v>
      </c>
      <c r="H409">
        <v>406499</v>
      </c>
      <c r="I409">
        <v>4920</v>
      </c>
      <c r="J409">
        <v>0</v>
      </c>
      <c r="K409">
        <v>1.42</v>
      </c>
      <c r="L409">
        <v>108232.54</v>
      </c>
      <c r="M409" t="s">
        <v>959</v>
      </c>
      <c r="N409" t="s">
        <v>30</v>
      </c>
      <c r="O409">
        <v>27.1</v>
      </c>
      <c r="P409">
        <v>27.13</v>
      </c>
      <c r="Q409">
        <v>26.26</v>
      </c>
      <c r="R409">
        <v>27.19</v>
      </c>
      <c r="S409">
        <v>36.11</v>
      </c>
      <c r="T409">
        <v>1.11</v>
      </c>
      <c r="U409" t="s">
        <v>44</v>
      </c>
    </row>
    <row r="410" spans="1:21">
      <c r="A410" t="str">
        <f>"000948"</f>
        <v>000948</v>
      </c>
      <c r="B410" t="s">
        <v>960</v>
      </c>
      <c r="C410">
        <v>2.52</v>
      </c>
      <c r="D410">
        <v>15.05</v>
      </c>
      <c r="E410">
        <v>0.37</v>
      </c>
      <c r="F410">
        <v>15.04</v>
      </c>
      <c r="G410">
        <v>15.05</v>
      </c>
      <c r="H410">
        <v>135931</v>
      </c>
      <c r="I410">
        <v>2736</v>
      </c>
      <c r="J410">
        <v>0.4</v>
      </c>
      <c r="K410">
        <v>4.06</v>
      </c>
      <c r="L410">
        <v>20353.31</v>
      </c>
      <c r="M410" t="s">
        <v>961</v>
      </c>
      <c r="N410" t="s">
        <v>30</v>
      </c>
      <c r="O410">
        <v>14.61</v>
      </c>
      <c r="P410">
        <v>15.15</v>
      </c>
      <c r="Q410">
        <v>14.51</v>
      </c>
      <c r="R410">
        <v>14.68</v>
      </c>
      <c r="S410">
        <v>129.16</v>
      </c>
      <c r="T410">
        <v>0.85</v>
      </c>
      <c r="U410" t="s">
        <v>363</v>
      </c>
    </row>
    <row r="411" spans="1:21">
      <c r="A411" t="str">
        <f>"000949"</f>
        <v>000949</v>
      </c>
      <c r="B411" t="s">
        <v>962</v>
      </c>
      <c r="C411">
        <v>1.88</v>
      </c>
      <c r="D411">
        <v>5.96</v>
      </c>
      <c r="E411">
        <v>0.11</v>
      </c>
      <c r="F411">
        <v>5.95</v>
      </c>
      <c r="G411">
        <v>5.96</v>
      </c>
      <c r="H411">
        <v>320703</v>
      </c>
      <c r="I411">
        <v>3370</v>
      </c>
      <c r="J411">
        <v>0</v>
      </c>
      <c r="K411">
        <v>2.55</v>
      </c>
      <c r="L411">
        <v>18989.78</v>
      </c>
      <c r="M411" t="s">
        <v>963</v>
      </c>
      <c r="N411" t="s">
        <v>216</v>
      </c>
      <c r="O411">
        <v>5.84</v>
      </c>
      <c r="P411">
        <v>6.02</v>
      </c>
      <c r="Q411">
        <v>5.76</v>
      </c>
      <c r="R411">
        <v>5.85</v>
      </c>
      <c r="S411">
        <v>5.08</v>
      </c>
      <c r="T411">
        <v>1.47</v>
      </c>
      <c r="U411" t="s">
        <v>224</v>
      </c>
    </row>
    <row r="412" spans="1:21">
      <c r="A412" t="str">
        <f>"000950"</f>
        <v>000950</v>
      </c>
      <c r="B412" t="s">
        <v>964</v>
      </c>
      <c r="C412">
        <v>0.43</v>
      </c>
      <c r="D412">
        <v>4.72</v>
      </c>
      <c r="E412">
        <v>0.02</v>
      </c>
      <c r="F412">
        <v>4.71</v>
      </c>
      <c r="G412">
        <v>4.72</v>
      </c>
      <c r="H412">
        <v>52031</v>
      </c>
      <c r="I412">
        <v>2678</v>
      </c>
      <c r="J412">
        <v>-0.2</v>
      </c>
      <c r="K412">
        <v>0.3</v>
      </c>
      <c r="L412">
        <v>2448.12</v>
      </c>
      <c r="M412" t="s">
        <v>965</v>
      </c>
      <c r="N412" t="s">
        <v>86</v>
      </c>
      <c r="O412">
        <v>4.7</v>
      </c>
      <c r="P412">
        <v>4.73</v>
      </c>
      <c r="Q412">
        <v>4.68</v>
      </c>
      <c r="R412">
        <v>4.7</v>
      </c>
      <c r="S412">
        <v>9.06</v>
      </c>
      <c r="T412">
        <v>1.08</v>
      </c>
      <c r="U412" t="s">
        <v>314</v>
      </c>
    </row>
    <row r="413" spans="1:21">
      <c r="A413" t="str">
        <f>"000951"</f>
        <v>000951</v>
      </c>
      <c r="B413" t="s">
        <v>966</v>
      </c>
      <c r="C413">
        <v>3.75</v>
      </c>
      <c r="D413">
        <v>13.82</v>
      </c>
      <c r="E413">
        <v>0.5</v>
      </c>
      <c r="F413">
        <v>13.81</v>
      </c>
      <c r="G413">
        <v>13.82</v>
      </c>
      <c r="H413">
        <v>138590</v>
      </c>
      <c r="I413">
        <v>1178</v>
      </c>
      <c r="J413">
        <v>0.07</v>
      </c>
      <c r="K413">
        <v>1.18</v>
      </c>
      <c r="L413">
        <v>18869.2</v>
      </c>
      <c r="M413" t="s">
        <v>967</v>
      </c>
      <c r="N413" t="s">
        <v>385</v>
      </c>
      <c r="O413">
        <v>13.38</v>
      </c>
      <c r="P413">
        <v>13.85</v>
      </c>
      <c r="Q413">
        <v>13.27</v>
      </c>
      <c r="R413">
        <v>13.32</v>
      </c>
      <c r="S413">
        <v>10.58</v>
      </c>
      <c r="T413">
        <v>1.17</v>
      </c>
      <c r="U413" t="s">
        <v>221</v>
      </c>
    </row>
    <row r="414" spans="1:21">
      <c r="A414" t="str">
        <f>"000952"</f>
        <v>000952</v>
      </c>
      <c r="B414" t="s">
        <v>968</v>
      </c>
      <c r="C414">
        <v>0.42</v>
      </c>
      <c r="D414">
        <v>7.17</v>
      </c>
      <c r="E414">
        <v>0.03</v>
      </c>
      <c r="F414">
        <v>7.16</v>
      </c>
      <c r="G414">
        <v>7.17</v>
      </c>
      <c r="H414">
        <v>16353</v>
      </c>
      <c r="I414">
        <v>11</v>
      </c>
      <c r="J414">
        <v>0.14</v>
      </c>
      <c r="K414">
        <v>0.53</v>
      </c>
      <c r="L414">
        <v>1166.94</v>
      </c>
      <c r="M414" t="s">
        <v>969</v>
      </c>
      <c r="N414" t="s">
        <v>192</v>
      </c>
      <c r="O414">
        <v>7.13</v>
      </c>
      <c r="P414">
        <v>7.19</v>
      </c>
      <c r="Q414">
        <v>7.07</v>
      </c>
      <c r="R414">
        <v>7.14</v>
      </c>
      <c r="S414">
        <v>25.15</v>
      </c>
      <c r="T414">
        <v>0.52</v>
      </c>
      <c r="U414" t="s">
        <v>267</v>
      </c>
    </row>
    <row r="415" spans="1:21">
      <c r="A415" t="str">
        <f>"000953"</f>
        <v>000953</v>
      </c>
      <c r="B415" t="s">
        <v>970</v>
      </c>
      <c r="C415">
        <v>1.55</v>
      </c>
      <c r="D415">
        <v>4.58</v>
      </c>
      <c r="E415">
        <v>0.07</v>
      </c>
      <c r="F415">
        <v>4.58</v>
      </c>
      <c r="G415">
        <v>4.59</v>
      </c>
      <c r="H415">
        <v>9732</v>
      </c>
      <c r="I415">
        <v>104</v>
      </c>
      <c r="J415">
        <v>-0.21</v>
      </c>
      <c r="K415">
        <v>0.3</v>
      </c>
      <c r="L415">
        <v>442.91</v>
      </c>
      <c r="M415" t="s">
        <v>971</v>
      </c>
      <c r="N415" t="s">
        <v>192</v>
      </c>
      <c r="O415">
        <v>4.59</v>
      </c>
      <c r="P415">
        <v>4.61</v>
      </c>
      <c r="Q415">
        <v>4.48</v>
      </c>
      <c r="R415">
        <v>4.51</v>
      </c>
      <c r="S415">
        <v>383.37</v>
      </c>
      <c r="T415">
        <v>1.07</v>
      </c>
      <c r="U415" t="s">
        <v>342</v>
      </c>
    </row>
    <row r="416" spans="1:21">
      <c r="A416" t="str">
        <f>"000955"</f>
        <v>000955</v>
      </c>
      <c r="B416" t="s">
        <v>972</v>
      </c>
      <c r="C416">
        <v>1.15</v>
      </c>
      <c r="D416">
        <v>4.38</v>
      </c>
      <c r="E416">
        <v>0.05</v>
      </c>
      <c r="F416">
        <v>4.38</v>
      </c>
      <c r="G416">
        <v>4.39</v>
      </c>
      <c r="H416">
        <v>31326</v>
      </c>
      <c r="I416">
        <v>73</v>
      </c>
      <c r="J416">
        <v>0</v>
      </c>
      <c r="K416">
        <v>0.58</v>
      </c>
      <c r="L416">
        <v>1365.37</v>
      </c>
      <c r="M416" t="s">
        <v>973</v>
      </c>
      <c r="N416" t="s">
        <v>664</v>
      </c>
      <c r="O416">
        <v>4.34</v>
      </c>
      <c r="P416">
        <v>4.39</v>
      </c>
      <c r="Q416">
        <v>4.32</v>
      </c>
      <c r="R416">
        <v>4.33</v>
      </c>
      <c r="S416">
        <v>268.34</v>
      </c>
      <c r="T416">
        <v>0.85</v>
      </c>
      <c r="U416" t="s">
        <v>294</v>
      </c>
    </row>
    <row r="417" spans="1:21">
      <c r="A417" t="str">
        <f>"000957"</f>
        <v>000957</v>
      </c>
      <c r="B417" t="s">
        <v>974</v>
      </c>
      <c r="C417">
        <v>1.14</v>
      </c>
      <c r="D417">
        <v>5.32</v>
      </c>
      <c r="E417">
        <v>0.06</v>
      </c>
      <c r="F417">
        <v>5.31</v>
      </c>
      <c r="G417">
        <v>5.32</v>
      </c>
      <c r="H417">
        <v>58852</v>
      </c>
      <c r="I417">
        <v>1009</v>
      </c>
      <c r="J417">
        <v>-0.18</v>
      </c>
      <c r="K417">
        <v>0.99</v>
      </c>
      <c r="L417">
        <v>3099.89</v>
      </c>
      <c r="M417" t="s">
        <v>975</v>
      </c>
      <c r="N417" t="s">
        <v>385</v>
      </c>
      <c r="O417">
        <v>5.29</v>
      </c>
      <c r="P417">
        <v>5.35</v>
      </c>
      <c r="Q417">
        <v>5.13</v>
      </c>
      <c r="R417">
        <v>5.26</v>
      </c>
      <c r="S417" t="s">
        <v>40</v>
      </c>
      <c r="T417">
        <v>1.24</v>
      </c>
      <c r="U417" t="s">
        <v>221</v>
      </c>
    </row>
    <row r="418" spans="1:21">
      <c r="A418" t="str">
        <f>"000958"</f>
        <v>000958</v>
      </c>
      <c r="B418" t="s">
        <v>976</v>
      </c>
      <c r="C418">
        <v>1.09</v>
      </c>
      <c r="D418">
        <v>4.64</v>
      </c>
      <c r="E418">
        <v>0.05</v>
      </c>
      <c r="F418">
        <v>4.63</v>
      </c>
      <c r="G418">
        <v>4.64</v>
      </c>
      <c r="H418">
        <v>176949</v>
      </c>
      <c r="I418">
        <v>2091</v>
      </c>
      <c r="J418">
        <v>0</v>
      </c>
      <c r="K418">
        <v>1.61</v>
      </c>
      <c r="L418">
        <v>8113.31</v>
      </c>
      <c r="M418" t="s">
        <v>977</v>
      </c>
      <c r="N418" t="s">
        <v>121</v>
      </c>
      <c r="O418">
        <v>4.57</v>
      </c>
      <c r="P418">
        <v>4.65</v>
      </c>
      <c r="Q418">
        <v>4.51</v>
      </c>
      <c r="R418">
        <v>4.59</v>
      </c>
      <c r="S418">
        <v>19.78</v>
      </c>
      <c r="T418">
        <v>1.11</v>
      </c>
      <c r="U418" t="s">
        <v>207</v>
      </c>
    </row>
    <row r="419" spans="1:21">
      <c r="A419" t="str">
        <f>"000959"</f>
        <v>000959</v>
      </c>
      <c r="B419" t="s">
        <v>978</v>
      </c>
      <c r="C419">
        <v>2.01</v>
      </c>
      <c r="D419">
        <v>5.59</v>
      </c>
      <c r="E419">
        <v>0.11</v>
      </c>
      <c r="F419">
        <v>5.58</v>
      </c>
      <c r="G419">
        <v>5.59</v>
      </c>
      <c r="H419">
        <v>332176</v>
      </c>
      <c r="I419">
        <v>3528</v>
      </c>
      <c r="J419">
        <v>0</v>
      </c>
      <c r="K419">
        <v>0.66</v>
      </c>
      <c r="L419">
        <v>18371.51</v>
      </c>
      <c r="M419" t="s">
        <v>979</v>
      </c>
      <c r="N419" t="s">
        <v>551</v>
      </c>
      <c r="O419">
        <v>5.45</v>
      </c>
      <c r="P419">
        <v>5.61</v>
      </c>
      <c r="Q419">
        <v>5.43</v>
      </c>
      <c r="R419">
        <v>5.48</v>
      </c>
      <c r="S419">
        <v>4.81</v>
      </c>
      <c r="T419">
        <v>0.8</v>
      </c>
      <c r="U419" t="s">
        <v>44</v>
      </c>
    </row>
    <row r="420" spans="1:21">
      <c r="A420" t="str">
        <f>"000960"</f>
        <v>000960</v>
      </c>
      <c r="B420" t="s">
        <v>980</v>
      </c>
      <c r="C420">
        <v>3.27</v>
      </c>
      <c r="D420">
        <v>17.35</v>
      </c>
      <c r="E420">
        <v>0.55</v>
      </c>
      <c r="F420">
        <v>17.33</v>
      </c>
      <c r="G420">
        <v>17.35</v>
      </c>
      <c r="H420">
        <v>400838</v>
      </c>
      <c r="I420">
        <v>5021</v>
      </c>
      <c r="J420">
        <v>0.06</v>
      </c>
      <c r="K420">
        <v>2.4</v>
      </c>
      <c r="L420">
        <v>69328.31</v>
      </c>
      <c r="M420" t="s">
        <v>981</v>
      </c>
      <c r="N420" t="s">
        <v>523</v>
      </c>
      <c r="O420">
        <v>17.16</v>
      </c>
      <c r="P420">
        <v>17.51</v>
      </c>
      <c r="Q420">
        <v>17.1</v>
      </c>
      <c r="R420">
        <v>16.8</v>
      </c>
      <c r="S420">
        <v>12.09</v>
      </c>
      <c r="T420">
        <v>1.23</v>
      </c>
      <c r="U420" t="s">
        <v>363</v>
      </c>
    </row>
    <row r="421" spans="1:21">
      <c r="A421" t="str">
        <f>"000961"</f>
        <v>000961</v>
      </c>
      <c r="B421" t="s">
        <v>982</v>
      </c>
      <c r="C421">
        <v>2.87</v>
      </c>
      <c r="D421">
        <v>3.94</v>
      </c>
      <c r="E421">
        <v>0.11</v>
      </c>
      <c r="F421">
        <v>3.94</v>
      </c>
      <c r="G421">
        <v>3.95</v>
      </c>
      <c r="H421">
        <v>646725</v>
      </c>
      <c r="I421">
        <v>5081</v>
      </c>
      <c r="J421">
        <v>0</v>
      </c>
      <c r="K421">
        <v>1.7</v>
      </c>
      <c r="L421">
        <v>25013.33</v>
      </c>
      <c r="M421" t="s">
        <v>983</v>
      </c>
      <c r="N421" t="s">
        <v>50</v>
      </c>
      <c r="O421">
        <v>3.81</v>
      </c>
      <c r="P421">
        <v>4</v>
      </c>
      <c r="Q421">
        <v>3.76</v>
      </c>
      <c r="R421">
        <v>3.83</v>
      </c>
      <c r="S421">
        <v>4.09</v>
      </c>
      <c r="T421">
        <v>1.1</v>
      </c>
      <c r="U421" t="s">
        <v>102</v>
      </c>
    </row>
    <row r="422" spans="1:21">
      <c r="A422" t="str">
        <f>"000962"</f>
        <v>000962</v>
      </c>
      <c r="B422" t="s">
        <v>984</v>
      </c>
      <c r="C422">
        <v>5.68</v>
      </c>
      <c r="D422">
        <v>11.34</v>
      </c>
      <c r="E422">
        <v>0.61</v>
      </c>
      <c r="F422">
        <v>11.34</v>
      </c>
      <c r="G422">
        <v>11.35</v>
      </c>
      <c r="H422">
        <v>196413</v>
      </c>
      <c r="I422">
        <v>2344</v>
      </c>
      <c r="J422">
        <v>0.18</v>
      </c>
      <c r="K422">
        <v>4.46</v>
      </c>
      <c r="L422">
        <v>21709.75</v>
      </c>
      <c r="M422" t="s">
        <v>985</v>
      </c>
      <c r="N422" t="s">
        <v>523</v>
      </c>
      <c r="O422">
        <v>10.73</v>
      </c>
      <c r="P422">
        <v>11.38</v>
      </c>
      <c r="Q422">
        <v>10.6</v>
      </c>
      <c r="R422">
        <v>10.73</v>
      </c>
      <c r="S422">
        <v>40.32</v>
      </c>
      <c r="T422">
        <v>1.82</v>
      </c>
      <c r="U422" t="s">
        <v>401</v>
      </c>
    </row>
    <row r="423" spans="1:21">
      <c r="A423" t="str">
        <f>"000963"</f>
        <v>000963</v>
      </c>
      <c r="B423" t="s">
        <v>986</v>
      </c>
      <c r="C423">
        <v>0.38</v>
      </c>
      <c r="D423">
        <v>36.95</v>
      </c>
      <c r="E423">
        <v>0.14</v>
      </c>
      <c r="F423">
        <v>36.95</v>
      </c>
      <c r="G423">
        <v>36.96</v>
      </c>
      <c r="H423">
        <v>198081</v>
      </c>
      <c r="I423">
        <v>2038</v>
      </c>
      <c r="J423">
        <v>0.14</v>
      </c>
      <c r="K423">
        <v>1.13</v>
      </c>
      <c r="L423">
        <v>73390.25</v>
      </c>
      <c r="M423" t="s">
        <v>987</v>
      </c>
      <c r="N423" t="s">
        <v>192</v>
      </c>
      <c r="O423">
        <v>37.13</v>
      </c>
      <c r="P423">
        <v>37.59</v>
      </c>
      <c r="Q423">
        <v>36.6</v>
      </c>
      <c r="R423">
        <v>36.81</v>
      </c>
      <c r="S423">
        <v>25.58</v>
      </c>
      <c r="T423">
        <v>0.78</v>
      </c>
      <c r="U423" t="s">
        <v>200</v>
      </c>
    </row>
    <row r="424" spans="1:21">
      <c r="A424" t="str">
        <f>"000965"</f>
        <v>000965</v>
      </c>
      <c r="B424" t="s">
        <v>988</v>
      </c>
      <c r="C424">
        <v>1.69</v>
      </c>
      <c r="D424">
        <v>2.41</v>
      </c>
      <c r="E424">
        <v>0.04</v>
      </c>
      <c r="F424">
        <v>2.4</v>
      </c>
      <c r="G424">
        <v>2.41</v>
      </c>
      <c r="H424">
        <v>33644</v>
      </c>
      <c r="I424">
        <v>680</v>
      </c>
      <c r="J424">
        <v>0.42</v>
      </c>
      <c r="K424">
        <v>0.3</v>
      </c>
      <c r="L424">
        <v>802.39</v>
      </c>
      <c r="M424" t="s">
        <v>989</v>
      </c>
      <c r="N424" t="s">
        <v>36</v>
      </c>
      <c r="O424">
        <v>2.36</v>
      </c>
      <c r="P424">
        <v>2.41</v>
      </c>
      <c r="Q424">
        <v>2.35</v>
      </c>
      <c r="R424">
        <v>2.37</v>
      </c>
      <c r="S424" t="s">
        <v>40</v>
      </c>
      <c r="T424">
        <v>1.09</v>
      </c>
      <c r="U424" t="s">
        <v>360</v>
      </c>
    </row>
    <row r="425" spans="1:21">
      <c r="A425" t="str">
        <f>"000966"</f>
        <v>000966</v>
      </c>
      <c r="B425" t="s">
        <v>990</v>
      </c>
      <c r="C425">
        <v>0.68</v>
      </c>
      <c r="D425">
        <v>7.37</v>
      </c>
      <c r="E425">
        <v>0.05</v>
      </c>
      <c r="F425">
        <v>7.36</v>
      </c>
      <c r="G425">
        <v>7.37</v>
      </c>
      <c r="H425">
        <v>189142</v>
      </c>
      <c r="I425">
        <v>2652</v>
      </c>
      <c r="J425">
        <v>0.27</v>
      </c>
      <c r="K425">
        <v>1.71</v>
      </c>
      <c r="L425">
        <v>13753.24</v>
      </c>
      <c r="M425" t="s">
        <v>991</v>
      </c>
      <c r="N425" t="s">
        <v>83</v>
      </c>
      <c r="O425">
        <v>7.32</v>
      </c>
      <c r="P425">
        <v>7.37</v>
      </c>
      <c r="Q425">
        <v>7.16</v>
      </c>
      <c r="R425">
        <v>7.32</v>
      </c>
      <c r="S425">
        <v>50.19</v>
      </c>
      <c r="T425">
        <v>1.04</v>
      </c>
      <c r="U425" t="s">
        <v>267</v>
      </c>
    </row>
    <row r="426" spans="1:21">
      <c r="A426" t="str">
        <f>"000967"</f>
        <v>000967</v>
      </c>
      <c r="B426" t="s">
        <v>992</v>
      </c>
      <c r="C426">
        <v>-0.96</v>
      </c>
      <c r="D426">
        <v>7.19</v>
      </c>
      <c r="E426">
        <v>-0.07</v>
      </c>
      <c r="F426">
        <v>7.18</v>
      </c>
      <c r="G426">
        <v>7.19</v>
      </c>
      <c r="H426">
        <v>276983</v>
      </c>
      <c r="I426">
        <v>1394</v>
      </c>
      <c r="J426">
        <v>0</v>
      </c>
      <c r="K426">
        <v>1.37</v>
      </c>
      <c r="L426">
        <v>19822</v>
      </c>
      <c r="M426" t="s">
        <v>993</v>
      </c>
      <c r="N426" t="s">
        <v>33</v>
      </c>
      <c r="O426">
        <v>7.2</v>
      </c>
      <c r="P426">
        <v>7.3</v>
      </c>
      <c r="Q426">
        <v>7.06</v>
      </c>
      <c r="R426">
        <v>7.26</v>
      </c>
      <c r="S426">
        <v>30.42</v>
      </c>
      <c r="T426">
        <v>0.61</v>
      </c>
      <c r="U426" t="s">
        <v>200</v>
      </c>
    </row>
    <row r="427" spans="1:21">
      <c r="A427" t="str">
        <f>"000968"</f>
        <v>000968</v>
      </c>
      <c r="B427" t="s">
        <v>994</v>
      </c>
      <c r="C427">
        <v>0.94</v>
      </c>
      <c r="D427">
        <v>9.66</v>
      </c>
      <c r="E427">
        <v>0.09</v>
      </c>
      <c r="F427">
        <v>9.66</v>
      </c>
      <c r="G427">
        <v>9.67</v>
      </c>
      <c r="H427">
        <v>291400</v>
      </c>
      <c r="I427">
        <v>3028</v>
      </c>
      <c r="J427">
        <v>0</v>
      </c>
      <c r="K427">
        <v>3.01</v>
      </c>
      <c r="L427">
        <v>27842.74</v>
      </c>
      <c r="M427" t="s">
        <v>995</v>
      </c>
      <c r="N427" t="s">
        <v>996</v>
      </c>
      <c r="O427">
        <v>9.41</v>
      </c>
      <c r="P427">
        <v>9.88</v>
      </c>
      <c r="Q427">
        <v>9.19</v>
      </c>
      <c r="R427">
        <v>9.57</v>
      </c>
      <c r="S427">
        <v>30.44</v>
      </c>
      <c r="T427">
        <v>0.69</v>
      </c>
      <c r="U427" t="s">
        <v>232</v>
      </c>
    </row>
    <row r="428" spans="1:21">
      <c r="A428" t="str">
        <f>"000969"</f>
        <v>000969</v>
      </c>
      <c r="B428" t="s">
        <v>997</v>
      </c>
      <c r="C428">
        <v>2.27</v>
      </c>
      <c r="D428">
        <v>9.45</v>
      </c>
      <c r="E428">
        <v>0.21</v>
      </c>
      <c r="F428">
        <v>9.45</v>
      </c>
      <c r="G428">
        <v>9.46</v>
      </c>
      <c r="H428">
        <v>281743</v>
      </c>
      <c r="I428">
        <v>1947</v>
      </c>
      <c r="J428">
        <v>0</v>
      </c>
      <c r="K428">
        <v>2.82</v>
      </c>
      <c r="L428">
        <v>26488.54</v>
      </c>
      <c r="M428" t="s">
        <v>998</v>
      </c>
      <c r="N428" t="s">
        <v>523</v>
      </c>
      <c r="O428">
        <v>9.29</v>
      </c>
      <c r="P428">
        <v>9.55</v>
      </c>
      <c r="Q428">
        <v>9.18</v>
      </c>
      <c r="R428">
        <v>9.24</v>
      </c>
      <c r="S428">
        <v>46.47</v>
      </c>
      <c r="T428">
        <v>1.15</v>
      </c>
      <c r="U428" t="s">
        <v>44</v>
      </c>
    </row>
    <row r="429" spans="1:21">
      <c r="A429" t="str">
        <f>"000970"</f>
        <v>000970</v>
      </c>
      <c r="B429" t="s">
        <v>999</v>
      </c>
      <c r="C429">
        <v>-0.46</v>
      </c>
      <c r="D429">
        <v>12.96</v>
      </c>
      <c r="E429">
        <v>-0.06</v>
      </c>
      <c r="F429">
        <v>12.95</v>
      </c>
      <c r="G429">
        <v>12.96</v>
      </c>
      <c r="H429">
        <v>308958</v>
      </c>
      <c r="I429">
        <v>2998</v>
      </c>
      <c r="J429">
        <v>-0.07</v>
      </c>
      <c r="K429">
        <v>2.9</v>
      </c>
      <c r="L429">
        <v>40127.35</v>
      </c>
      <c r="M429" t="s">
        <v>1000</v>
      </c>
      <c r="N429" t="s">
        <v>69</v>
      </c>
      <c r="O429">
        <v>12.9</v>
      </c>
      <c r="P429">
        <v>13.2</v>
      </c>
      <c r="Q429">
        <v>12.86</v>
      </c>
      <c r="R429">
        <v>13.02</v>
      </c>
      <c r="S429">
        <v>50.39</v>
      </c>
      <c r="T429">
        <v>0.61</v>
      </c>
      <c r="U429" t="s">
        <v>44</v>
      </c>
    </row>
    <row r="430" spans="1:21">
      <c r="A430" t="str">
        <f>"000971"</f>
        <v>000971</v>
      </c>
      <c r="B430" t="s">
        <v>1001</v>
      </c>
      <c r="C430">
        <v>3.04</v>
      </c>
      <c r="D430">
        <v>2.37</v>
      </c>
      <c r="E430">
        <v>0.07</v>
      </c>
      <c r="F430">
        <v>2.37</v>
      </c>
      <c r="G430">
        <v>2.38</v>
      </c>
      <c r="H430">
        <v>132369</v>
      </c>
      <c r="I430">
        <v>1100</v>
      </c>
      <c r="J430">
        <v>0</v>
      </c>
      <c r="K430">
        <v>1.58</v>
      </c>
      <c r="L430">
        <v>3125.31</v>
      </c>
      <c r="M430" t="s">
        <v>1002</v>
      </c>
      <c r="N430" t="s">
        <v>479</v>
      </c>
      <c r="O430">
        <v>2.31</v>
      </c>
      <c r="P430">
        <v>2.41</v>
      </c>
      <c r="Q430">
        <v>2.3</v>
      </c>
      <c r="R430">
        <v>2.3</v>
      </c>
      <c r="S430">
        <v>156.74</v>
      </c>
      <c r="T430">
        <v>2.21</v>
      </c>
      <c r="U430" t="s">
        <v>267</v>
      </c>
    </row>
    <row r="431" spans="1:21">
      <c r="A431" t="str">
        <f>"000972"</f>
        <v>000972</v>
      </c>
      <c r="B431" t="s">
        <v>1003</v>
      </c>
      <c r="C431">
        <v>0.38</v>
      </c>
      <c r="D431">
        <v>2.64</v>
      </c>
      <c r="E431">
        <v>0.01</v>
      </c>
      <c r="F431">
        <v>2.64</v>
      </c>
      <c r="G431">
        <v>2.65</v>
      </c>
      <c r="H431">
        <v>81150</v>
      </c>
      <c r="I431">
        <v>1899</v>
      </c>
      <c r="J431">
        <v>0.38</v>
      </c>
      <c r="K431">
        <v>1.05</v>
      </c>
      <c r="L431">
        <v>2110.6</v>
      </c>
      <c r="M431" t="s">
        <v>1004</v>
      </c>
      <c r="N431" t="s">
        <v>299</v>
      </c>
      <c r="O431">
        <v>2.59</v>
      </c>
      <c r="P431">
        <v>2.65</v>
      </c>
      <c r="Q431">
        <v>2.55</v>
      </c>
      <c r="R431">
        <v>2.63</v>
      </c>
      <c r="S431" t="s">
        <v>40</v>
      </c>
      <c r="T431">
        <v>0.53</v>
      </c>
      <c r="U431" t="s">
        <v>210</v>
      </c>
    </row>
    <row r="432" spans="1:21">
      <c r="A432" t="str">
        <f>"000973"</f>
        <v>000973</v>
      </c>
      <c r="B432" t="s">
        <v>1005</v>
      </c>
      <c r="C432">
        <v>1.04</v>
      </c>
      <c r="D432">
        <v>4.86</v>
      </c>
      <c r="E432">
        <v>0.05</v>
      </c>
      <c r="F432">
        <v>4.85</v>
      </c>
      <c r="G432">
        <v>4.86</v>
      </c>
      <c r="H432">
        <v>198845</v>
      </c>
      <c r="I432">
        <v>1422</v>
      </c>
      <c r="J432">
        <v>0</v>
      </c>
      <c r="K432">
        <v>2.06</v>
      </c>
      <c r="L432">
        <v>9605.82</v>
      </c>
      <c r="M432" t="s">
        <v>1006</v>
      </c>
      <c r="N432" t="s">
        <v>839</v>
      </c>
      <c r="O432">
        <v>4.81</v>
      </c>
      <c r="P432">
        <v>4.87</v>
      </c>
      <c r="Q432">
        <v>4.77</v>
      </c>
      <c r="R432">
        <v>4.81</v>
      </c>
      <c r="S432">
        <v>34.33</v>
      </c>
      <c r="T432">
        <v>1.21</v>
      </c>
      <c r="U432" t="s">
        <v>183</v>
      </c>
    </row>
    <row r="433" spans="1:21">
      <c r="A433" t="str">
        <f>"000975"</f>
        <v>000975</v>
      </c>
      <c r="B433" t="s">
        <v>1007</v>
      </c>
      <c r="C433">
        <v>0.42</v>
      </c>
      <c r="D433">
        <v>9.55</v>
      </c>
      <c r="E433">
        <v>0.04</v>
      </c>
      <c r="F433">
        <v>9.54</v>
      </c>
      <c r="G433">
        <v>9.55</v>
      </c>
      <c r="H433">
        <v>205290</v>
      </c>
      <c r="I433">
        <v>1493</v>
      </c>
      <c r="J433">
        <v>0</v>
      </c>
      <c r="K433">
        <v>0.84</v>
      </c>
      <c r="L433">
        <v>19508.36</v>
      </c>
      <c r="M433" t="s">
        <v>1008</v>
      </c>
      <c r="N433" t="s">
        <v>302</v>
      </c>
      <c r="O433">
        <v>9.41</v>
      </c>
      <c r="P433">
        <v>9.59</v>
      </c>
      <c r="Q433">
        <v>9.38</v>
      </c>
      <c r="R433">
        <v>9.51</v>
      </c>
      <c r="S433">
        <v>19.16</v>
      </c>
      <c r="T433">
        <v>0.82</v>
      </c>
      <c r="U433" t="s">
        <v>275</v>
      </c>
    </row>
    <row r="434" spans="1:21">
      <c r="A434" t="str">
        <f>"000976"</f>
        <v>000976</v>
      </c>
      <c r="B434" t="s">
        <v>1009</v>
      </c>
      <c r="C434">
        <v>0.88</v>
      </c>
      <c r="D434">
        <v>4.61</v>
      </c>
      <c r="E434">
        <v>0.04</v>
      </c>
      <c r="F434">
        <v>4.61</v>
      </c>
      <c r="G434">
        <v>4.62</v>
      </c>
      <c r="H434">
        <v>126810</v>
      </c>
      <c r="I434">
        <v>739</v>
      </c>
      <c r="J434">
        <v>0</v>
      </c>
      <c r="K434">
        <v>0.8</v>
      </c>
      <c r="L434">
        <v>5799.83</v>
      </c>
      <c r="M434" t="s">
        <v>1010</v>
      </c>
      <c r="N434" t="s">
        <v>43</v>
      </c>
      <c r="O434">
        <v>4.59</v>
      </c>
      <c r="P434">
        <v>4.62</v>
      </c>
      <c r="Q434">
        <v>4.51</v>
      </c>
      <c r="R434">
        <v>4.57</v>
      </c>
      <c r="S434">
        <v>15.11</v>
      </c>
      <c r="T434">
        <v>1.01</v>
      </c>
      <c r="U434" t="s">
        <v>183</v>
      </c>
    </row>
    <row r="435" spans="1:21">
      <c r="A435" t="str">
        <f>"000977"</f>
        <v>000977</v>
      </c>
      <c r="B435" t="s">
        <v>1011</v>
      </c>
      <c r="C435">
        <v>1.07</v>
      </c>
      <c r="D435">
        <v>32.11</v>
      </c>
      <c r="E435">
        <v>0.34</v>
      </c>
      <c r="F435">
        <v>32.1</v>
      </c>
      <c r="G435">
        <v>32.11</v>
      </c>
      <c r="H435">
        <v>263605</v>
      </c>
      <c r="I435">
        <v>4148</v>
      </c>
      <c r="J435">
        <v>-0.02</v>
      </c>
      <c r="K435">
        <v>1.81</v>
      </c>
      <c r="L435">
        <v>84073.56</v>
      </c>
      <c r="M435" t="s">
        <v>1012</v>
      </c>
      <c r="N435" t="s">
        <v>72</v>
      </c>
      <c r="O435">
        <v>31.72</v>
      </c>
      <c r="P435">
        <v>32.15</v>
      </c>
      <c r="Q435">
        <v>31.54</v>
      </c>
      <c r="R435">
        <v>31.77</v>
      </c>
      <c r="S435">
        <v>25.92</v>
      </c>
      <c r="T435">
        <v>0.63</v>
      </c>
      <c r="U435" t="s">
        <v>221</v>
      </c>
    </row>
    <row r="436" spans="1:21">
      <c r="A436" t="str">
        <f>"000978"</f>
        <v>000978</v>
      </c>
      <c r="B436" t="s">
        <v>1013</v>
      </c>
      <c r="C436">
        <v>0</v>
      </c>
      <c r="D436">
        <v>5.36</v>
      </c>
      <c r="E436">
        <v>0</v>
      </c>
      <c r="F436">
        <v>5.36</v>
      </c>
      <c r="G436">
        <v>5.37</v>
      </c>
      <c r="H436">
        <v>69474</v>
      </c>
      <c r="I436">
        <v>825</v>
      </c>
      <c r="J436">
        <v>0.19</v>
      </c>
      <c r="K436">
        <v>1.93</v>
      </c>
      <c r="L436">
        <v>3712.31</v>
      </c>
      <c r="M436" t="s">
        <v>449</v>
      </c>
      <c r="N436" t="s">
        <v>162</v>
      </c>
      <c r="O436">
        <v>5.4</v>
      </c>
      <c r="P436">
        <v>5.42</v>
      </c>
      <c r="Q436">
        <v>5.28</v>
      </c>
      <c r="R436">
        <v>5.36</v>
      </c>
      <c r="S436" t="s">
        <v>40</v>
      </c>
      <c r="T436">
        <v>0.77</v>
      </c>
      <c r="U436" t="s">
        <v>342</v>
      </c>
    </row>
    <row r="437" spans="1:21">
      <c r="A437" t="str">
        <f>"000980"</f>
        <v>000980</v>
      </c>
      <c r="B437" t="s">
        <v>1014</v>
      </c>
      <c r="C437">
        <v>4.97</v>
      </c>
      <c r="D437">
        <v>8.45</v>
      </c>
      <c r="E437">
        <v>0.4</v>
      </c>
      <c r="F437">
        <v>8.45</v>
      </c>
      <c r="G437" t="s">
        <v>40</v>
      </c>
      <c r="H437">
        <v>329950</v>
      </c>
      <c r="I437">
        <v>371</v>
      </c>
      <c r="J437">
        <v>0</v>
      </c>
      <c r="K437">
        <v>2.65</v>
      </c>
      <c r="L437">
        <v>27351.78</v>
      </c>
      <c r="M437" t="s">
        <v>1015</v>
      </c>
      <c r="N437" t="s">
        <v>91</v>
      </c>
      <c r="O437">
        <v>8.06</v>
      </c>
      <c r="P437">
        <v>8.45</v>
      </c>
      <c r="Q437">
        <v>8.06</v>
      </c>
      <c r="R437">
        <v>8.05</v>
      </c>
      <c r="S437" t="s">
        <v>40</v>
      </c>
      <c r="T437">
        <v>0.8</v>
      </c>
      <c r="U437" t="s">
        <v>200</v>
      </c>
    </row>
    <row r="438" spans="1:21">
      <c r="A438" t="str">
        <f>"000981"</f>
        <v>000981</v>
      </c>
      <c r="B438" t="s">
        <v>1016</v>
      </c>
      <c r="C438">
        <v>5.08</v>
      </c>
      <c r="D438">
        <v>3.31</v>
      </c>
      <c r="E438">
        <v>0.16</v>
      </c>
      <c r="F438">
        <v>3.31</v>
      </c>
      <c r="G438" t="s">
        <v>40</v>
      </c>
      <c r="H438">
        <v>283802</v>
      </c>
      <c r="I438">
        <v>427</v>
      </c>
      <c r="J438">
        <v>0</v>
      </c>
      <c r="K438">
        <v>1.1</v>
      </c>
      <c r="L438">
        <v>9174.43</v>
      </c>
      <c r="M438" t="s">
        <v>1017</v>
      </c>
      <c r="N438" t="s">
        <v>91</v>
      </c>
      <c r="O438">
        <v>3.16</v>
      </c>
      <c r="P438">
        <v>3.31</v>
      </c>
      <c r="Q438">
        <v>3.13</v>
      </c>
      <c r="R438">
        <v>3.15</v>
      </c>
      <c r="S438" t="s">
        <v>40</v>
      </c>
      <c r="T438">
        <v>0.73</v>
      </c>
      <c r="U438" t="s">
        <v>391</v>
      </c>
    </row>
    <row r="439" spans="1:21">
      <c r="A439" t="str">
        <f>"000982"</f>
        <v>000982</v>
      </c>
      <c r="B439" t="s">
        <v>1018</v>
      </c>
      <c r="C439">
        <v>4.96</v>
      </c>
      <c r="D439">
        <v>3.6</v>
      </c>
      <c r="E439">
        <v>0.17</v>
      </c>
      <c r="F439">
        <v>3.59</v>
      </c>
      <c r="G439">
        <v>3.6</v>
      </c>
      <c r="H439">
        <v>4389083</v>
      </c>
      <c r="I439">
        <v>70344</v>
      </c>
      <c r="J439">
        <v>-0.82</v>
      </c>
      <c r="K439">
        <v>10.4</v>
      </c>
      <c r="L439">
        <v>157085.71</v>
      </c>
      <c r="M439" t="s">
        <v>1019</v>
      </c>
      <c r="N439" t="s">
        <v>664</v>
      </c>
      <c r="O439">
        <v>3.37</v>
      </c>
      <c r="P439">
        <v>3.76</v>
      </c>
      <c r="Q439">
        <v>3.37</v>
      </c>
      <c r="R439">
        <v>3.43</v>
      </c>
      <c r="S439">
        <v>298.11</v>
      </c>
      <c r="T439">
        <v>1.41</v>
      </c>
      <c r="U439" t="s">
        <v>401</v>
      </c>
    </row>
    <row r="440" spans="1:21">
      <c r="A440" t="str">
        <f>"000983"</f>
        <v>000983</v>
      </c>
      <c r="B440" t="s">
        <v>1020</v>
      </c>
      <c r="C440">
        <v>2.2</v>
      </c>
      <c r="D440">
        <v>8.35</v>
      </c>
      <c r="E440">
        <v>0.18</v>
      </c>
      <c r="F440">
        <v>8.35</v>
      </c>
      <c r="G440">
        <v>8.36</v>
      </c>
      <c r="H440">
        <v>1086829</v>
      </c>
      <c r="I440">
        <v>21268</v>
      </c>
      <c r="J440">
        <v>0</v>
      </c>
      <c r="K440">
        <v>2.65</v>
      </c>
      <c r="L440">
        <v>89391.54</v>
      </c>
      <c r="M440" t="s">
        <v>1021</v>
      </c>
      <c r="N440" t="s">
        <v>390</v>
      </c>
      <c r="O440">
        <v>8.11</v>
      </c>
      <c r="P440">
        <v>8.37</v>
      </c>
      <c r="Q440">
        <v>8</v>
      </c>
      <c r="R440">
        <v>8.17</v>
      </c>
      <c r="S440">
        <v>8.08</v>
      </c>
      <c r="T440">
        <v>1.23</v>
      </c>
      <c r="U440" t="s">
        <v>232</v>
      </c>
    </row>
    <row r="441" spans="1:21">
      <c r="A441" t="str">
        <f>"000985"</f>
        <v>000985</v>
      </c>
      <c r="B441" t="s">
        <v>1022</v>
      </c>
      <c r="C441">
        <v>1.59</v>
      </c>
      <c r="D441">
        <v>12.17</v>
      </c>
      <c r="E441">
        <v>0.19</v>
      </c>
      <c r="F441">
        <v>12.17</v>
      </c>
      <c r="G441">
        <v>12.18</v>
      </c>
      <c r="H441">
        <v>8830</v>
      </c>
      <c r="I441">
        <v>81</v>
      </c>
      <c r="J441">
        <v>0.08</v>
      </c>
      <c r="K441">
        <v>0.68</v>
      </c>
      <c r="L441">
        <v>1067.77</v>
      </c>
      <c r="M441" t="s">
        <v>1023</v>
      </c>
      <c r="N441" t="s">
        <v>309</v>
      </c>
      <c r="O441">
        <v>11.98</v>
      </c>
      <c r="P441">
        <v>12.26</v>
      </c>
      <c r="Q441">
        <v>11.92</v>
      </c>
      <c r="R441">
        <v>11.98</v>
      </c>
      <c r="S441">
        <v>90.69</v>
      </c>
      <c r="T441">
        <v>1.11</v>
      </c>
      <c r="U441" t="s">
        <v>445</v>
      </c>
    </row>
    <row r="442" spans="1:21">
      <c r="A442" t="str">
        <f>"000987"</f>
        <v>000987</v>
      </c>
      <c r="B442" t="s">
        <v>1024</v>
      </c>
      <c r="C442">
        <v>1.86</v>
      </c>
      <c r="D442">
        <v>8.76</v>
      </c>
      <c r="E442">
        <v>0.16</v>
      </c>
      <c r="F442">
        <v>8.75</v>
      </c>
      <c r="G442">
        <v>8.76</v>
      </c>
      <c r="H442">
        <v>149133</v>
      </c>
      <c r="I442">
        <v>1976</v>
      </c>
      <c r="J442">
        <v>0.11</v>
      </c>
      <c r="K442">
        <v>0.4</v>
      </c>
      <c r="L442">
        <v>12950.74</v>
      </c>
      <c r="M442" t="s">
        <v>1025</v>
      </c>
      <c r="N442" t="s">
        <v>121</v>
      </c>
      <c r="O442">
        <v>8.61</v>
      </c>
      <c r="P442">
        <v>8.79</v>
      </c>
      <c r="Q442">
        <v>8.57</v>
      </c>
      <c r="R442">
        <v>8.6</v>
      </c>
      <c r="S442">
        <v>12.16</v>
      </c>
      <c r="T442">
        <v>0.73</v>
      </c>
      <c r="U442" t="s">
        <v>183</v>
      </c>
    </row>
    <row r="443" spans="1:21">
      <c r="A443" t="str">
        <f>"000988"</f>
        <v>000988</v>
      </c>
      <c r="B443" t="s">
        <v>1026</v>
      </c>
      <c r="C443">
        <v>0.78</v>
      </c>
      <c r="D443">
        <v>28.59</v>
      </c>
      <c r="E443">
        <v>0.22</v>
      </c>
      <c r="F443">
        <v>28.59</v>
      </c>
      <c r="G443">
        <v>28.6</v>
      </c>
      <c r="H443">
        <v>140074</v>
      </c>
      <c r="I443">
        <v>1295</v>
      </c>
      <c r="J443">
        <v>-0.02</v>
      </c>
      <c r="K443">
        <v>1.39</v>
      </c>
      <c r="L443">
        <v>39960.62</v>
      </c>
      <c r="M443" t="s">
        <v>1027</v>
      </c>
      <c r="N443" t="s">
        <v>1028</v>
      </c>
      <c r="O443">
        <v>28.5</v>
      </c>
      <c r="P443">
        <v>28.81</v>
      </c>
      <c r="Q443">
        <v>28.16</v>
      </c>
      <c r="R443">
        <v>28.37</v>
      </c>
      <c r="S443">
        <v>26.89</v>
      </c>
      <c r="T443">
        <v>0.51</v>
      </c>
      <c r="U443" t="s">
        <v>267</v>
      </c>
    </row>
    <row r="444" spans="1:21">
      <c r="A444" t="str">
        <f>"000989"</f>
        <v>000989</v>
      </c>
      <c r="B444" t="s">
        <v>1029</v>
      </c>
      <c r="C444">
        <v>0.94</v>
      </c>
      <c r="D444">
        <v>8.59</v>
      </c>
      <c r="E444">
        <v>0.08</v>
      </c>
      <c r="F444">
        <v>8.58</v>
      </c>
      <c r="G444">
        <v>8.59</v>
      </c>
      <c r="H444">
        <v>29426</v>
      </c>
      <c r="I444">
        <v>753</v>
      </c>
      <c r="J444">
        <v>0</v>
      </c>
      <c r="K444">
        <v>0.48</v>
      </c>
      <c r="L444">
        <v>2514.85</v>
      </c>
      <c r="M444" t="s">
        <v>1030</v>
      </c>
      <c r="N444" t="s">
        <v>270</v>
      </c>
      <c r="O444">
        <v>8.51</v>
      </c>
      <c r="P444">
        <v>8.61</v>
      </c>
      <c r="Q444">
        <v>8.47</v>
      </c>
      <c r="R444">
        <v>8.51</v>
      </c>
      <c r="S444">
        <v>20.72</v>
      </c>
      <c r="T444">
        <v>0.77</v>
      </c>
      <c r="U444" t="s">
        <v>204</v>
      </c>
    </row>
    <row r="445" spans="1:21">
      <c r="A445" t="str">
        <f>"000990"</f>
        <v>000990</v>
      </c>
      <c r="B445" t="s">
        <v>1031</v>
      </c>
      <c r="C445">
        <v>2.16</v>
      </c>
      <c r="D445">
        <v>15.12</v>
      </c>
      <c r="E445">
        <v>0.32</v>
      </c>
      <c r="F445">
        <v>15.11</v>
      </c>
      <c r="G445">
        <v>15.12</v>
      </c>
      <c r="H445">
        <v>153462</v>
      </c>
      <c r="I445">
        <v>1639</v>
      </c>
      <c r="J445">
        <v>0</v>
      </c>
      <c r="K445">
        <v>1.22</v>
      </c>
      <c r="L445">
        <v>23001.99</v>
      </c>
      <c r="M445" t="s">
        <v>1032</v>
      </c>
      <c r="N445" t="s">
        <v>309</v>
      </c>
      <c r="O445">
        <v>14.69</v>
      </c>
      <c r="P445">
        <v>15.19</v>
      </c>
      <c r="Q445">
        <v>14.6</v>
      </c>
      <c r="R445">
        <v>14.8</v>
      </c>
      <c r="S445">
        <v>12.87</v>
      </c>
      <c r="T445">
        <v>1.12</v>
      </c>
      <c r="U445" t="s">
        <v>235</v>
      </c>
    </row>
    <row r="446" spans="1:21">
      <c r="A446" t="str">
        <f>"000993"</f>
        <v>000993</v>
      </c>
      <c r="B446" t="s">
        <v>1033</v>
      </c>
      <c r="C446">
        <v>-0.69</v>
      </c>
      <c r="D446">
        <v>14.47</v>
      </c>
      <c r="E446">
        <v>-0.1</v>
      </c>
      <c r="F446">
        <v>14.46</v>
      </c>
      <c r="G446">
        <v>14.47</v>
      </c>
      <c r="H446">
        <v>228922</v>
      </c>
      <c r="I446">
        <v>6469</v>
      </c>
      <c r="J446">
        <v>-0.13</v>
      </c>
      <c r="K446">
        <v>5.21</v>
      </c>
      <c r="L446">
        <v>33069.57</v>
      </c>
      <c r="M446" t="s">
        <v>1034</v>
      </c>
      <c r="N446" t="s">
        <v>472</v>
      </c>
      <c r="O446">
        <v>14.36</v>
      </c>
      <c r="P446">
        <v>14.62</v>
      </c>
      <c r="Q446">
        <v>14.3</v>
      </c>
      <c r="R446">
        <v>14.57</v>
      </c>
      <c r="S446">
        <v>38.87</v>
      </c>
      <c r="T446">
        <v>0.77</v>
      </c>
      <c r="U446" t="s">
        <v>339</v>
      </c>
    </row>
    <row r="447" spans="1:21">
      <c r="A447" t="str">
        <f>"000995"</f>
        <v>000995</v>
      </c>
      <c r="B447" t="s">
        <v>1035</v>
      </c>
      <c r="C447">
        <v>0.61</v>
      </c>
      <c r="D447">
        <v>22.97</v>
      </c>
      <c r="E447">
        <v>0.14</v>
      </c>
      <c r="F447">
        <v>22.96</v>
      </c>
      <c r="G447">
        <v>22.97</v>
      </c>
      <c r="H447">
        <v>59616</v>
      </c>
      <c r="I447">
        <v>863</v>
      </c>
      <c r="J447">
        <v>0.09</v>
      </c>
      <c r="K447">
        <v>3.36</v>
      </c>
      <c r="L447">
        <v>13758.14</v>
      </c>
      <c r="M447" t="s">
        <v>1036</v>
      </c>
      <c r="N447" t="s">
        <v>423</v>
      </c>
      <c r="O447">
        <v>22.83</v>
      </c>
      <c r="P447">
        <v>23.35</v>
      </c>
      <c r="Q447">
        <v>22.7</v>
      </c>
      <c r="R447">
        <v>22.83</v>
      </c>
      <c r="S447" t="s">
        <v>40</v>
      </c>
      <c r="T447">
        <v>0.9</v>
      </c>
      <c r="U447" t="s">
        <v>391</v>
      </c>
    </row>
    <row r="448" spans="1:21">
      <c r="A448" t="str">
        <f>"000996"</f>
        <v>000996</v>
      </c>
      <c r="B448" t="s">
        <v>1037</v>
      </c>
      <c r="C448">
        <v>0.79</v>
      </c>
      <c r="D448">
        <v>7.62</v>
      </c>
      <c r="E448">
        <v>0.06</v>
      </c>
      <c r="F448">
        <v>7.62</v>
      </c>
      <c r="G448">
        <v>7.63</v>
      </c>
      <c r="H448">
        <v>70432</v>
      </c>
      <c r="I448">
        <v>738</v>
      </c>
      <c r="J448">
        <v>0.13</v>
      </c>
      <c r="K448">
        <v>2.04</v>
      </c>
      <c r="L448">
        <v>5324.75</v>
      </c>
      <c r="M448" t="s">
        <v>1038</v>
      </c>
      <c r="N448" t="s">
        <v>78</v>
      </c>
      <c r="O448">
        <v>7.5</v>
      </c>
      <c r="P448">
        <v>7.64</v>
      </c>
      <c r="Q448">
        <v>7.49</v>
      </c>
      <c r="R448">
        <v>7.56</v>
      </c>
      <c r="S448">
        <v>608.94</v>
      </c>
      <c r="T448">
        <v>0.89</v>
      </c>
      <c r="U448" t="s">
        <v>44</v>
      </c>
    </row>
    <row r="449" spans="1:21">
      <c r="A449" t="str">
        <f>"000997"</f>
        <v>000997</v>
      </c>
      <c r="B449" t="s">
        <v>1039</v>
      </c>
      <c r="C449">
        <v>0.56</v>
      </c>
      <c r="D449">
        <v>16.02</v>
      </c>
      <c r="E449">
        <v>0.09</v>
      </c>
      <c r="F449">
        <v>16.01</v>
      </c>
      <c r="G449">
        <v>16.02</v>
      </c>
      <c r="H449">
        <v>102083</v>
      </c>
      <c r="I449">
        <v>1195</v>
      </c>
      <c r="J449">
        <v>0</v>
      </c>
      <c r="K449">
        <v>0.99</v>
      </c>
      <c r="L449">
        <v>16254.01</v>
      </c>
      <c r="M449" t="s">
        <v>1040</v>
      </c>
      <c r="N449" t="s">
        <v>30</v>
      </c>
      <c r="O449">
        <v>15.93</v>
      </c>
      <c r="P449">
        <v>16.09</v>
      </c>
      <c r="Q449">
        <v>15.66</v>
      </c>
      <c r="R449">
        <v>15.93</v>
      </c>
      <c r="S449">
        <v>25.02</v>
      </c>
      <c r="T449">
        <v>0.74</v>
      </c>
      <c r="U449" t="s">
        <v>339</v>
      </c>
    </row>
    <row r="450" spans="1:21">
      <c r="A450" t="str">
        <f>"000998"</f>
        <v>000998</v>
      </c>
      <c r="B450" t="s">
        <v>1041</v>
      </c>
      <c r="C450">
        <v>0.13</v>
      </c>
      <c r="D450">
        <v>23.22</v>
      </c>
      <c r="E450">
        <v>0.03</v>
      </c>
      <c r="F450">
        <v>23.21</v>
      </c>
      <c r="G450">
        <v>23.22</v>
      </c>
      <c r="H450">
        <v>439080</v>
      </c>
      <c r="I450">
        <v>6363</v>
      </c>
      <c r="J450">
        <v>0.04</v>
      </c>
      <c r="K450">
        <v>4.13</v>
      </c>
      <c r="L450">
        <v>100887.37</v>
      </c>
      <c r="M450" t="s">
        <v>1042</v>
      </c>
      <c r="N450" t="s">
        <v>639</v>
      </c>
      <c r="O450">
        <v>23.1</v>
      </c>
      <c r="P450">
        <v>23.37</v>
      </c>
      <c r="Q450">
        <v>22.7</v>
      </c>
      <c r="R450">
        <v>23.19</v>
      </c>
      <c r="S450" t="s">
        <v>40</v>
      </c>
      <c r="T450">
        <v>0.74</v>
      </c>
      <c r="U450" t="s">
        <v>204</v>
      </c>
    </row>
    <row r="451" spans="1:21">
      <c r="A451" t="str">
        <f>"000999"</f>
        <v>000999</v>
      </c>
      <c r="B451" t="s">
        <v>1043</v>
      </c>
      <c r="C451">
        <v>0.58</v>
      </c>
      <c r="D451">
        <v>24.28</v>
      </c>
      <c r="E451">
        <v>0.14</v>
      </c>
      <c r="F451">
        <v>24.28</v>
      </c>
      <c r="G451">
        <v>24.29</v>
      </c>
      <c r="H451">
        <v>42510</v>
      </c>
      <c r="I451">
        <v>1154</v>
      </c>
      <c r="J451">
        <v>-0.15</v>
      </c>
      <c r="K451">
        <v>0.43</v>
      </c>
      <c r="L451">
        <v>10272.25</v>
      </c>
      <c r="M451" t="s">
        <v>1044</v>
      </c>
      <c r="N451" t="s">
        <v>270</v>
      </c>
      <c r="O451">
        <v>24.11</v>
      </c>
      <c r="P451">
        <v>24.35</v>
      </c>
      <c r="Q451">
        <v>24.04</v>
      </c>
      <c r="R451">
        <v>24.14</v>
      </c>
      <c r="S451">
        <v>10.24</v>
      </c>
      <c r="T451">
        <v>0.8</v>
      </c>
      <c r="U451" t="s">
        <v>24</v>
      </c>
    </row>
    <row r="452" spans="1:21">
      <c r="A452" t="str">
        <f>"001201"</f>
        <v>001201</v>
      </c>
      <c r="B452" t="s">
        <v>1045</v>
      </c>
      <c r="C452">
        <v>-0.62</v>
      </c>
      <c r="D452">
        <v>36.75</v>
      </c>
      <c r="E452">
        <v>-0.23</v>
      </c>
      <c r="F452">
        <v>36.75</v>
      </c>
      <c r="G452">
        <v>36.76</v>
      </c>
      <c r="H452">
        <v>15261</v>
      </c>
      <c r="I452">
        <v>118</v>
      </c>
      <c r="J452">
        <v>0.11</v>
      </c>
      <c r="K452">
        <v>3.44</v>
      </c>
      <c r="L452">
        <v>5573.44</v>
      </c>
      <c r="M452" t="s">
        <v>1046</v>
      </c>
      <c r="N452" t="s">
        <v>147</v>
      </c>
      <c r="O452">
        <v>36.85</v>
      </c>
      <c r="P452">
        <v>36.88</v>
      </c>
      <c r="Q452">
        <v>36.25</v>
      </c>
      <c r="R452">
        <v>36.98</v>
      </c>
      <c r="S452">
        <v>20.68</v>
      </c>
      <c r="T452">
        <v>1.3</v>
      </c>
      <c r="U452" t="s">
        <v>183</v>
      </c>
    </row>
    <row r="453" spans="1:21">
      <c r="A453" t="str">
        <f>"001202"</f>
        <v>001202</v>
      </c>
      <c r="B453" t="s">
        <v>1047</v>
      </c>
      <c r="C453">
        <v>1.3</v>
      </c>
      <c r="D453">
        <v>17.2</v>
      </c>
      <c r="E453">
        <v>0.22</v>
      </c>
      <c r="F453">
        <v>17.19</v>
      </c>
      <c r="G453">
        <v>17.2</v>
      </c>
      <c r="H453">
        <v>16418</v>
      </c>
      <c r="I453">
        <v>354</v>
      </c>
      <c r="J453">
        <v>0.23</v>
      </c>
      <c r="K453">
        <v>5.09</v>
      </c>
      <c r="L453">
        <v>2818.19</v>
      </c>
      <c r="M453" t="s">
        <v>1048</v>
      </c>
      <c r="N453" t="s">
        <v>1049</v>
      </c>
      <c r="O453">
        <v>17.08</v>
      </c>
      <c r="P453">
        <v>17.28</v>
      </c>
      <c r="Q453">
        <v>16.98</v>
      </c>
      <c r="R453">
        <v>16.98</v>
      </c>
      <c r="S453">
        <v>42.49</v>
      </c>
      <c r="T453">
        <v>1.4</v>
      </c>
      <c r="U453" t="s">
        <v>183</v>
      </c>
    </row>
    <row r="454" spans="1:21">
      <c r="A454" t="str">
        <f>"001203"</f>
        <v>001203</v>
      </c>
      <c r="B454" t="s">
        <v>1050</v>
      </c>
      <c r="C454">
        <v>0.07</v>
      </c>
      <c r="D454">
        <v>15.09</v>
      </c>
      <c r="E454">
        <v>0.01</v>
      </c>
      <c r="F454">
        <v>15.08</v>
      </c>
      <c r="G454">
        <v>15.09</v>
      </c>
      <c r="H454">
        <v>60442</v>
      </c>
      <c r="I454">
        <v>1321</v>
      </c>
      <c r="J454">
        <v>-0.06</v>
      </c>
      <c r="K454">
        <v>2.76</v>
      </c>
      <c r="L454">
        <v>9055.41</v>
      </c>
      <c r="M454" t="s">
        <v>1051</v>
      </c>
      <c r="N454" t="s">
        <v>551</v>
      </c>
      <c r="O454">
        <v>15.02</v>
      </c>
      <c r="P454">
        <v>15.14</v>
      </c>
      <c r="Q454">
        <v>14.83</v>
      </c>
      <c r="R454">
        <v>15.08</v>
      </c>
      <c r="S454">
        <v>12</v>
      </c>
      <c r="T454">
        <v>1</v>
      </c>
      <c r="U454" t="s">
        <v>275</v>
      </c>
    </row>
    <row r="455" spans="1:21">
      <c r="A455" t="str">
        <f>"001205"</f>
        <v>001205</v>
      </c>
      <c r="B455" t="s">
        <v>1052</v>
      </c>
      <c r="C455">
        <v>0.79</v>
      </c>
      <c r="D455">
        <v>21.6</v>
      </c>
      <c r="E455">
        <v>0.17</v>
      </c>
      <c r="F455">
        <v>21.59</v>
      </c>
      <c r="G455">
        <v>21.6</v>
      </c>
      <c r="H455">
        <v>7956</v>
      </c>
      <c r="I455">
        <v>63</v>
      </c>
      <c r="J455">
        <v>-0.04</v>
      </c>
      <c r="K455">
        <v>2.65</v>
      </c>
      <c r="L455">
        <v>1716.53</v>
      </c>
      <c r="M455" t="s">
        <v>1053</v>
      </c>
      <c r="N455" t="s">
        <v>327</v>
      </c>
      <c r="O455">
        <v>21.3</v>
      </c>
      <c r="P455">
        <v>21.73</v>
      </c>
      <c r="Q455">
        <v>21.22</v>
      </c>
      <c r="R455">
        <v>21.43</v>
      </c>
      <c r="S455">
        <v>19.58</v>
      </c>
      <c r="T455">
        <v>0.97</v>
      </c>
      <c r="U455" t="s">
        <v>102</v>
      </c>
    </row>
    <row r="456" spans="1:21">
      <c r="A456" t="str">
        <f>"001206"</f>
        <v>001206</v>
      </c>
      <c r="B456" t="s">
        <v>1054</v>
      </c>
      <c r="C456">
        <v>0.51</v>
      </c>
      <c r="D456">
        <v>45.64</v>
      </c>
      <c r="E456">
        <v>0.23</v>
      </c>
      <c r="F456">
        <v>45.64</v>
      </c>
      <c r="G456">
        <v>45.65</v>
      </c>
      <c r="H456">
        <v>5239</v>
      </c>
      <c r="I456">
        <v>161</v>
      </c>
      <c r="J456">
        <v>0.22</v>
      </c>
      <c r="K456">
        <v>2.22</v>
      </c>
      <c r="L456">
        <v>2380.06</v>
      </c>
      <c r="M456" t="s">
        <v>425</v>
      </c>
      <c r="N456" t="s">
        <v>285</v>
      </c>
      <c r="O456">
        <v>45.41</v>
      </c>
      <c r="P456">
        <v>45.85</v>
      </c>
      <c r="Q456">
        <v>45.01</v>
      </c>
      <c r="R456">
        <v>45.41</v>
      </c>
      <c r="S456">
        <v>31.21</v>
      </c>
      <c r="T456">
        <v>0.5</v>
      </c>
      <c r="U456" t="s">
        <v>360</v>
      </c>
    </row>
    <row r="457" spans="1:21">
      <c r="A457" t="str">
        <f>"001207"</f>
        <v>001207</v>
      </c>
      <c r="B457" t="s">
        <v>1055</v>
      </c>
      <c r="C457">
        <v>1.97</v>
      </c>
      <c r="D457">
        <v>23.24</v>
      </c>
      <c r="E457">
        <v>0.45</v>
      </c>
      <c r="F457">
        <v>23.24</v>
      </c>
      <c r="G457">
        <v>23.25</v>
      </c>
      <c r="H457">
        <v>35232</v>
      </c>
      <c r="I457">
        <v>950</v>
      </c>
      <c r="J457">
        <v>0.09</v>
      </c>
      <c r="K457">
        <v>7.74</v>
      </c>
      <c r="L457">
        <v>8087.87</v>
      </c>
      <c r="M457" t="s">
        <v>1056</v>
      </c>
      <c r="N457" t="s">
        <v>309</v>
      </c>
      <c r="O457">
        <v>22.78</v>
      </c>
      <c r="P457">
        <v>23.28</v>
      </c>
      <c r="Q457">
        <v>22.44</v>
      </c>
      <c r="R457">
        <v>22.79</v>
      </c>
      <c r="S457">
        <v>26.76</v>
      </c>
      <c r="T457">
        <v>1.75</v>
      </c>
      <c r="U457" t="s">
        <v>221</v>
      </c>
    </row>
    <row r="458" spans="1:21">
      <c r="A458" t="str">
        <f>"001208"</f>
        <v>001208</v>
      </c>
      <c r="B458" t="s">
        <v>1057</v>
      </c>
      <c r="C458">
        <v>-2.16</v>
      </c>
      <c r="D458">
        <v>16.34</v>
      </c>
      <c r="E458">
        <v>-0.36</v>
      </c>
      <c r="F458">
        <v>16.33</v>
      </c>
      <c r="G458">
        <v>16.34</v>
      </c>
      <c r="H458">
        <v>177272</v>
      </c>
      <c r="I458">
        <v>2043</v>
      </c>
      <c r="J458">
        <v>0</v>
      </c>
      <c r="K458">
        <v>13.27</v>
      </c>
      <c r="L458">
        <v>29147.89</v>
      </c>
      <c r="M458" t="s">
        <v>1058</v>
      </c>
      <c r="N458" t="s">
        <v>47</v>
      </c>
      <c r="O458">
        <v>16.7</v>
      </c>
      <c r="P458">
        <v>16.86</v>
      </c>
      <c r="Q458">
        <v>16.27</v>
      </c>
      <c r="R458">
        <v>16.7</v>
      </c>
      <c r="S458">
        <v>60.85</v>
      </c>
      <c r="T458">
        <v>0.77</v>
      </c>
      <c r="U458" t="s">
        <v>204</v>
      </c>
    </row>
    <row r="459" spans="1:21">
      <c r="A459" t="str">
        <f>"001209"</f>
        <v>001209</v>
      </c>
      <c r="B459" t="s">
        <v>1059</v>
      </c>
      <c r="C459">
        <v>0.4</v>
      </c>
      <c r="D459">
        <v>25.16</v>
      </c>
      <c r="E459">
        <v>0.1</v>
      </c>
      <c r="F459">
        <v>25.16</v>
      </c>
      <c r="G459">
        <v>25.17</v>
      </c>
      <c r="H459">
        <v>3016</v>
      </c>
      <c r="I459">
        <v>61</v>
      </c>
      <c r="J459">
        <v>0</v>
      </c>
      <c r="K459">
        <v>1.28</v>
      </c>
      <c r="L459">
        <v>756.99</v>
      </c>
      <c r="M459" t="s">
        <v>1060</v>
      </c>
      <c r="N459" t="s">
        <v>1061</v>
      </c>
      <c r="O459">
        <v>25.1</v>
      </c>
      <c r="P459">
        <v>25.24</v>
      </c>
      <c r="Q459">
        <v>24.95</v>
      </c>
      <c r="R459">
        <v>25.06</v>
      </c>
      <c r="S459">
        <v>24.46</v>
      </c>
      <c r="T459">
        <v>0.47</v>
      </c>
      <c r="U459" t="s">
        <v>183</v>
      </c>
    </row>
    <row r="460" spans="1:21">
      <c r="A460" t="str">
        <f>"001210"</f>
        <v>001210</v>
      </c>
      <c r="B460" t="s">
        <v>1062</v>
      </c>
      <c r="C460">
        <v>0.08</v>
      </c>
      <c r="D460">
        <v>36.18</v>
      </c>
      <c r="E460">
        <v>0.03</v>
      </c>
      <c r="F460">
        <v>36.18</v>
      </c>
      <c r="G460">
        <v>36.19</v>
      </c>
      <c r="H460">
        <v>16622</v>
      </c>
      <c r="I460">
        <v>278</v>
      </c>
      <c r="J460">
        <v>0.06</v>
      </c>
      <c r="K460">
        <v>7.33</v>
      </c>
      <c r="L460">
        <v>5949.34</v>
      </c>
      <c r="M460" t="s">
        <v>1063</v>
      </c>
      <c r="N460" t="s">
        <v>238</v>
      </c>
      <c r="O460">
        <v>35.96</v>
      </c>
      <c r="P460">
        <v>36.3</v>
      </c>
      <c r="Q460">
        <v>35.32</v>
      </c>
      <c r="R460">
        <v>36.15</v>
      </c>
      <c r="S460">
        <v>35.47</v>
      </c>
      <c r="T460">
        <v>0.86</v>
      </c>
      <c r="U460" t="s">
        <v>44</v>
      </c>
    </row>
    <row r="461" spans="1:21">
      <c r="A461" t="str">
        <f>"001211"</f>
        <v>001211</v>
      </c>
      <c r="B461" t="s">
        <v>1064</v>
      </c>
      <c r="C461">
        <v>1.36</v>
      </c>
      <c r="D461">
        <v>28.29</v>
      </c>
      <c r="E461">
        <v>0.38</v>
      </c>
      <c r="F461">
        <v>28.28</v>
      </c>
      <c r="G461">
        <v>28.29</v>
      </c>
      <c r="H461">
        <v>3877</v>
      </c>
      <c r="I461">
        <v>93</v>
      </c>
      <c r="J461">
        <v>-0.03</v>
      </c>
      <c r="K461">
        <v>2.15</v>
      </c>
      <c r="L461">
        <v>1092.49</v>
      </c>
      <c r="M461" t="s">
        <v>1065</v>
      </c>
      <c r="N461" t="s">
        <v>910</v>
      </c>
      <c r="O461">
        <v>27.95</v>
      </c>
      <c r="P461">
        <v>28.36</v>
      </c>
      <c r="Q461">
        <v>27.91</v>
      </c>
      <c r="R461">
        <v>27.91</v>
      </c>
      <c r="S461">
        <v>50.47</v>
      </c>
      <c r="T461">
        <v>0.41</v>
      </c>
      <c r="U461" t="s">
        <v>200</v>
      </c>
    </row>
    <row r="462" spans="1:21">
      <c r="A462" t="str">
        <f>"001212"</f>
        <v>001212</v>
      </c>
      <c r="B462" t="s">
        <v>1066</v>
      </c>
      <c r="C462">
        <v>2.21</v>
      </c>
      <c r="D462">
        <v>31.9</v>
      </c>
      <c r="E462">
        <v>0.69</v>
      </c>
      <c r="F462">
        <v>31.9</v>
      </c>
      <c r="G462">
        <v>31.91</v>
      </c>
      <c r="H462">
        <v>9207</v>
      </c>
      <c r="I462">
        <v>227</v>
      </c>
      <c r="J462">
        <v>0</v>
      </c>
      <c r="K462">
        <v>4.06</v>
      </c>
      <c r="L462">
        <v>2908.2</v>
      </c>
      <c r="M462" t="s">
        <v>1067</v>
      </c>
      <c r="N462" t="s">
        <v>131</v>
      </c>
      <c r="O462">
        <v>31.24</v>
      </c>
      <c r="P462">
        <v>31.97</v>
      </c>
      <c r="Q462">
        <v>31.13</v>
      </c>
      <c r="R462">
        <v>31.21</v>
      </c>
      <c r="S462">
        <v>20.89</v>
      </c>
      <c r="T462">
        <v>0.72</v>
      </c>
      <c r="U462" t="s">
        <v>183</v>
      </c>
    </row>
    <row r="463" spans="1:21">
      <c r="A463" t="str">
        <f>"001213"</f>
        <v>001213</v>
      </c>
      <c r="B463" t="s">
        <v>1068</v>
      </c>
      <c r="C463">
        <v>0.58</v>
      </c>
      <c r="D463">
        <v>5.24</v>
      </c>
      <c r="E463">
        <v>0.03</v>
      </c>
      <c r="F463">
        <v>5.23</v>
      </c>
      <c r="G463">
        <v>5.24</v>
      </c>
      <c r="H463">
        <v>119325</v>
      </c>
      <c r="I463">
        <v>2306</v>
      </c>
      <c r="J463">
        <v>0</v>
      </c>
      <c r="K463">
        <v>2.68</v>
      </c>
      <c r="L463">
        <v>6259.36</v>
      </c>
      <c r="M463" t="s">
        <v>1069</v>
      </c>
      <c r="N463" t="s">
        <v>1049</v>
      </c>
      <c r="O463">
        <v>5.21</v>
      </c>
      <c r="P463">
        <v>5.28</v>
      </c>
      <c r="Q463">
        <v>5.19</v>
      </c>
      <c r="R463">
        <v>5.21</v>
      </c>
      <c r="S463">
        <v>52.54</v>
      </c>
      <c r="T463">
        <v>0.83</v>
      </c>
      <c r="U463" t="s">
        <v>44</v>
      </c>
    </row>
    <row r="464" spans="1:21">
      <c r="A464" t="str">
        <f>"001215"</f>
        <v>001215</v>
      </c>
      <c r="B464" t="s">
        <v>1070</v>
      </c>
      <c r="C464">
        <v>-2.9</v>
      </c>
      <c r="D464">
        <v>64.4</v>
      </c>
      <c r="E464">
        <v>-1.92</v>
      </c>
      <c r="F464">
        <v>64.4</v>
      </c>
      <c r="G464">
        <v>64.41</v>
      </c>
      <c r="H464">
        <v>17398</v>
      </c>
      <c r="I464">
        <v>328</v>
      </c>
      <c r="J464">
        <v>-0.07</v>
      </c>
      <c r="K464">
        <v>8.18</v>
      </c>
      <c r="L464">
        <v>11287.63</v>
      </c>
      <c r="M464" t="s">
        <v>1071</v>
      </c>
      <c r="N464" t="s">
        <v>299</v>
      </c>
      <c r="O464">
        <v>66.96</v>
      </c>
      <c r="P464">
        <v>67.4</v>
      </c>
      <c r="Q464">
        <v>63.01</v>
      </c>
      <c r="R464">
        <v>66.32</v>
      </c>
      <c r="S464">
        <v>72.63</v>
      </c>
      <c r="T464">
        <v>1.04</v>
      </c>
      <c r="U464" t="s">
        <v>224</v>
      </c>
    </row>
    <row r="465" spans="1:21">
      <c r="A465" t="str">
        <f>"001216"</f>
        <v>001216</v>
      </c>
      <c r="B465" t="s">
        <v>1072</v>
      </c>
      <c r="C465">
        <v>-0.89</v>
      </c>
      <c r="D465">
        <v>16.73</v>
      </c>
      <c r="E465">
        <v>-0.15</v>
      </c>
      <c r="F465">
        <v>16.72</v>
      </c>
      <c r="G465">
        <v>16.73</v>
      </c>
      <c r="H465">
        <v>121365</v>
      </c>
      <c r="I465">
        <v>2541</v>
      </c>
      <c r="J465">
        <v>-0.05</v>
      </c>
      <c r="K465">
        <v>19.27</v>
      </c>
      <c r="L465">
        <v>20227.47</v>
      </c>
      <c r="M465" t="s">
        <v>1073</v>
      </c>
      <c r="N465" t="s">
        <v>910</v>
      </c>
      <c r="O465">
        <v>16.4</v>
      </c>
      <c r="P465">
        <v>17.08</v>
      </c>
      <c r="Q465">
        <v>16.32</v>
      </c>
      <c r="R465">
        <v>16.88</v>
      </c>
      <c r="S465">
        <v>33.26</v>
      </c>
      <c r="T465">
        <v>0.57</v>
      </c>
      <c r="U465" t="s">
        <v>204</v>
      </c>
    </row>
    <row r="466" spans="1:21">
      <c r="A466" t="str">
        <f>"001217"</f>
        <v>001217</v>
      </c>
      <c r="B466" t="s">
        <v>1074</v>
      </c>
      <c r="C466">
        <v>-0.72</v>
      </c>
      <c r="D466">
        <v>22.2</v>
      </c>
      <c r="E466">
        <v>-0.16</v>
      </c>
      <c r="F466">
        <v>22.2</v>
      </c>
      <c r="G466">
        <v>22.21</v>
      </c>
      <c r="H466">
        <v>196700</v>
      </c>
      <c r="I466">
        <v>2981</v>
      </c>
      <c r="J466">
        <v>-0.44</v>
      </c>
      <c r="K466">
        <v>23.71</v>
      </c>
      <c r="L466">
        <v>43848.45</v>
      </c>
      <c r="M466" t="s">
        <v>1075</v>
      </c>
      <c r="N466" t="s">
        <v>309</v>
      </c>
      <c r="O466">
        <v>22</v>
      </c>
      <c r="P466">
        <v>22.88</v>
      </c>
      <c r="Q466">
        <v>21.6</v>
      </c>
      <c r="R466">
        <v>22.36</v>
      </c>
      <c r="S466">
        <v>17.7</v>
      </c>
      <c r="T466">
        <v>1.06</v>
      </c>
      <c r="U466" t="s">
        <v>193</v>
      </c>
    </row>
    <row r="467" spans="1:21">
      <c r="A467" t="str">
        <f>"001218"</f>
        <v>001218</v>
      </c>
      <c r="B467" t="s">
        <v>1076</v>
      </c>
      <c r="C467">
        <v>1.02</v>
      </c>
      <c r="D467">
        <v>42.73</v>
      </c>
      <c r="E467">
        <v>0.43</v>
      </c>
      <c r="F467">
        <v>42.72</v>
      </c>
      <c r="G467">
        <v>42.73</v>
      </c>
      <c r="H467">
        <v>11332</v>
      </c>
      <c r="I467">
        <v>174</v>
      </c>
      <c r="J467">
        <v>-0.01</v>
      </c>
      <c r="K467">
        <v>5.04</v>
      </c>
      <c r="L467">
        <v>4831.6</v>
      </c>
      <c r="M467" t="s">
        <v>1077</v>
      </c>
      <c r="N467" t="s">
        <v>309</v>
      </c>
      <c r="O467">
        <v>42.46</v>
      </c>
      <c r="P467">
        <v>42.93</v>
      </c>
      <c r="Q467">
        <v>42.23</v>
      </c>
      <c r="R467">
        <v>42.3</v>
      </c>
      <c r="S467">
        <v>22.34</v>
      </c>
      <c r="T467">
        <v>0.52</v>
      </c>
      <c r="U467" t="s">
        <v>204</v>
      </c>
    </row>
    <row r="468" spans="1:21">
      <c r="A468" t="str">
        <f>"001219"</f>
        <v>001219</v>
      </c>
      <c r="B468" t="s">
        <v>1078</v>
      </c>
      <c r="C468">
        <v>-1.54</v>
      </c>
      <c r="D468">
        <v>32.51</v>
      </c>
      <c r="E468">
        <v>-0.51</v>
      </c>
      <c r="F468">
        <v>32.5</v>
      </c>
      <c r="G468">
        <v>32.51</v>
      </c>
      <c r="H468">
        <v>51040</v>
      </c>
      <c r="I468">
        <v>936</v>
      </c>
      <c r="J468">
        <v>-0.02</v>
      </c>
      <c r="K468">
        <v>22.99</v>
      </c>
      <c r="L468">
        <v>16606.26</v>
      </c>
      <c r="M468" t="s">
        <v>702</v>
      </c>
      <c r="N468" t="s">
        <v>299</v>
      </c>
      <c r="O468">
        <v>33.15</v>
      </c>
      <c r="P468">
        <v>33.34</v>
      </c>
      <c r="Q468">
        <v>31.82</v>
      </c>
      <c r="R468">
        <v>33.02</v>
      </c>
      <c r="S468">
        <v>39.8</v>
      </c>
      <c r="T468">
        <v>0.69</v>
      </c>
      <c r="U468" t="s">
        <v>221</v>
      </c>
    </row>
    <row r="469" spans="1:21">
      <c r="A469" t="str">
        <f>"001267"</f>
        <v>001267</v>
      </c>
      <c r="B469" t="s">
        <v>1079</v>
      </c>
      <c r="C469">
        <v>0.45</v>
      </c>
      <c r="D469">
        <v>6.65</v>
      </c>
      <c r="E469">
        <v>0.03</v>
      </c>
      <c r="F469">
        <v>6.65</v>
      </c>
      <c r="G469">
        <v>6.66</v>
      </c>
      <c r="H469">
        <v>1126350</v>
      </c>
      <c r="I469">
        <v>13775</v>
      </c>
      <c r="J469">
        <v>0</v>
      </c>
      <c r="K469">
        <v>39.35</v>
      </c>
      <c r="L469">
        <v>76963.65</v>
      </c>
      <c r="M469" t="s">
        <v>1080</v>
      </c>
      <c r="N469" t="s">
        <v>50</v>
      </c>
      <c r="O469">
        <v>6.58</v>
      </c>
      <c r="P469">
        <v>7.28</v>
      </c>
      <c r="Q469">
        <v>6.29</v>
      </c>
      <c r="R469">
        <v>6.62</v>
      </c>
      <c r="S469">
        <v>79</v>
      </c>
      <c r="T469">
        <v>1.52</v>
      </c>
      <c r="U469" t="s">
        <v>267</v>
      </c>
    </row>
    <row r="470" spans="1:21">
      <c r="A470" t="str">
        <f>"001288"</f>
        <v>001288</v>
      </c>
      <c r="B470" t="s">
        <v>1081</v>
      </c>
      <c r="C470">
        <v>-0.35</v>
      </c>
      <c r="D470">
        <v>16.99</v>
      </c>
      <c r="E470">
        <v>-0.06</v>
      </c>
      <c r="F470">
        <v>16.99</v>
      </c>
      <c r="G470">
        <v>17</v>
      </c>
      <c r="H470">
        <v>45148</v>
      </c>
      <c r="I470">
        <v>916</v>
      </c>
      <c r="J470">
        <v>-0.05</v>
      </c>
      <c r="K470">
        <v>11.29</v>
      </c>
      <c r="L470">
        <v>7639.99</v>
      </c>
      <c r="M470" t="s">
        <v>1082</v>
      </c>
      <c r="N470" t="s">
        <v>324</v>
      </c>
      <c r="O470">
        <v>17.08</v>
      </c>
      <c r="P470">
        <v>17.18</v>
      </c>
      <c r="Q470">
        <v>16.69</v>
      </c>
      <c r="R470">
        <v>17.05</v>
      </c>
      <c r="S470">
        <v>41.21</v>
      </c>
      <c r="T470">
        <v>0.5</v>
      </c>
      <c r="U470" t="s">
        <v>196</v>
      </c>
    </row>
    <row r="471" spans="1:21">
      <c r="A471" t="str">
        <f>"001696"</f>
        <v>001696</v>
      </c>
      <c r="B471" t="s">
        <v>1083</v>
      </c>
      <c r="C471">
        <v>1.75</v>
      </c>
      <c r="D471">
        <v>6.96</v>
      </c>
      <c r="E471">
        <v>0.12</v>
      </c>
      <c r="F471">
        <v>6.95</v>
      </c>
      <c r="G471">
        <v>6.96</v>
      </c>
      <c r="H471">
        <v>105902</v>
      </c>
      <c r="I471">
        <v>1324</v>
      </c>
      <c r="J471">
        <v>-0.13</v>
      </c>
      <c r="K471">
        <v>1.2</v>
      </c>
      <c r="L471">
        <v>7326.11</v>
      </c>
      <c r="M471" t="s">
        <v>1084</v>
      </c>
      <c r="N471" t="s">
        <v>917</v>
      </c>
      <c r="O471">
        <v>6.8</v>
      </c>
      <c r="P471">
        <v>6.99</v>
      </c>
      <c r="Q471">
        <v>6.75</v>
      </c>
      <c r="R471">
        <v>6.84</v>
      </c>
      <c r="S471">
        <v>15.94</v>
      </c>
      <c r="T471">
        <v>1.29</v>
      </c>
      <c r="U471" t="s">
        <v>314</v>
      </c>
    </row>
    <row r="472" spans="1:21">
      <c r="A472" t="str">
        <f>"001872"</f>
        <v>001872</v>
      </c>
      <c r="B472" t="s">
        <v>1085</v>
      </c>
      <c r="C472">
        <v>1.48</v>
      </c>
      <c r="D472">
        <v>15.81</v>
      </c>
      <c r="E472">
        <v>0.23</v>
      </c>
      <c r="F472">
        <v>15.81</v>
      </c>
      <c r="G472">
        <v>15.83</v>
      </c>
      <c r="H472">
        <v>14261</v>
      </c>
      <c r="I472">
        <v>180</v>
      </c>
      <c r="J472">
        <v>-0.18</v>
      </c>
      <c r="K472">
        <v>0.24</v>
      </c>
      <c r="L472">
        <v>2241.02</v>
      </c>
      <c r="M472" t="s">
        <v>1086</v>
      </c>
      <c r="N472" t="s">
        <v>169</v>
      </c>
      <c r="O472">
        <v>15.58</v>
      </c>
      <c r="P472">
        <v>15.85</v>
      </c>
      <c r="Q472">
        <v>15.55</v>
      </c>
      <c r="R472">
        <v>15.58</v>
      </c>
      <c r="S472">
        <v>9.37</v>
      </c>
      <c r="T472">
        <v>0.81</v>
      </c>
      <c r="U472" t="s">
        <v>24</v>
      </c>
    </row>
    <row r="473" spans="1:21">
      <c r="A473" t="str">
        <f>"001896"</f>
        <v>001896</v>
      </c>
      <c r="B473" t="s">
        <v>1087</v>
      </c>
      <c r="C473">
        <v>-1.37</v>
      </c>
      <c r="D473">
        <v>7.2</v>
      </c>
      <c r="E473">
        <v>-0.1</v>
      </c>
      <c r="F473">
        <v>7.2</v>
      </c>
      <c r="G473">
        <v>7.21</v>
      </c>
      <c r="H473">
        <v>274649</v>
      </c>
      <c r="I473">
        <v>2141</v>
      </c>
      <c r="J473">
        <v>0.14</v>
      </c>
      <c r="K473">
        <v>2.39</v>
      </c>
      <c r="L473">
        <v>19655.19</v>
      </c>
      <c r="M473" t="s">
        <v>1088</v>
      </c>
      <c r="N473" t="s">
        <v>83</v>
      </c>
      <c r="O473">
        <v>7.33</v>
      </c>
      <c r="P473">
        <v>7.34</v>
      </c>
      <c r="Q473">
        <v>7.07</v>
      </c>
      <c r="R473">
        <v>7.3</v>
      </c>
      <c r="S473" t="s">
        <v>40</v>
      </c>
      <c r="T473">
        <v>0.95</v>
      </c>
      <c r="U473" t="s">
        <v>224</v>
      </c>
    </row>
    <row r="474" spans="1:21">
      <c r="A474" t="str">
        <f>"001914"</f>
        <v>001914</v>
      </c>
      <c r="B474" t="s">
        <v>1089</v>
      </c>
      <c r="C474">
        <v>2.12</v>
      </c>
      <c r="D474">
        <v>13.46</v>
      </c>
      <c r="E474">
        <v>0.28</v>
      </c>
      <c r="F474">
        <v>13.45</v>
      </c>
      <c r="G474">
        <v>13.46</v>
      </c>
      <c r="H474">
        <v>164810</v>
      </c>
      <c r="I474">
        <v>1184</v>
      </c>
      <c r="J474">
        <v>0.15</v>
      </c>
      <c r="K474">
        <v>2.47</v>
      </c>
      <c r="L474">
        <v>21782.64</v>
      </c>
      <c r="M474" t="s">
        <v>1090</v>
      </c>
      <c r="N474" t="s">
        <v>134</v>
      </c>
      <c r="O474">
        <v>13.26</v>
      </c>
      <c r="P474">
        <v>13.75</v>
      </c>
      <c r="Q474">
        <v>12.82</v>
      </c>
      <c r="R474">
        <v>13.18</v>
      </c>
      <c r="S474">
        <v>28</v>
      </c>
      <c r="T474">
        <v>0.64</v>
      </c>
      <c r="U474" t="s">
        <v>24</v>
      </c>
    </row>
    <row r="475" spans="1:21">
      <c r="A475" t="str">
        <f>"001965"</f>
        <v>001965</v>
      </c>
      <c r="B475" t="s">
        <v>1091</v>
      </c>
      <c r="C475">
        <v>0.85</v>
      </c>
      <c r="D475">
        <v>7.14</v>
      </c>
      <c r="E475">
        <v>0.06</v>
      </c>
      <c r="F475">
        <v>7.13</v>
      </c>
      <c r="G475">
        <v>7.14</v>
      </c>
      <c r="H475">
        <v>19754</v>
      </c>
      <c r="I475">
        <v>59</v>
      </c>
      <c r="J475">
        <v>0.14</v>
      </c>
      <c r="K475">
        <v>0.1</v>
      </c>
      <c r="L475">
        <v>1403.77</v>
      </c>
      <c r="M475" t="s">
        <v>1092</v>
      </c>
      <c r="N475" t="s">
        <v>280</v>
      </c>
      <c r="O475">
        <v>7.08</v>
      </c>
      <c r="P475">
        <v>7.15</v>
      </c>
      <c r="Q475">
        <v>7.05</v>
      </c>
      <c r="R475">
        <v>7.08</v>
      </c>
      <c r="S475">
        <v>8.23</v>
      </c>
      <c r="T475">
        <v>0.49</v>
      </c>
      <c r="U475" t="s">
        <v>360</v>
      </c>
    </row>
    <row r="476" spans="1:21">
      <c r="A476" t="str">
        <f>"001979"</f>
        <v>001979</v>
      </c>
      <c r="B476" t="s">
        <v>1093</v>
      </c>
      <c r="C476">
        <v>6.38</v>
      </c>
      <c r="D476">
        <v>11.51</v>
      </c>
      <c r="E476">
        <v>0.69</v>
      </c>
      <c r="F476">
        <v>11.51</v>
      </c>
      <c r="G476">
        <v>11.52</v>
      </c>
      <c r="H476">
        <v>1113464</v>
      </c>
      <c r="I476">
        <v>8611</v>
      </c>
      <c r="J476">
        <v>0.26</v>
      </c>
      <c r="K476">
        <v>1.41</v>
      </c>
      <c r="L476">
        <v>127514.76</v>
      </c>
      <c r="M476" t="s">
        <v>1094</v>
      </c>
      <c r="N476" t="s">
        <v>27</v>
      </c>
      <c r="O476">
        <v>10.79</v>
      </c>
      <c r="P476">
        <v>11.9</v>
      </c>
      <c r="Q476">
        <v>10.75</v>
      </c>
      <c r="R476">
        <v>10.82</v>
      </c>
      <c r="S476">
        <v>10.77</v>
      </c>
      <c r="T476">
        <v>1.76</v>
      </c>
      <c r="U476" t="s">
        <v>24</v>
      </c>
    </row>
    <row r="477" spans="1:21">
      <c r="A477" t="str">
        <f>"002001"</f>
        <v>002001</v>
      </c>
      <c r="B477" t="s">
        <v>1095</v>
      </c>
      <c r="C477">
        <v>1</v>
      </c>
      <c r="D477">
        <v>30.31</v>
      </c>
      <c r="E477">
        <v>0.3</v>
      </c>
      <c r="F477">
        <v>30.3</v>
      </c>
      <c r="G477">
        <v>30.31</v>
      </c>
      <c r="H477">
        <v>238310</v>
      </c>
      <c r="I477">
        <v>8876</v>
      </c>
      <c r="J477">
        <v>0.33</v>
      </c>
      <c r="K477">
        <v>0.94</v>
      </c>
      <c r="L477">
        <v>71644.16</v>
      </c>
      <c r="M477" t="s">
        <v>1096</v>
      </c>
      <c r="N477" t="s">
        <v>192</v>
      </c>
      <c r="O477">
        <v>29.8</v>
      </c>
      <c r="P477">
        <v>30.34</v>
      </c>
      <c r="Q477">
        <v>29.75</v>
      </c>
      <c r="R477">
        <v>30.01</v>
      </c>
      <c r="S477">
        <v>17.41</v>
      </c>
      <c r="T477">
        <v>0.74</v>
      </c>
      <c r="U477" t="s">
        <v>200</v>
      </c>
    </row>
    <row r="478" spans="1:21">
      <c r="A478" t="str">
        <f>"002002"</f>
        <v>002002</v>
      </c>
      <c r="B478" t="s">
        <v>1097</v>
      </c>
      <c r="C478">
        <v>6.3</v>
      </c>
      <c r="D478">
        <v>5.57</v>
      </c>
      <c r="E478">
        <v>0.33</v>
      </c>
      <c r="F478">
        <v>5.57</v>
      </c>
      <c r="G478">
        <v>5.58</v>
      </c>
      <c r="H478">
        <v>2442154</v>
      </c>
      <c r="I478">
        <v>16131</v>
      </c>
      <c r="J478">
        <v>-0.17</v>
      </c>
      <c r="K478">
        <v>7.84</v>
      </c>
      <c r="L478">
        <v>133694.64</v>
      </c>
      <c r="M478" t="s">
        <v>1098</v>
      </c>
      <c r="N478" t="s">
        <v>309</v>
      </c>
      <c r="O478">
        <v>5.31</v>
      </c>
      <c r="P478">
        <v>5.62</v>
      </c>
      <c r="Q478">
        <v>5.21</v>
      </c>
      <c r="R478">
        <v>5.24</v>
      </c>
      <c r="S478">
        <v>9.8</v>
      </c>
      <c r="T478">
        <v>2.84</v>
      </c>
      <c r="U478" t="s">
        <v>102</v>
      </c>
    </row>
    <row r="479" spans="1:21">
      <c r="A479" t="str">
        <f>"002003"</f>
        <v>002003</v>
      </c>
      <c r="B479" t="s">
        <v>1099</v>
      </c>
      <c r="C479">
        <v>-1.22</v>
      </c>
      <c r="D479">
        <v>10.52</v>
      </c>
      <c r="E479">
        <v>-0.13</v>
      </c>
      <c r="F479">
        <v>10.52</v>
      </c>
      <c r="G479">
        <v>10.53</v>
      </c>
      <c r="H479">
        <v>73169</v>
      </c>
      <c r="I479">
        <v>674</v>
      </c>
      <c r="J479">
        <v>0.1</v>
      </c>
      <c r="K479">
        <v>1.13</v>
      </c>
      <c r="L479">
        <v>7634.21</v>
      </c>
      <c r="M479" t="s">
        <v>1100</v>
      </c>
      <c r="N479" t="s">
        <v>1061</v>
      </c>
      <c r="O479">
        <v>10.66</v>
      </c>
      <c r="P479">
        <v>10.86</v>
      </c>
      <c r="Q479">
        <v>10.25</v>
      </c>
      <c r="R479">
        <v>10.65</v>
      </c>
      <c r="S479">
        <v>15.33</v>
      </c>
      <c r="T479">
        <v>1.11</v>
      </c>
      <c r="U479" t="s">
        <v>200</v>
      </c>
    </row>
    <row r="480" spans="1:21">
      <c r="A480" t="str">
        <f>"002004"</f>
        <v>002004</v>
      </c>
      <c r="B480" t="s">
        <v>1101</v>
      </c>
      <c r="C480">
        <v>5.32</v>
      </c>
      <c r="D480">
        <v>6.73</v>
      </c>
      <c r="E480">
        <v>0.34</v>
      </c>
      <c r="F480">
        <v>6.73</v>
      </c>
      <c r="G480">
        <v>6.74</v>
      </c>
      <c r="H480">
        <v>900055</v>
      </c>
      <c r="I480">
        <v>8821</v>
      </c>
      <c r="J480">
        <v>-0.14</v>
      </c>
      <c r="K480">
        <v>4.91</v>
      </c>
      <c r="L480">
        <v>59459.03</v>
      </c>
      <c r="M480" t="s">
        <v>1102</v>
      </c>
      <c r="N480" t="s">
        <v>192</v>
      </c>
      <c r="O480">
        <v>6.4</v>
      </c>
      <c r="P480">
        <v>6.92</v>
      </c>
      <c r="Q480">
        <v>6.27</v>
      </c>
      <c r="R480">
        <v>6.39</v>
      </c>
      <c r="S480">
        <v>19.2</v>
      </c>
      <c r="T480">
        <v>1.69</v>
      </c>
      <c r="U480" t="s">
        <v>314</v>
      </c>
    </row>
    <row r="481" spans="1:21">
      <c r="A481" t="str">
        <f>"002005"</f>
        <v>002005</v>
      </c>
      <c r="B481" t="s">
        <v>1103</v>
      </c>
      <c r="C481">
        <v>-2.3</v>
      </c>
      <c r="D481">
        <v>2.12</v>
      </c>
      <c r="E481">
        <v>-0.05</v>
      </c>
      <c r="F481">
        <v>2.11</v>
      </c>
      <c r="G481">
        <v>2.12</v>
      </c>
      <c r="H481">
        <v>196676</v>
      </c>
      <c r="I481">
        <v>3766</v>
      </c>
      <c r="J481">
        <v>-0.46</v>
      </c>
      <c r="K481">
        <v>1.18</v>
      </c>
      <c r="L481">
        <v>4187.15</v>
      </c>
      <c r="M481" t="s">
        <v>1104</v>
      </c>
      <c r="N481" t="s">
        <v>60</v>
      </c>
      <c r="O481">
        <v>2.18</v>
      </c>
      <c r="P481">
        <v>2.18</v>
      </c>
      <c r="Q481">
        <v>2.1</v>
      </c>
      <c r="R481">
        <v>2.17</v>
      </c>
      <c r="S481" t="s">
        <v>40</v>
      </c>
      <c r="T481">
        <v>0.9</v>
      </c>
      <c r="U481" t="s">
        <v>193</v>
      </c>
    </row>
    <row r="482" spans="1:21">
      <c r="A482" t="str">
        <f>"002006"</f>
        <v>002006</v>
      </c>
      <c r="B482" t="s">
        <v>1105</v>
      </c>
      <c r="C482">
        <v>4.97</v>
      </c>
      <c r="D482">
        <v>27.04</v>
      </c>
      <c r="E482">
        <v>1.28</v>
      </c>
      <c r="F482">
        <v>27.03</v>
      </c>
      <c r="G482">
        <v>27.04</v>
      </c>
      <c r="H482">
        <v>283838</v>
      </c>
      <c r="I482">
        <v>2673</v>
      </c>
      <c r="J482">
        <v>0.48</v>
      </c>
      <c r="K482">
        <v>6.24</v>
      </c>
      <c r="L482">
        <v>77114.34</v>
      </c>
      <c r="M482" t="s">
        <v>1106</v>
      </c>
      <c r="N482" t="s">
        <v>324</v>
      </c>
      <c r="O482">
        <v>26.76</v>
      </c>
      <c r="P482">
        <v>27.9</v>
      </c>
      <c r="Q482">
        <v>26.28</v>
      </c>
      <c r="R482">
        <v>25.76</v>
      </c>
      <c r="S482">
        <v>110.22</v>
      </c>
      <c r="T482">
        <v>0.86</v>
      </c>
      <c r="U482" t="s">
        <v>200</v>
      </c>
    </row>
    <row r="483" spans="1:21">
      <c r="A483" t="str">
        <f>"002007"</f>
        <v>002007</v>
      </c>
      <c r="B483" t="s">
        <v>1107</v>
      </c>
      <c r="C483">
        <v>0.14</v>
      </c>
      <c r="D483">
        <v>29.12</v>
      </c>
      <c r="E483">
        <v>0.04</v>
      </c>
      <c r="F483">
        <v>29.12</v>
      </c>
      <c r="G483">
        <v>29.13</v>
      </c>
      <c r="H483">
        <v>109944</v>
      </c>
      <c r="I483">
        <v>765</v>
      </c>
      <c r="J483">
        <v>0.07</v>
      </c>
      <c r="K483">
        <v>0.7</v>
      </c>
      <c r="L483">
        <v>31960.76</v>
      </c>
      <c r="M483" t="s">
        <v>1108</v>
      </c>
      <c r="N483" t="s">
        <v>231</v>
      </c>
      <c r="O483">
        <v>29.03</v>
      </c>
      <c r="P483">
        <v>29.25</v>
      </c>
      <c r="Q483">
        <v>28.86</v>
      </c>
      <c r="R483">
        <v>29.08</v>
      </c>
      <c r="S483">
        <v>37.7</v>
      </c>
      <c r="T483">
        <v>0.71</v>
      </c>
      <c r="U483" t="s">
        <v>224</v>
      </c>
    </row>
    <row r="484" spans="1:21">
      <c r="A484" t="str">
        <f>"002008"</f>
        <v>002008</v>
      </c>
      <c r="B484" t="s">
        <v>1109</v>
      </c>
      <c r="C484">
        <v>5.46</v>
      </c>
      <c r="D484">
        <v>44.26</v>
      </c>
      <c r="E484">
        <v>2.29</v>
      </c>
      <c r="F484">
        <v>44.25</v>
      </c>
      <c r="G484">
        <v>44.26</v>
      </c>
      <c r="H484">
        <v>375236</v>
      </c>
      <c r="I484">
        <v>4435</v>
      </c>
      <c r="J484">
        <v>-0.08</v>
      </c>
      <c r="K484">
        <v>3.77</v>
      </c>
      <c r="L484">
        <v>164776.17</v>
      </c>
      <c r="M484" t="s">
        <v>1110</v>
      </c>
      <c r="N484" t="s">
        <v>1028</v>
      </c>
      <c r="O484">
        <v>42</v>
      </c>
      <c r="P484">
        <v>45.23</v>
      </c>
      <c r="Q484">
        <v>41.92</v>
      </c>
      <c r="R484">
        <v>41.97</v>
      </c>
      <c r="S484">
        <v>23.61</v>
      </c>
      <c r="T484">
        <v>1.75</v>
      </c>
      <c r="U484" t="s">
        <v>24</v>
      </c>
    </row>
    <row r="485" spans="1:21">
      <c r="A485" t="str">
        <f>"002009"</f>
        <v>002009</v>
      </c>
      <c r="B485" t="s">
        <v>1111</v>
      </c>
      <c r="C485">
        <v>0.39</v>
      </c>
      <c r="D485">
        <v>18.1</v>
      </c>
      <c r="E485">
        <v>0.07</v>
      </c>
      <c r="F485">
        <v>18.09</v>
      </c>
      <c r="G485">
        <v>18.1</v>
      </c>
      <c r="H485">
        <v>135749</v>
      </c>
      <c r="I485">
        <v>1198</v>
      </c>
      <c r="J485">
        <v>0.22</v>
      </c>
      <c r="K485">
        <v>3.67</v>
      </c>
      <c r="L485">
        <v>24329.07</v>
      </c>
      <c r="M485" t="s">
        <v>1112</v>
      </c>
      <c r="N485" t="s">
        <v>203</v>
      </c>
      <c r="O485">
        <v>18.18</v>
      </c>
      <c r="P485">
        <v>18.38</v>
      </c>
      <c r="Q485">
        <v>17.64</v>
      </c>
      <c r="R485">
        <v>18.03</v>
      </c>
      <c r="S485">
        <v>35.12</v>
      </c>
      <c r="T485">
        <v>1.15</v>
      </c>
      <c r="U485" t="s">
        <v>102</v>
      </c>
    </row>
    <row r="486" spans="1:21">
      <c r="A486" t="str">
        <f>"002010"</f>
        <v>002010</v>
      </c>
      <c r="B486" t="s">
        <v>1113</v>
      </c>
      <c r="C486">
        <v>1.4</v>
      </c>
      <c r="D486">
        <v>9.44</v>
      </c>
      <c r="E486">
        <v>0.13</v>
      </c>
      <c r="F486">
        <v>9.43</v>
      </c>
      <c r="G486">
        <v>9.44</v>
      </c>
      <c r="H486">
        <v>592401</v>
      </c>
      <c r="I486">
        <v>3259</v>
      </c>
      <c r="J486">
        <v>0</v>
      </c>
      <c r="K486">
        <v>2.02</v>
      </c>
      <c r="L486">
        <v>55827.24</v>
      </c>
      <c r="M486" t="s">
        <v>1114</v>
      </c>
      <c r="N486" t="s">
        <v>1049</v>
      </c>
      <c r="O486">
        <v>9.32</v>
      </c>
      <c r="P486">
        <v>9.66</v>
      </c>
      <c r="Q486">
        <v>9.23</v>
      </c>
      <c r="R486">
        <v>9.31</v>
      </c>
      <c r="S486">
        <v>23.22</v>
      </c>
      <c r="T486">
        <v>1.72</v>
      </c>
      <c r="U486" t="s">
        <v>200</v>
      </c>
    </row>
    <row r="487" spans="1:21">
      <c r="A487" t="str">
        <f>"002011"</f>
        <v>002011</v>
      </c>
      <c r="B487" t="s">
        <v>1115</v>
      </c>
      <c r="C487">
        <v>2.17</v>
      </c>
      <c r="D487">
        <v>9.9</v>
      </c>
      <c r="E487">
        <v>0.21</v>
      </c>
      <c r="F487">
        <v>9.89</v>
      </c>
      <c r="G487">
        <v>9.9</v>
      </c>
      <c r="H487">
        <v>1107941</v>
      </c>
      <c r="I487">
        <v>9211</v>
      </c>
      <c r="J487">
        <v>0.1</v>
      </c>
      <c r="K487">
        <v>12.09</v>
      </c>
      <c r="L487">
        <v>108557.99</v>
      </c>
      <c r="M487" t="s">
        <v>1116</v>
      </c>
      <c r="N487" t="s">
        <v>60</v>
      </c>
      <c r="O487">
        <v>9.4</v>
      </c>
      <c r="P487">
        <v>10.35</v>
      </c>
      <c r="Q487">
        <v>9.08</v>
      </c>
      <c r="R487">
        <v>9.69</v>
      </c>
      <c r="S487">
        <v>19.9</v>
      </c>
      <c r="T487">
        <v>1.18</v>
      </c>
      <c r="U487" t="s">
        <v>200</v>
      </c>
    </row>
    <row r="488" spans="1:21">
      <c r="A488" t="str">
        <f>"002012"</f>
        <v>002012</v>
      </c>
      <c r="B488" t="s">
        <v>1117</v>
      </c>
      <c r="C488">
        <v>1.81</v>
      </c>
      <c r="D488">
        <v>5.61</v>
      </c>
      <c r="E488">
        <v>0.1</v>
      </c>
      <c r="F488">
        <v>5.61</v>
      </c>
      <c r="G488">
        <v>5.62</v>
      </c>
      <c r="H488">
        <v>85843</v>
      </c>
      <c r="I488">
        <v>477</v>
      </c>
      <c r="J488">
        <v>-0.17</v>
      </c>
      <c r="K488">
        <v>1.84</v>
      </c>
      <c r="L488">
        <v>4783</v>
      </c>
      <c r="M488" t="s">
        <v>1118</v>
      </c>
      <c r="N488" t="s">
        <v>285</v>
      </c>
      <c r="O488">
        <v>5.51</v>
      </c>
      <c r="P488">
        <v>5.64</v>
      </c>
      <c r="Q488">
        <v>5.47</v>
      </c>
      <c r="R488">
        <v>5.51</v>
      </c>
      <c r="S488">
        <v>30.55</v>
      </c>
      <c r="T488">
        <v>1.24</v>
      </c>
      <c r="U488" t="s">
        <v>200</v>
      </c>
    </row>
    <row r="489" spans="1:21">
      <c r="A489" t="str">
        <f>"002013"</f>
        <v>002013</v>
      </c>
      <c r="B489" t="s">
        <v>1119</v>
      </c>
      <c r="C489">
        <v>-1</v>
      </c>
      <c r="D489">
        <v>15.9</v>
      </c>
      <c r="E489">
        <v>-0.16</v>
      </c>
      <c r="F489">
        <v>15.9</v>
      </c>
      <c r="G489">
        <v>15.91</v>
      </c>
      <c r="H489">
        <v>481410</v>
      </c>
      <c r="I489">
        <v>3734</v>
      </c>
      <c r="J489">
        <v>0.06</v>
      </c>
      <c r="K489">
        <v>1.24</v>
      </c>
      <c r="L489">
        <v>77010.12</v>
      </c>
      <c r="M489" t="s">
        <v>1120</v>
      </c>
      <c r="N489" t="s">
        <v>611</v>
      </c>
      <c r="O489">
        <v>16.14</v>
      </c>
      <c r="P489">
        <v>16.4</v>
      </c>
      <c r="Q489">
        <v>15.71</v>
      </c>
      <c r="R489">
        <v>16.06</v>
      </c>
      <c r="S489">
        <v>52.18</v>
      </c>
      <c r="T489">
        <v>0.55</v>
      </c>
      <c r="U489" t="s">
        <v>267</v>
      </c>
    </row>
    <row r="490" spans="1:21">
      <c r="A490" t="str">
        <f>"002014"</f>
        <v>002014</v>
      </c>
      <c r="B490" t="s">
        <v>1121</v>
      </c>
      <c r="C490">
        <v>0.36</v>
      </c>
      <c r="D490">
        <v>8.4</v>
      </c>
      <c r="E490">
        <v>0.03</v>
      </c>
      <c r="F490">
        <v>8.38</v>
      </c>
      <c r="G490">
        <v>8.4</v>
      </c>
      <c r="H490">
        <v>12443</v>
      </c>
      <c r="I490">
        <v>694</v>
      </c>
      <c r="J490">
        <v>0.24</v>
      </c>
      <c r="K490">
        <v>0.25</v>
      </c>
      <c r="L490">
        <v>1040.29</v>
      </c>
      <c r="M490" t="s">
        <v>1122</v>
      </c>
      <c r="N490" t="s">
        <v>839</v>
      </c>
      <c r="O490">
        <v>8.33</v>
      </c>
      <c r="P490">
        <v>8.4</v>
      </c>
      <c r="Q490">
        <v>8.28</v>
      </c>
      <c r="R490">
        <v>8.37</v>
      </c>
      <c r="S490">
        <v>15.15</v>
      </c>
      <c r="T490">
        <v>0.85</v>
      </c>
      <c r="U490" t="s">
        <v>193</v>
      </c>
    </row>
    <row r="491" spans="1:21">
      <c r="A491" t="str">
        <f>"002015"</f>
        <v>002015</v>
      </c>
      <c r="B491" t="s">
        <v>1123</v>
      </c>
      <c r="C491">
        <v>1.3</v>
      </c>
      <c r="D491">
        <v>16.33</v>
      </c>
      <c r="E491">
        <v>0.21</v>
      </c>
      <c r="F491">
        <v>16.33</v>
      </c>
      <c r="G491">
        <v>16.34</v>
      </c>
      <c r="H491">
        <v>279602</v>
      </c>
      <c r="I491">
        <v>5180</v>
      </c>
      <c r="J491">
        <v>0.06</v>
      </c>
      <c r="K491">
        <v>5.45</v>
      </c>
      <c r="L491">
        <v>45001.66</v>
      </c>
      <c r="M491" t="s">
        <v>1124</v>
      </c>
      <c r="N491" t="s">
        <v>114</v>
      </c>
      <c r="O491">
        <v>16.24</v>
      </c>
      <c r="P491">
        <v>16.36</v>
      </c>
      <c r="Q491">
        <v>15.83</v>
      </c>
      <c r="R491">
        <v>16.12</v>
      </c>
      <c r="S491">
        <v>20.58</v>
      </c>
      <c r="T491">
        <v>0.71</v>
      </c>
      <c r="U491" t="s">
        <v>102</v>
      </c>
    </row>
    <row r="492" spans="1:21">
      <c r="A492" t="str">
        <f>"002016"</f>
        <v>002016</v>
      </c>
      <c r="B492" t="s">
        <v>1125</v>
      </c>
      <c r="C492">
        <v>1.59</v>
      </c>
      <c r="D492">
        <v>5.12</v>
      </c>
      <c r="E492">
        <v>0.08</v>
      </c>
      <c r="F492">
        <v>5.11</v>
      </c>
      <c r="G492">
        <v>5.12</v>
      </c>
      <c r="H492">
        <v>20553</v>
      </c>
      <c r="I492">
        <v>1000</v>
      </c>
      <c r="J492">
        <v>0.39</v>
      </c>
      <c r="K492">
        <v>0.3</v>
      </c>
      <c r="L492">
        <v>1040.13</v>
      </c>
      <c r="M492" t="s">
        <v>1126</v>
      </c>
      <c r="N492" t="s">
        <v>36</v>
      </c>
      <c r="O492">
        <v>5.06</v>
      </c>
      <c r="P492">
        <v>5.13</v>
      </c>
      <c r="Q492">
        <v>5</v>
      </c>
      <c r="R492">
        <v>5.04</v>
      </c>
      <c r="S492">
        <v>8.1</v>
      </c>
      <c r="T492">
        <v>1.21</v>
      </c>
      <c r="U492" t="s">
        <v>183</v>
      </c>
    </row>
    <row r="493" spans="1:21">
      <c r="A493" t="str">
        <f>"002017"</f>
        <v>002017</v>
      </c>
      <c r="B493" t="s">
        <v>1127</v>
      </c>
      <c r="C493">
        <v>-1.08</v>
      </c>
      <c r="D493">
        <v>12.84</v>
      </c>
      <c r="E493">
        <v>-0.14</v>
      </c>
      <c r="F493">
        <v>12.83</v>
      </c>
      <c r="G493">
        <v>12.84</v>
      </c>
      <c r="H493">
        <v>268450</v>
      </c>
      <c r="I493">
        <v>3824</v>
      </c>
      <c r="J493">
        <v>0.31</v>
      </c>
      <c r="K493">
        <v>6.03</v>
      </c>
      <c r="L493">
        <v>34380.63</v>
      </c>
      <c r="M493" t="s">
        <v>1128</v>
      </c>
      <c r="N493" t="s">
        <v>153</v>
      </c>
      <c r="O493">
        <v>13.19</v>
      </c>
      <c r="P493">
        <v>13.29</v>
      </c>
      <c r="Q493">
        <v>12.65</v>
      </c>
      <c r="R493">
        <v>12.98</v>
      </c>
      <c r="S493">
        <v>150.45</v>
      </c>
      <c r="T493">
        <v>0.7</v>
      </c>
      <c r="U493" t="s">
        <v>183</v>
      </c>
    </row>
    <row r="494" spans="1:21">
      <c r="A494" t="str">
        <f>"002019"</f>
        <v>002019</v>
      </c>
      <c r="B494" t="s">
        <v>1129</v>
      </c>
      <c r="C494">
        <v>0.12</v>
      </c>
      <c r="D494">
        <v>17.04</v>
      </c>
      <c r="E494">
        <v>0.02</v>
      </c>
      <c r="F494">
        <v>17.04</v>
      </c>
      <c r="G494">
        <v>17.05</v>
      </c>
      <c r="H494">
        <v>55870</v>
      </c>
      <c r="I494">
        <v>879</v>
      </c>
      <c r="J494">
        <v>-0.4</v>
      </c>
      <c r="K494">
        <v>0.66</v>
      </c>
      <c r="L494">
        <v>9474.52</v>
      </c>
      <c r="M494" t="s">
        <v>1130</v>
      </c>
      <c r="N494" t="s">
        <v>192</v>
      </c>
      <c r="O494">
        <v>17.08</v>
      </c>
      <c r="P494">
        <v>17.15</v>
      </c>
      <c r="Q494">
        <v>16.76</v>
      </c>
      <c r="R494">
        <v>17.02</v>
      </c>
      <c r="S494">
        <v>54.24</v>
      </c>
      <c r="T494">
        <v>0.93</v>
      </c>
      <c r="U494" t="s">
        <v>200</v>
      </c>
    </row>
    <row r="495" spans="1:21">
      <c r="A495" t="str">
        <f>"002020"</f>
        <v>002020</v>
      </c>
      <c r="B495" t="s">
        <v>1131</v>
      </c>
      <c r="C495">
        <v>-3.44</v>
      </c>
      <c r="D495">
        <v>8.7</v>
      </c>
      <c r="E495">
        <v>-0.31</v>
      </c>
      <c r="F495">
        <v>8.7</v>
      </c>
      <c r="G495">
        <v>8.71</v>
      </c>
      <c r="H495">
        <v>238247</v>
      </c>
      <c r="I495">
        <v>2553</v>
      </c>
      <c r="J495">
        <v>0</v>
      </c>
      <c r="K495">
        <v>3.4</v>
      </c>
      <c r="L495">
        <v>20903.44</v>
      </c>
      <c r="M495" t="s">
        <v>1132</v>
      </c>
      <c r="N495" t="s">
        <v>192</v>
      </c>
      <c r="O495">
        <v>9.03</v>
      </c>
      <c r="P495">
        <v>9.08</v>
      </c>
      <c r="Q495">
        <v>8.67</v>
      </c>
      <c r="R495">
        <v>9.01</v>
      </c>
      <c r="S495">
        <v>13.76</v>
      </c>
      <c r="T495">
        <v>1.11</v>
      </c>
      <c r="U495" t="s">
        <v>200</v>
      </c>
    </row>
    <row r="496" spans="1:21">
      <c r="A496" t="str">
        <f>"002021"</f>
        <v>002021</v>
      </c>
      <c r="B496" t="s">
        <v>1133</v>
      </c>
      <c r="C496">
        <v>0.51</v>
      </c>
      <c r="D496">
        <v>1.98</v>
      </c>
      <c r="E496">
        <v>0.01</v>
      </c>
      <c r="F496">
        <v>1.97</v>
      </c>
      <c r="G496">
        <v>1.98</v>
      </c>
      <c r="H496">
        <v>107611</v>
      </c>
      <c r="I496">
        <v>1625</v>
      </c>
      <c r="J496">
        <v>0</v>
      </c>
      <c r="K496">
        <v>1.56</v>
      </c>
      <c r="L496">
        <v>2108.25</v>
      </c>
      <c r="M496" t="s">
        <v>1134</v>
      </c>
      <c r="N496" t="s">
        <v>1135</v>
      </c>
      <c r="O496">
        <v>1.97</v>
      </c>
      <c r="P496">
        <v>1.98</v>
      </c>
      <c r="Q496">
        <v>1.94</v>
      </c>
      <c r="R496">
        <v>1.97</v>
      </c>
      <c r="S496">
        <v>49.04</v>
      </c>
      <c r="T496">
        <v>1.39</v>
      </c>
      <c r="U496" t="s">
        <v>200</v>
      </c>
    </row>
    <row r="497" spans="1:21">
      <c r="A497" t="str">
        <f>"002022"</f>
        <v>002022</v>
      </c>
      <c r="B497" t="s">
        <v>1136</v>
      </c>
      <c r="C497">
        <v>-0.43</v>
      </c>
      <c r="D497">
        <v>13.95</v>
      </c>
      <c r="E497">
        <v>-0.06</v>
      </c>
      <c r="F497">
        <v>13.95</v>
      </c>
      <c r="G497">
        <v>13.96</v>
      </c>
      <c r="H497">
        <v>81106</v>
      </c>
      <c r="I497">
        <v>1431</v>
      </c>
      <c r="J497">
        <v>0</v>
      </c>
      <c r="K497">
        <v>1.58</v>
      </c>
      <c r="L497">
        <v>11267.26</v>
      </c>
      <c r="M497" t="s">
        <v>1137</v>
      </c>
      <c r="N497" t="s">
        <v>186</v>
      </c>
      <c r="O497">
        <v>13.97</v>
      </c>
      <c r="P497">
        <v>13.98</v>
      </c>
      <c r="Q497">
        <v>13.8</v>
      </c>
      <c r="R497">
        <v>14.01</v>
      </c>
      <c r="S497">
        <v>7.39</v>
      </c>
      <c r="T497">
        <v>0.94</v>
      </c>
      <c r="U497" t="s">
        <v>848</v>
      </c>
    </row>
    <row r="498" spans="1:21">
      <c r="A498" t="str">
        <f>"002023"</f>
        <v>002023</v>
      </c>
      <c r="B498" t="s">
        <v>1138</v>
      </c>
      <c r="C498">
        <v>0.46</v>
      </c>
      <c r="D498">
        <v>13.01</v>
      </c>
      <c r="E498">
        <v>0.06</v>
      </c>
      <c r="F498">
        <v>13.01</v>
      </c>
      <c r="G498">
        <v>13.02</v>
      </c>
      <c r="H498">
        <v>136811</v>
      </c>
      <c r="I498">
        <v>1491</v>
      </c>
      <c r="J498">
        <v>-0.07</v>
      </c>
      <c r="K498">
        <v>2</v>
      </c>
      <c r="L498">
        <v>17800.26</v>
      </c>
      <c r="M498" t="s">
        <v>1139</v>
      </c>
      <c r="N498" t="s">
        <v>611</v>
      </c>
      <c r="O498">
        <v>13.03</v>
      </c>
      <c r="P498">
        <v>13.08</v>
      </c>
      <c r="Q498">
        <v>12.9</v>
      </c>
      <c r="R498">
        <v>12.95</v>
      </c>
      <c r="S498">
        <v>10.91</v>
      </c>
      <c r="T498">
        <v>0.62</v>
      </c>
      <c r="U498" t="s">
        <v>196</v>
      </c>
    </row>
    <row r="499" spans="1:21">
      <c r="A499" t="str">
        <f>"002024"</f>
        <v>002024</v>
      </c>
      <c r="B499" t="s">
        <v>1140</v>
      </c>
      <c r="C499">
        <v>0.25</v>
      </c>
      <c r="D499">
        <v>4.07</v>
      </c>
      <c r="E499">
        <v>0.01</v>
      </c>
      <c r="F499">
        <v>4.07</v>
      </c>
      <c r="G499">
        <v>4.08</v>
      </c>
      <c r="H499">
        <v>344639</v>
      </c>
      <c r="I499">
        <v>2981</v>
      </c>
      <c r="J499">
        <v>0</v>
      </c>
      <c r="K499">
        <v>0.45</v>
      </c>
      <c r="L499">
        <v>13925.04</v>
      </c>
      <c r="M499" t="s">
        <v>1141</v>
      </c>
      <c r="N499" t="s">
        <v>1142</v>
      </c>
      <c r="O499">
        <v>4.01</v>
      </c>
      <c r="P499">
        <v>4.08</v>
      </c>
      <c r="Q499">
        <v>3.98</v>
      </c>
      <c r="R499">
        <v>4.06</v>
      </c>
      <c r="S499" t="s">
        <v>40</v>
      </c>
      <c r="T499">
        <v>0.73</v>
      </c>
      <c r="U499" t="s">
        <v>102</v>
      </c>
    </row>
    <row r="500" spans="1:21">
      <c r="A500" t="str">
        <f>"002025"</f>
        <v>002025</v>
      </c>
      <c r="B500" t="s">
        <v>1143</v>
      </c>
      <c r="C500">
        <v>-1.54</v>
      </c>
      <c r="D500">
        <v>77.81</v>
      </c>
      <c r="E500">
        <v>-1.22</v>
      </c>
      <c r="F500">
        <v>77.81</v>
      </c>
      <c r="G500">
        <v>77.98</v>
      </c>
      <c r="H500">
        <v>51896</v>
      </c>
      <c r="I500">
        <v>179</v>
      </c>
      <c r="J500">
        <v>-0.14</v>
      </c>
      <c r="K500">
        <v>1.21</v>
      </c>
      <c r="L500">
        <v>40407.57</v>
      </c>
      <c r="M500" t="s">
        <v>1144</v>
      </c>
      <c r="N500" t="s">
        <v>69</v>
      </c>
      <c r="O500">
        <v>78.31</v>
      </c>
      <c r="P500">
        <v>79.81</v>
      </c>
      <c r="Q500">
        <v>76.05</v>
      </c>
      <c r="R500">
        <v>79.03</v>
      </c>
      <c r="S500">
        <v>67.21</v>
      </c>
      <c r="T500">
        <v>0.62</v>
      </c>
      <c r="U500" t="s">
        <v>368</v>
      </c>
    </row>
    <row r="501" spans="1:21">
      <c r="A501" t="str">
        <f>"002026"</f>
        <v>002026</v>
      </c>
      <c r="B501" t="s">
        <v>1145</v>
      </c>
      <c r="C501">
        <v>0</v>
      </c>
      <c r="D501">
        <v>18.9</v>
      </c>
      <c r="E501">
        <v>0</v>
      </c>
      <c r="F501">
        <v>18.9</v>
      </c>
      <c r="G501">
        <v>18.92</v>
      </c>
      <c r="H501">
        <v>426570</v>
      </c>
      <c r="I501">
        <v>10008</v>
      </c>
      <c r="J501">
        <v>-0.88</v>
      </c>
      <c r="K501">
        <v>10.08</v>
      </c>
      <c r="L501">
        <v>80992.1</v>
      </c>
      <c r="M501" t="s">
        <v>1146</v>
      </c>
      <c r="N501" t="s">
        <v>347</v>
      </c>
      <c r="O501">
        <v>18.83</v>
      </c>
      <c r="P501">
        <v>19.47</v>
      </c>
      <c r="Q501">
        <v>18.53</v>
      </c>
      <c r="R501">
        <v>18.9</v>
      </c>
      <c r="S501">
        <v>21.13</v>
      </c>
      <c r="T501">
        <v>0.77</v>
      </c>
      <c r="U501" t="s">
        <v>221</v>
      </c>
    </row>
    <row r="502" spans="1:21">
      <c r="A502" t="str">
        <f>"002027"</f>
        <v>002027</v>
      </c>
      <c r="B502" t="s">
        <v>1147</v>
      </c>
      <c r="C502">
        <v>0.55</v>
      </c>
      <c r="D502">
        <v>7.25</v>
      </c>
      <c r="E502">
        <v>0.04</v>
      </c>
      <c r="F502">
        <v>7.25</v>
      </c>
      <c r="G502">
        <v>7.26</v>
      </c>
      <c r="H502">
        <v>1254122</v>
      </c>
      <c r="I502">
        <v>10432</v>
      </c>
      <c r="J502">
        <v>0.14</v>
      </c>
      <c r="K502">
        <v>0.87</v>
      </c>
      <c r="L502">
        <v>90407.06</v>
      </c>
      <c r="M502" t="s">
        <v>1148</v>
      </c>
      <c r="N502" t="s">
        <v>199</v>
      </c>
      <c r="O502">
        <v>7.18</v>
      </c>
      <c r="P502">
        <v>7.28</v>
      </c>
      <c r="Q502">
        <v>7.13</v>
      </c>
      <c r="R502">
        <v>7.21</v>
      </c>
      <c r="S502">
        <v>17.76</v>
      </c>
      <c r="T502">
        <v>0.77</v>
      </c>
      <c r="U502" t="s">
        <v>183</v>
      </c>
    </row>
    <row r="503" spans="1:21">
      <c r="A503" t="str">
        <f>"002028"</f>
        <v>002028</v>
      </c>
      <c r="B503" t="s">
        <v>1149</v>
      </c>
      <c r="C503">
        <v>-1.4</v>
      </c>
      <c r="D503">
        <v>48.68</v>
      </c>
      <c r="E503">
        <v>-0.69</v>
      </c>
      <c r="F503">
        <v>48.68</v>
      </c>
      <c r="G503">
        <v>48.7</v>
      </c>
      <c r="H503">
        <v>189994</v>
      </c>
      <c r="I503">
        <v>854</v>
      </c>
      <c r="J503">
        <v>-0.09</v>
      </c>
      <c r="K503">
        <v>3.22</v>
      </c>
      <c r="L503">
        <v>91347.98</v>
      </c>
      <c r="M503" t="s">
        <v>1150</v>
      </c>
      <c r="N503" t="s">
        <v>47</v>
      </c>
      <c r="O503">
        <v>49.44</v>
      </c>
      <c r="P503">
        <v>49.44</v>
      </c>
      <c r="Q503">
        <v>46.88</v>
      </c>
      <c r="R503">
        <v>49.37</v>
      </c>
      <c r="S503">
        <v>31.35</v>
      </c>
      <c r="T503">
        <v>0.78</v>
      </c>
      <c r="U503" t="s">
        <v>848</v>
      </c>
    </row>
    <row r="504" spans="1:21">
      <c r="A504" t="str">
        <f>"002029"</f>
        <v>002029</v>
      </c>
      <c r="B504" t="s">
        <v>1151</v>
      </c>
      <c r="C504">
        <v>0.17</v>
      </c>
      <c r="D504">
        <v>5.89</v>
      </c>
      <c r="E504">
        <v>0.01</v>
      </c>
      <c r="F504">
        <v>5.88</v>
      </c>
      <c r="G504">
        <v>5.89</v>
      </c>
      <c r="H504">
        <v>28444</v>
      </c>
      <c r="I504">
        <v>224</v>
      </c>
      <c r="J504">
        <v>0.17</v>
      </c>
      <c r="K504">
        <v>0.39</v>
      </c>
      <c r="L504">
        <v>1671.87</v>
      </c>
      <c r="M504" t="s">
        <v>1152</v>
      </c>
      <c r="N504" t="s">
        <v>1061</v>
      </c>
      <c r="O504">
        <v>5.86</v>
      </c>
      <c r="P504">
        <v>5.95</v>
      </c>
      <c r="Q504">
        <v>5.84</v>
      </c>
      <c r="R504">
        <v>5.88</v>
      </c>
      <c r="S504">
        <v>37.67</v>
      </c>
      <c r="T504">
        <v>0.47</v>
      </c>
      <c r="U504" t="s">
        <v>339</v>
      </c>
    </row>
    <row r="505" spans="1:21">
      <c r="A505" t="str">
        <f>"002030"</f>
        <v>002030</v>
      </c>
      <c r="B505" t="s">
        <v>1153</v>
      </c>
      <c r="C505">
        <v>0.37</v>
      </c>
      <c r="D505">
        <v>18.88</v>
      </c>
      <c r="E505">
        <v>0.07</v>
      </c>
      <c r="F505">
        <v>18.88</v>
      </c>
      <c r="G505">
        <v>18.89</v>
      </c>
      <c r="H505">
        <v>100720</v>
      </c>
      <c r="I505">
        <v>1587</v>
      </c>
      <c r="J505">
        <v>-0.04</v>
      </c>
      <c r="K505">
        <v>0.73</v>
      </c>
      <c r="L505">
        <v>18998.84</v>
      </c>
      <c r="M505" t="s">
        <v>1154</v>
      </c>
      <c r="N505" t="s">
        <v>231</v>
      </c>
      <c r="O505">
        <v>18.81</v>
      </c>
      <c r="P505">
        <v>18.94</v>
      </c>
      <c r="Q505">
        <v>18.8</v>
      </c>
      <c r="R505">
        <v>18.81</v>
      </c>
      <c r="S505">
        <v>7.87</v>
      </c>
      <c r="T505">
        <v>0.62</v>
      </c>
      <c r="U505" t="s">
        <v>183</v>
      </c>
    </row>
    <row r="506" spans="1:21">
      <c r="A506" t="str">
        <f>"002031"</f>
        <v>002031</v>
      </c>
      <c r="B506" t="s">
        <v>1155</v>
      </c>
      <c r="C506">
        <v>0</v>
      </c>
      <c r="D506">
        <v>1.97</v>
      </c>
      <c r="E506">
        <v>0</v>
      </c>
      <c r="F506">
        <v>1.97</v>
      </c>
      <c r="G506">
        <v>1.98</v>
      </c>
      <c r="H506">
        <v>268352</v>
      </c>
      <c r="I506">
        <v>1552</v>
      </c>
      <c r="J506">
        <v>0</v>
      </c>
      <c r="K506">
        <v>1.44</v>
      </c>
      <c r="L506">
        <v>5249.25</v>
      </c>
      <c r="M506" t="s">
        <v>1156</v>
      </c>
      <c r="N506" t="s">
        <v>91</v>
      </c>
      <c r="O506">
        <v>1.96</v>
      </c>
      <c r="P506">
        <v>1.98</v>
      </c>
      <c r="Q506">
        <v>1.93</v>
      </c>
      <c r="R506">
        <v>1.97</v>
      </c>
      <c r="S506">
        <v>305.42</v>
      </c>
      <c r="T506">
        <v>1.18</v>
      </c>
      <c r="U506" t="s">
        <v>183</v>
      </c>
    </row>
    <row r="507" spans="1:21">
      <c r="A507" t="str">
        <f>"002032"</f>
        <v>002032</v>
      </c>
      <c r="B507" t="s">
        <v>1157</v>
      </c>
      <c r="C507">
        <v>0.23</v>
      </c>
      <c r="D507">
        <v>62.34</v>
      </c>
      <c r="E507">
        <v>0.14</v>
      </c>
      <c r="F507">
        <v>62.33</v>
      </c>
      <c r="G507">
        <v>62.34</v>
      </c>
      <c r="H507">
        <v>24214</v>
      </c>
      <c r="I507">
        <v>416</v>
      </c>
      <c r="J507">
        <v>0.16</v>
      </c>
      <c r="K507">
        <v>0.4</v>
      </c>
      <c r="L507">
        <v>14964.93</v>
      </c>
      <c r="M507" t="s">
        <v>1158</v>
      </c>
      <c r="N507" t="s">
        <v>60</v>
      </c>
      <c r="O507">
        <v>61.46</v>
      </c>
      <c r="P507">
        <v>62.55</v>
      </c>
      <c r="Q507">
        <v>60.5</v>
      </c>
      <c r="R507">
        <v>62.2</v>
      </c>
      <c r="S507">
        <v>30.47</v>
      </c>
      <c r="T507">
        <v>0.41</v>
      </c>
      <c r="U507" t="s">
        <v>200</v>
      </c>
    </row>
    <row r="508" spans="1:21">
      <c r="A508" t="str">
        <f>"002033"</f>
        <v>002033</v>
      </c>
      <c r="B508" t="s">
        <v>1159</v>
      </c>
      <c r="C508">
        <v>0.5</v>
      </c>
      <c r="D508">
        <v>6.01</v>
      </c>
      <c r="E508">
        <v>0.03</v>
      </c>
      <c r="F508">
        <v>6</v>
      </c>
      <c r="G508">
        <v>6.01</v>
      </c>
      <c r="H508">
        <v>23233</v>
      </c>
      <c r="I508">
        <v>311</v>
      </c>
      <c r="J508">
        <v>0.17</v>
      </c>
      <c r="K508">
        <v>0.42</v>
      </c>
      <c r="L508">
        <v>1388.2</v>
      </c>
      <c r="M508" t="s">
        <v>1160</v>
      </c>
      <c r="N508" t="s">
        <v>162</v>
      </c>
      <c r="O508">
        <v>5.95</v>
      </c>
      <c r="P508">
        <v>6.02</v>
      </c>
      <c r="Q508">
        <v>5.92</v>
      </c>
      <c r="R508">
        <v>5.98</v>
      </c>
      <c r="S508">
        <v>226</v>
      </c>
      <c r="T508">
        <v>0.63</v>
      </c>
      <c r="U508" t="s">
        <v>363</v>
      </c>
    </row>
    <row r="509" spans="1:21">
      <c r="A509" t="str">
        <f>"002034"</f>
        <v>002034</v>
      </c>
      <c r="B509" t="s">
        <v>1161</v>
      </c>
      <c r="C509">
        <v>0.37</v>
      </c>
      <c r="D509">
        <v>16.38</v>
      </c>
      <c r="E509">
        <v>0.06</v>
      </c>
      <c r="F509">
        <v>16.38</v>
      </c>
      <c r="G509">
        <v>16.39</v>
      </c>
      <c r="H509">
        <v>29287</v>
      </c>
      <c r="I509">
        <v>143</v>
      </c>
      <c r="J509">
        <v>0.06</v>
      </c>
      <c r="K509">
        <v>0.69</v>
      </c>
      <c r="L509">
        <v>4775.9</v>
      </c>
      <c r="M509" t="s">
        <v>1162</v>
      </c>
      <c r="N509" t="s">
        <v>33</v>
      </c>
      <c r="O509">
        <v>16.23</v>
      </c>
      <c r="P509">
        <v>16.41</v>
      </c>
      <c r="Q509">
        <v>16.12</v>
      </c>
      <c r="R509">
        <v>16.32</v>
      </c>
      <c r="S509">
        <v>10.91</v>
      </c>
      <c r="T509">
        <v>0.79</v>
      </c>
      <c r="U509" t="s">
        <v>200</v>
      </c>
    </row>
    <row r="510" spans="1:21">
      <c r="A510" t="str">
        <f>"002035"</f>
        <v>002035</v>
      </c>
      <c r="B510" t="s">
        <v>1163</v>
      </c>
      <c r="C510">
        <v>0.84</v>
      </c>
      <c r="D510">
        <v>5.99</v>
      </c>
      <c r="E510">
        <v>0.05</v>
      </c>
      <c r="F510">
        <v>5.99</v>
      </c>
      <c r="G510">
        <v>6</v>
      </c>
      <c r="H510">
        <v>57468</v>
      </c>
      <c r="I510">
        <v>1146</v>
      </c>
      <c r="J510">
        <v>0.17</v>
      </c>
      <c r="K510">
        <v>0.75</v>
      </c>
      <c r="L510">
        <v>3423.55</v>
      </c>
      <c r="M510" t="s">
        <v>1164</v>
      </c>
      <c r="N510" t="s">
        <v>60</v>
      </c>
      <c r="O510">
        <v>5.94</v>
      </c>
      <c r="P510">
        <v>5.99</v>
      </c>
      <c r="Q510">
        <v>5.9</v>
      </c>
      <c r="R510">
        <v>5.94</v>
      </c>
      <c r="S510">
        <v>13.72</v>
      </c>
      <c r="T510">
        <v>0.79</v>
      </c>
      <c r="U510" t="s">
        <v>183</v>
      </c>
    </row>
    <row r="511" spans="1:21">
      <c r="A511" t="str">
        <f>"002036"</f>
        <v>002036</v>
      </c>
      <c r="B511" t="s">
        <v>1165</v>
      </c>
      <c r="C511">
        <v>10.01</v>
      </c>
      <c r="D511">
        <v>23.52</v>
      </c>
      <c r="E511">
        <v>2.14</v>
      </c>
      <c r="F511">
        <v>23.52</v>
      </c>
      <c r="G511" t="s">
        <v>40</v>
      </c>
      <c r="H511">
        <v>692362</v>
      </c>
      <c r="I511">
        <v>788</v>
      </c>
      <c r="J511">
        <v>0</v>
      </c>
      <c r="K511">
        <v>6.62</v>
      </c>
      <c r="L511">
        <v>158399.77</v>
      </c>
      <c r="M511" t="s">
        <v>1166</v>
      </c>
      <c r="N511" t="s">
        <v>69</v>
      </c>
      <c r="O511">
        <v>21.18</v>
      </c>
      <c r="P511">
        <v>23.52</v>
      </c>
      <c r="Q511">
        <v>21.13</v>
      </c>
      <c r="R511">
        <v>21.38</v>
      </c>
      <c r="S511">
        <v>99.59</v>
      </c>
      <c r="T511">
        <v>1.93</v>
      </c>
      <c r="U511" t="s">
        <v>235</v>
      </c>
    </row>
    <row r="512" spans="1:21">
      <c r="A512" t="str">
        <f>"002037"</f>
        <v>002037</v>
      </c>
      <c r="B512" t="s">
        <v>1167</v>
      </c>
      <c r="C512">
        <v>3.87</v>
      </c>
      <c r="D512">
        <v>6.98</v>
      </c>
      <c r="E512">
        <v>0.26</v>
      </c>
      <c r="F512">
        <v>6.97</v>
      </c>
      <c r="G512">
        <v>6.98</v>
      </c>
      <c r="H512">
        <v>65037</v>
      </c>
      <c r="I512">
        <v>1278</v>
      </c>
      <c r="J512">
        <v>0.14</v>
      </c>
      <c r="K512">
        <v>1.99</v>
      </c>
      <c r="L512">
        <v>4452.16</v>
      </c>
      <c r="M512" t="s">
        <v>1168</v>
      </c>
      <c r="N512" t="s">
        <v>309</v>
      </c>
      <c r="O512">
        <v>6.75</v>
      </c>
      <c r="P512">
        <v>6.98</v>
      </c>
      <c r="Q512">
        <v>6.6</v>
      </c>
      <c r="R512">
        <v>6.72</v>
      </c>
      <c r="S512">
        <v>38.03</v>
      </c>
      <c r="T512">
        <v>1.43</v>
      </c>
      <c r="U512" t="s">
        <v>368</v>
      </c>
    </row>
    <row r="513" spans="1:21">
      <c r="A513" t="str">
        <f>"002038"</f>
        <v>002038</v>
      </c>
      <c r="B513" t="s">
        <v>1169</v>
      </c>
      <c r="C513">
        <v>0.1</v>
      </c>
      <c r="D513">
        <v>9.6</v>
      </c>
      <c r="E513">
        <v>0.01</v>
      </c>
      <c r="F513">
        <v>9.59</v>
      </c>
      <c r="G513">
        <v>9.6</v>
      </c>
      <c r="H513">
        <v>48682</v>
      </c>
      <c r="I513">
        <v>279</v>
      </c>
      <c r="J513">
        <v>0.1</v>
      </c>
      <c r="K513">
        <v>0.57</v>
      </c>
      <c r="L513">
        <v>4660.69</v>
      </c>
      <c r="M513" t="s">
        <v>1170</v>
      </c>
      <c r="N513" t="s">
        <v>231</v>
      </c>
      <c r="O513">
        <v>9.55</v>
      </c>
      <c r="P513">
        <v>9.63</v>
      </c>
      <c r="Q513">
        <v>9.5</v>
      </c>
      <c r="R513">
        <v>9.59</v>
      </c>
      <c r="S513">
        <v>16.97</v>
      </c>
      <c r="T513">
        <v>0.71</v>
      </c>
      <c r="U513" t="s">
        <v>44</v>
      </c>
    </row>
    <row r="514" spans="1:21">
      <c r="A514" t="str">
        <f>"002039"</f>
        <v>002039</v>
      </c>
      <c r="B514" t="s">
        <v>1171</v>
      </c>
      <c r="C514">
        <v>2.36</v>
      </c>
      <c r="D514">
        <v>18.18</v>
      </c>
      <c r="E514">
        <v>0.42</v>
      </c>
      <c r="F514">
        <v>18.18</v>
      </c>
      <c r="G514">
        <v>18.19</v>
      </c>
      <c r="H514">
        <v>58398</v>
      </c>
      <c r="I514">
        <v>915</v>
      </c>
      <c r="J514">
        <v>0.28</v>
      </c>
      <c r="K514">
        <v>1.91</v>
      </c>
      <c r="L514">
        <v>10549.36</v>
      </c>
      <c r="M514" t="s">
        <v>1172</v>
      </c>
      <c r="N514" t="s">
        <v>472</v>
      </c>
      <c r="O514">
        <v>17.9</v>
      </c>
      <c r="P514">
        <v>18.27</v>
      </c>
      <c r="Q514">
        <v>17.73</v>
      </c>
      <c r="R514">
        <v>17.76</v>
      </c>
      <c r="S514">
        <v>13.25</v>
      </c>
      <c r="T514">
        <v>1.11</v>
      </c>
      <c r="U514" t="s">
        <v>368</v>
      </c>
    </row>
    <row r="515" spans="1:21">
      <c r="A515" t="str">
        <f>"002040"</f>
        <v>002040</v>
      </c>
      <c r="B515" t="s">
        <v>1173</v>
      </c>
      <c r="C515">
        <v>-0.17</v>
      </c>
      <c r="D515">
        <v>5.96</v>
      </c>
      <c r="E515">
        <v>-0.01</v>
      </c>
      <c r="F515">
        <v>5.96</v>
      </c>
      <c r="G515">
        <v>5.97</v>
      </c>
      <c r="H515">
        <v>19758</v>
      </c>
      <c r="I515">
        <v>168</v>
      </c>
      <c r="J515">
        <v>-0.16</v>
      </c>
      <c r="K515">
        <v>0.41</v>
      </c>
      <c r="L515">
        <v>1174.32</v>
      </c>
      <c r="M515" t="s">
        <v>1174</v>
      </c>
      <c r="N515" t="s">
        <v>169</v>
      </c>
      <c r="O515">
        <v>5.96</v>
      </c>
      <c r="P515">
        <v>5.98</v>
      </c>
      <c r="Q515">
        <v>5.92</v>
      </c>
      <c r="R515">
        <v>5.97</v>
      </c>
      <c r="S515">
        <v>18.39</v>
      </c>
      <c r="T515">
        <v>0.99</v>
      </c>
      <c r="U515" t="s">
        <v>102</v>
      </c>
    </row>
    <row r="516" spans="1:21">
      <c r="A516" t="str">
        <f>"002041"</f>
        <v>002041</v>
      </c>
      <c r="B516" t="s">
        <v>1175</v>
      </c>
      <c r="C516">
        <v>0.48</v>
      </c>
      <c r="D516">
        <v>25.36</v>
      </c>
      <c r="E516">
        <v>0.12</v>
      </c>
      <c r="F516">
        <v>25.35</v>
      </c>
      <c r="G516">
        <v>25.36</v>
      </c>
      <c r="H516">
        <v>244777</v>
      </c>
      <c r="I516">
        <v>4004</v>
      </c>
      <c r="J516">
        <v>-0.07</v>
      </c>
      <c r="K516">
        <v>2.78</v>
      </c>
      <c r="L516">
        <v>62275.91</v>
      </c>
      <c r="M516" t="s">
        <v>1176</v>
      </c>
      <c r="N516" t="s">
        <v>639</v>
      </c>
      <c r="O516">
        <v>25.18</v>
      </c>
      <c r="P516">
        <v>26.18</v>
      </c>
      <c r="Q516">
        <v>24.82</v>
      </c>
      <c r="R516">
        <v>25.24</v>
      </c>
      <c r="S516">
        <v>143.34</v>
      </c>
      <c r="T516">
        <v>0.62</v>
      </c>
      <c r="U516" t="s">
        <v>221</v>
      </c>
    </row>
    <row r="517" spans="1:21">
      <c r="A517" t="str">
        <f>"002042"</f>
        <v>002042</v>
      </c>
      <c r="B517" t="s">
        <v>1177</v>
      </c>
      <c r="C517">
        <v>1.58</v>
      </c>
      <c r="D517">
        <v>4.51</v>
      </c>
      <c r="E517">
        <v>0.07</v>
      </c>
      <c r="F517">
        <v>4.5</v>
      </c>
      <c r="G517">
        <v>4.51</v>
      </c>
      <c r="H517">
        <v>117758</v>
      </c>
      <c r="I517">
        <v>1785</v>
      </c>
      <c r="J517">
        <v>0.22</v>
      </c>
      <c r="K517">
        <v>0.78</v>
      </c>
      <c r="L517">
        <v>5263.71</v>
      </c>
      <c r="M517" t="s">
        <v>1178</v>
      </c>
      <c r="N517" t="s">
        <v>664</v>
      </c>
      <c r="O517">
        <v>4.44</v>
      </c>
      <c r="P517">
        <v>4.51</v>
      </c>
      <c r="Q517">
        <v>4.4</v>
      </c>
      <c r="R517">
        <v>4.44</v>
      </c>
      <c r="S517">
        <v>13.62</v>
      </c>
      <c r="T517">
        <v>0.78</v>
      </c>
      <c r="U517" t="s">
        <v>193</v>
      </c>
    </row>
    <row r="518" spans="1:21">
      <c r="A518" t="str">
        <f>"002043"</f>
        <v>002043</v>
      </c>
      <c r="B518" t="s">
        <v>1179</v>
      </c>
      <c r="C518">
        <v>2.18</v>
      </c>
      <c r="D518">
        <v>8.91</v>
      </c>
      <c r="E518">
        <v>0.19</v>
      </c>
      <c r="F518">
        <v>8.9</v>
      </c>
      <c r="G518">
        <v>8.91</v>
      </c>
      <c r="H518">
        <v>77886</v>
      </c>
      <c r="I518">
        <v>1373</v>
      </c>
      <c r="J518">
        <v>0</v>
      </c>
      <c r="K518">
        <v>1.12</v>
      </c>
      <c r="L518">
        <v>6869.43</v>
      </c>
      <c r="M518" t="s">
        <v>1180</v>
      </c>
      <c r="N518" t="s">
        <v>131</v>
      </c>
      <c r="O518">
        <v>8.75</v>
      </c>
      <c r="P518">
        <v>8.93</v>
      </c>
      <c r="Q518">
        <v>8.68</v>
      </c>
      <c r="R518">
        <v>8.72</v>
      </c>
      <c r="S518">
        <v>9.5</v>
      </c>
      <c r="T518">
        <v>0.91</v>
      </c>
      <c r="U518" t="s">
        <v>200</v>
      </c>
    </row>
    <row r="519" spans="1:21">
      <c r="A519" t="str">
        <f>"002044"</f>
        <v>002044</v>
      </c>
      <c r="B519" t="s">
        <v>1181</v>
      </c>
      <c r="C519">
        <v>1.43</v>
      </c>
      <c r="D519">
        <v>7.78</v>
      </c>
      <c r="E519">
        <v>0.11</v>
      </c>
      <c r="F519">
        <v>7.77</v>
      </c>
      <c r="G519">
        <v>7.78</v>
      </c>
      <c r="H519">
        <v>304719</v>
      </c>
      <c r="I519">
        <v>5210</v>
      </c>
      <c r="J519">
        <v>0.13</v>
      </c>
      <c r="K519">
        <v>0.79</v>
      </c>
      <c r="L519">
        <v>23585.37</v>
      </c>
      <c r="M519" t="s">
        <v>1182</v>
      </c>
      <c r="N519" t="s">
        <v>186</v>
      </c>
      <c r="O519">
        <v>7.65</v>
      </c>
      <c r="P519">
        <v>7.8</v>
      </c>
      <c r="Q519">
        <v>7.63</v>
      </c>
      <c r="R519">
        <v>7.67</v>
      </c>
      <c r="S519" t="s">
        <v>40</v>
      </c>
      <c r="T519">
        <v>0.56</v>
      </c>
      <c r="U519" t="s">
        <v>102</v>
      </c>
    </row>
    <row r="520" spans="1:21">
      <c r="A520" t="str">
        <f>"002045"</f>
        <v>002045</v>
      </c>
      <c r="B520" t="s">
        <v>1183</v>
      </c>
      <c r="C520">
        <v>9.99</v>
      </c>
      <c r="D520">
        <v>15.09</v>
      </c>
      <c r="E520">
        <v>1.37</v>
      </c>
      <c r="F520">
        <v>15.09</v>
      </c>
      <c r="G520" t="s">
        <v>40</v>
      </c>
      <c r="H520">
        <v>851877</v>
      </c>
      <c r="I520">
        <v>352</v>
      </c>
      <c r="J520">
        <v>0</v>
      </c>
      <c r="K520">
        <v>18.21</v>
      </c>
      <c r="L520">
        <v>126985.7</v>
      </c>
      <c r="M520" t="s">
        <v>1184</v>
      </c>
      <c r="N520" t="s">
        <v>69</v>
      </c>
      <c r="O520">
        <v>13.96</v>
      </c>
      <c r="P520">
        <v>15.09</v>
      </c>
      <c r="Q520">
        <v>13.77</v>
      </c>
      <c r="R520">
        <v>13.72</v>
      </c>
      <c r="S520">
        <v>44.4</v>
      </c>
      <c r="T520">
        <v>1.19</v>
      </c>
      <c r="U520" t="s">
        <v>183</v>
      </c>
    </row>
    <row r="521" spans="1:21">
      <c r="A521" t="str">
        <f>"002046"</f>
        <v>002046</v>
      </c>
      <c r="B521" t="s">
        <v>1185</v>
      </c>
      <c r="C521">
        <v>-0.97</v>
      </c>
      <c r="D521">
        <v>17.43</v>
      </c>
      <c r="E521">
        <v>-0.17</v>
      </c>
      <c r="F521">
        <v>17.43</v>
      </c>
      <c r="G521">
        <v>17.44</v>
      </c>
      <c r="H521">
        <v>154423</v>
      </c>
      <c r="I521">
        <v>2314</v>
      </c>
      <c r="J521">
        <v>-0.16</v>
      </c>
      <c r="K521">
        <v>2.95</v>
      </c>
      <c r="L521">
        <v>26910.43</v>
      </c>
      <c r="M521" t="s">
        <v>1186</v>
      </c>
      <c r="N521" t="s">
        <v>347</v>
      </c>
      <c r="O521">
        <v>17.51</v>
      </c>
      <c r="P521">
        <v>17.76</v>
      </c>
      <c r="Q521">
        <v>17.05</v>
      </c>
      <c r="R521">
        <v>17.6</v>
      </c>
      <c r="S521">
        <v>39.36</v>
      </c>
      <c r="T521">
        <v>0.56</v>
      </c>
      <c r="U521" t="s">
        <v>224</v>
      </c>
    </row>
    <row r="522" spans="1:21">
      <c r="A522" t="str">
        <f>"002047"</f>
        <v>002047</v>
      </c>
      <c r="B522" t="s">
        <v>1187</v>
      </c>
      <c r="C522">
        <v>-3.34</v>
      </c>
      <c r="D522">
        <v>3.47</v>
      </c>
      <c r="E522">
        <v>-0.12</v>
      </c>
      <c r="F522">
        <v>3.47</v>
      </c>
      <c r="G522">
        <v>3.48</v>
      </c>
      <c r="H522">
        <v>1427654</v>
      </c>
      <c r="I522">
        <v>42764</v>
      </c>
      <c r="J522">
        <v>-0.85</v>
      </c>
      <c r="K522">
        <v>10.69</v>
      </c>
      <c r="L522">
        <v>51057.65</v>
      </c>
      <c r="M522" t="s">
        <v>1188</v>
      </c>
      <c r="N522" t="s">
        <v>1189</v>
      </c>
      <c r="O522">
        <v>3.5</v>
      </c>
      <c r="P522">
        <v>3.73</v>
      </c>
      <c r="Q522">
        <v>3.47</v>
      </c>
      <c r="R522">
        <v>3.59</v>
      </c>
      <c r="S522">
        <v>619.42</v>
      </c>
      <c r="T522">
        <v>0.97</v>
      </c>
      <c r="U522" t="s">
        <v>24</v>
      </c>
    </row>
    <row r="523" spans="1:21">
      <c r="A523" t="str">
        <f>"002048"</f>
        <v>002048</v>
      </c>
      <c r="B523" t="s">
        <v>1190</v>
      </c>
      <c r="C523">
        <v>3.72</v>
      </c>
      <c r="D523">
        <v>24.53</v>
      </c>
      <c r="E523">
        <v>0.88</v>
      </c>
      <c r="F523">
        <v>24.53</v>
      </c>
      <c r="G523">
        <v>24.54</v>
      </c>
      <c r="H523">
        <v>228830</v>
      </c>
      <c r="I523">
        <v>3766</v>
      </c>
      <c r="J523">
        <v>0</v>
      </c>
      <c r="K523">
        <v>4.1</v>
      </c>
      <c r="L523">
        <v>55382.98</v>
      </c>
      <c r="M523" t="s">
        <v>1191</v>
      </c>
      <c r="N523" t="s">
        <v>91</v>
      </c>
      <c r="O523">
        <v>23.75</v>
      </c>
      <c r="P523">
        <v>24.95</v>
      </c>
      <c r="Q523">
        <v>23.37</v>
      </c>
      <c r="R523">
        <v>23.65</v>
      </c>
      <c r="S523">
        <v>12.22</v>
      </c>
      <c r="T523">
        <v>1.21</v>
      </c>
      <c r="U523" t="s">
        <v>200</v>
      </c>
    </row>
    <row r="524" spans="1:21">
      <c r="A524" t="str">
        <f>"002049"</f>
        <v>002049</v>
      </c>
      <c r="B524" t="s">
        <v>1192</v>
      </c>
      <c r="C524">
        <v>-1.01</v>
      </c>
      <c r="D524">
        <v>208.7</v>
      </c>
      <c r="E524">
        <v>-2.12</v>
      </c>
      <c r="F524">
        <v>208.7</v>
      </c>
      <c r="G524">
        <v>208.75</v>
      </c>
      <c r="H524">
        <v>65179</v>
      </c>
      <c r="I524">
        <v>379</v>
      </c>
      <c r="J524">
        <v>-0.13</v>
      </c>
      <c r="K524">
        <v>1.07</v>
      </c>
      <c r="L524">
        <v>135930.1</v>
      </c>
      <c r="M524" t="s">
        <v>1193</v>
      </c>
      <c r="N524" t="s">
        <v>69</v>
      </c>
      <c r="O524">
        <v>212</v>
      </c>
      <c r="P524">
        <v>212.5</v>
      </c>
      <c r="Q524">
        <v>205</v>
      </c>
      <c r="R524">
        <v>210.82</v>
      </c>
      <c r="S524">
        <v>65.17</v>
      </c>
      <c r="T524">
        <v>0.86</v>
      </c>
      <c r="U524" t="s">
        <v>207</v>
      </c>
    </row>
    <row r="525" spans="1:21">
      <c r="A525" t="str">
        <f>"002050"</f>
        <v>002050</v>
      </c>
      <c r="B525" t="s">
        <v>1194</v>
      </c>
      <c r="C525">
        <v>1.08</v>
      </c>
      <c r="D525">
        <v>23.49</v>
      </c>
      <c r="E525">
        <v>0.25</v>
      </c>
      <c r="F525">
        <v>23.49</v>
      </c>
      <c r="G525">
        <v>23.5</v>
      </c>
      <c r="H525">
        <v>223911</v>
      </c>
      <c r="I525">
        <v>1666</v>
      </c>
      <c r="J525">
        <v>0.04</v>
      </c>
      <c r="K525">
        <v>0.63</v>
      </c>
      <c r="L525">
        <v>52412.03</v>
      </c>
      <c r="M525" t="s">
        <v>1195</v>
      </c>
      <c r="N525" t="s">
        <v>60</v>
      </c>
      <c r="O525">
        <v>23.2</v>
      </c>
      <c r="P525">
        <v>23.75</v>
      </c>
      <c r="Q525">
        <v>23.04</v>
      </c>
      <c r="R525">
        <v>23.24</v>
      </c>
      <c r="S525">
        <v>48.93</v>
      </c>
      <c r="T525">
        <v>0.55</v>
      </c>
      <c r="U525" t="s">
        <v>200</v>
      </c>
    </row>
    <row r="526" spans="1:21">
      <c r="A526" t="str">
        <f>"002051"</f>
        <v>002051</v>
      </c>
      <c r="B526" t="s">
        <v>1196</v>
      </c>
      <c r="C526">
        <v>1.34</v>
      </c>
      <c r="D526">
        <v>6.81</v>
      </c>
      <c r="E526">
        <v>0.09</v>
      </c>
      <c r="F526">
        <v>6.81</v>
      </c>
      <c r="G526">
        <v>6.82</v>
      </c>
      <c r="H526">
        <v>45081</v>
      </c>
      <c r="I526">
        <v>686</v>
      </c>
      <c r="J526">
        <v>0</v>
      </c>
      <c r="K526">
        <v>0.41</v>
      </c>
      <c r="L526">
        <v>3043.2</v>
      </c>
      <c r="M526" t="s">
        <v>1197</v>
      </c>
      <c r="N526" t="s">
        <v>50</v>
      </c>
      <c r="O526">
        <v>6.71</v>
      </c>
      <c r="P526">
        <v>6.85</v>
      </c>
      <c r="Q526">
        <v>6.66</v>
      </c>
      <c r="R526">
        <v>6.72</v>
      </c>
      <c r="S526">
        <v>27.27</v>
      </c>
      <c r="T526">
        <v>1.04</v>
      </c>
      <c r="U526" t="s">
        <v>44</v>
      </c>
    </row>
    <row r="527" spans="1:21">
      <c r="A527" t="str">
        <f>"002052"</f>
        <v>002052</v>
      </c>
      <c r="B527" t="s">
        <v>1198</v>
      </c>
      <c r="C527">
        <v>0</v>
      </c>
      <c r="D527">
        <v>2.34</v>
      </c>
      <c r="E527">
        <v>0</v>
      </c>
      <c r="F527">
        <v>2.33</v>
      </c>
      <c r="G527">
        <v>2.34</v>
      </c>
      <c r="H527">
        <v>31100</v>
      </c>
      <c r="I527">
        <v>154</v>
      </c>
      <c r="J527">
        <v>0.43</v>
      </c>
      <c r="K527">
        <v>0.42</v>
      </c>
      <c r="L527">
        <v>721.15</v>
      </c>
      <c r="M527" t="s">
        <v>1199</v>
      </c>
      <c r="N527" t="s">
        <v>60</v>
      </c>
      <c r="O527">
        <v>2.34</v>
      </c>
      <c r="P527">
        <v>2.34</v>
      </c>
      <c r="Q527">
        <v>2.3</v>
      </c>
      <c r="R527">
        <v>2.34</v>
      </c>
      <c r="S527" t="s">
        <v>40</v>
      </c>
      <c r="T527">
        <v>0.84</v>
      </c>
      <c r="U527" t="s">
        <v>24</v>
      </c>
    </row>
    <row r="528" spans="1:21">
      <c r="A528" t="str">
        <f>"002053"</f>
        <v>002053</v>
      </c>
      <c r="B528" t="s">
        <v>1200</v>
      </c>
      <c r="C528">
        <v>0.34</v>
      </c>
      <c r="D528">
        <v>8.74</v>
      </c>
      <c r="E528">
        <v>0.03</v>
      </c>
      <c r="F528">
        <v>8.73</v>
      </c>
      <c r="G528">
        <v>8.74</v>
      </c>
      <c r="H528">
        <v>36582</v>
      </c>
      <c r="I528">
        <v>732</v>
      </c>
      <c r="J528">
        <v>-0.22</v>
      </c>
      <c r="K528">
        <v>0.66</v>
      </c>
      <c r="L528">
        <v>3169.24</v>
      </c>
      <c r="M528" t="s">
        <v>1201</v>
      </c>
      <c r="N528" t="s">
        <v>299</v>
      </c>
      <c r="O528">
        <v>8.64</v>
      </c>
      <c r="P528">
        <v>8.76</v>
      </c>
      <c r="Q528">
        <v>8.56</v>
      </c>
      <c r="R528">
        <v>8.71</v>
      </c>
      <c r="S528">
        <v>42.67</v>
      </c>
      <c r="T528">
        <v>0.87</v>
      </c>
      <c r="U528" t="s">
        <v>363</v>
      </c>
    </row>
    <row r="529" spans="1:21">
      <c r="A529" t="str">
        <f>"002054"</f>
        <v>002054</v>
      </c>
      <c r="B529" t="s">
        <v>1202</v>
      </c>
      <c r="C529">
        <v>-0.88</v>
      </c>
      <c r="D529">
        <v>9.04</v>
      </c>
      <c r="E529">
        <v>-0.08</v>
      </c>
      <c r="F529">
        <v>9.04</v>
      </c>
      <c r="G529">
        <v>9.05</v>
      </c>
      <c r="H529">
        <v>39089</v>
      </c>
      <c r="I529">
        <v>523</v>
      </c>
      <c r="J529">
        <v>0.11</v>
      </c>
      <c r="K529">
        <v>1.07</v>
      </c>
      <c r="L529">
        <v>3528.98</v>
      </c>
      <c r="M529" t="s">
        <v>1203</v>
      </c>
      <c r="N529" t="s">
        <v>309</v>
      </c>
      <c r="O529">
        <v>9.13</v>
      </c>
      <c r="P529">
        <v>9.13</v>
      </c>
      <c r="Q529">
        <v>8.96</v>
      </c>
      <c r="R529">
        <v>9.12</v>
      </c>
      <c r="S529">
        <v>19.65</v>
      </c>
      <c r="T529">
        <v>1.26</v>
      </c>
      <c r="U529" t="s">
        <v>183</v>
      </c>
    </row>
    <row r="530" spans="1:21">
      <c r="A530" t="str">
        <f>"002055"</f>
        <v>002055</v>
      </c>
      <c r="B530" t="s">
        <v>1204</v>
      </c>
      <c r="C530">
        <v>5.2</v>
      </c>
      <c r="D530">
        <v>12.34</v>
      </c>
      <c r="E530">
        <v>0.61</v>
      </c>
      <c r="F530">
        <v>12.33</v>
      </c>
      <c r="G530">
        <v>12.34</v>
      </c>
      <c r="H530">
        <v>237824</v>
      </c>
      <c r="I530">
        <v>2415</v>
      </c>
      <c r="J530">
        <v>0.16</v>
      </c>
      <c r="K530">
        <v>5.57</v>
      </c>
      <c r="L530">
        <v>28878.71</v>
      </c>
      <c r="M530" t="s">
        <v>1205</v>
      </c>
      <c r="N530" t="s">
        <v>69</v>
      </c>
      <c r="O530">
        <v>11.88</v>
      </c>
      <c r="P530">
        <v>12.45</v>
      </c>
      <c r="Q530">
        <v>11.73</v>
      </c>
      <c r="R530">
        <v>11.73</v>
      </c>
      <c r="S530" t="s">
        <v>40</v>
      </c>
      <c r="T530">
        <v>0.88</v>
      </c>
      <c r="U530" t="s">
        <v>24</v>
      </c>
    </row>
    <row r="531" spans="1:21">
      <c r="A531" t="str">
        <f>"002056"</f>
        <v>002056</v>
      </c>
      <c r="B531" t="s">
        <v>1206</v>
      </c>
      <c r="C531">
        <v>-7.56</v>
      </c>
      <c r="D531">
        <v>16.75</v>
      </c>
      <c r="E531">
        <v>-1.37</v>
      </c>
      <c r="F531">
        <v>16.75</v>
      </c>
      <c r="G531">
        <v>16.76</v>
      </c>
      <c r="H531">
        <v>1693837</v>
      </c>
      <c r="I531">
        <v>18954</v>
      </c>
      <c r="J531">
        <v>0.12</v>
      </c>
      <c r="K531">
        <v>10.56</v>
      </c>
      <c r="L531">
        <v>284882.66</v>
      </c>
      <c r="M531" t="s">
        <v>1207</v>
      </c>
      <c r="N531" t="s">
        <v>69</v>
      </c>
      <c r="O531">
        <v>17.84</v>
      </c>
      <c r="P531">
        <v>17.96</v>
      </c>
      <c r="Q531">
        <v>16.32</v>
      </c>
      <c r="R531">
        <v>18.12</v>
      </c>
      <c r="S531">
        <v>23.08</v>
      </c>
      <c r="T531">
        <v>1.66</v>
      </c>
      <c r="U531" t="s">
        <v>200</v>
      </c>
    </row>
    <row r="532" spans="1:21">
      <c r="A532" t="str">
        <f>"002057"</f>
        <v>002057</v>
      </c>
      <c r="B532" t="s">
        <v>1208</v>
      </c>
      <c r="C532">
        <v>-1.38</v>
      </c>
      <c r="D532">
        <v>8.58</v>
      </c>
      <c r="E532">
        <v>-0.12</v>
      </c>
      <c r="F532">
        <v>8.57</v>
      </c>
      <c r="G532">
        <v>8.58</v>
      </c>
      <c r="H532">
        <v>576960</v>
      </c>
      <c r="I532">
        <v>6043</v>
      </c>
      <c r="J532">
        <v>-0.34</v>
      </c>
      <c r="K532">
        <v>7.73</v>
      </c>
      <c r="L532">
        <v>49987.81</v>
      </c>
      <c r="M532" t="s">
        <v>1209</v>
      </c>
      <c r="N532" t="s">
        <v>69</v>
      </c>
      <c r="O532">
        <v>8.69</v>
      </c>
      <c r="P532">
        <v>9.01</v>
      </c>
      <c r="Q532">
        <v>8.46</v>
      </c>
      <c r="R532">
        <v>8.7</v>
      </c>
      <c r="S532">
        <v>31.11</v>
      </c>
      <c r="T532">
        <v>1.39</v>
      </c>
      <c r="U532" t="s">
        <v>193</v>
      </c>
    </row>
    <row r="533" spans="1:21">
      <c r="A533" t="str">
        <f>"002058"</f>
        <v>002058</v>
      </c>
      <c r="B533" t="s">
        <v>1210</v>
      </c>
      <c r="C533">
        <v>4.96</v>
      </c>
      <c r="D533">
        <v>9.53</v>
      </c>
      <c r="E533">
        <v>0.45</v>
      </c>
      <c r="F533">
        <v>9.53</v>
      </c>
      <c r="G533" t="s">
        <v>40</v>
      </c>
      <c r="H533">
        <v>17519</v>
      </c>
      <c r="I533">
        <v>15</v>
      </c>
      <c r="J533">
        <v>0</v>
      </c>
      <c r="K533">
        <v>1.22</v>
      </c>
      <c r="L533">
        <v>1640.66</v>
      </c>
      <c r="M533" t="s">
        <v>1211</v>
      </c>
      <c r="N533" t="s">
        <v>1028</v>
      </c>
      <c r="O533">
        <v>9.16</v>
      </c>
      <c r="P533">
        <v>9.53</v>
      </c>
      <c r="Q533">
        <v>9.06</v>
      </c>
      <c r="R533">
        <v>9.08</v>
      </c>
      <c r="S533">
        <v>249.59</v>
      </c>
      <c r="T533">
        <v>1.52</v>
      </c>
      <c r="U533" t="s">
        <v>848</v>
      </c>
    </row>
    <row r="534" spans="1:21">
      <c r="A534" t="str">
        <f>"002059"</f>
        <v>002059</v>
      </c>
      <c r="B534" t="s">
        <v>1212</v>
      </c>
      <c r="C534">
        <v>1.01</v>
      </c>
      <c r="D534">
        <v>4.98</v>
      </c>
      <c r="E534">
        <v>0.05</v>
      </c>
      <c r="F534">
        <v>4.98</v>
      </c>
      <c r="G534">
        <v>4.99</v>
      </c>
      <c r="H534">
        <v>18584</v>
      </c>
      <c r="I534">
        <v>727</v>
      </c>
      <c r="J534">
        <v>0.2</v>
      </c>
      <c r="K534">
        <v>0.25</v>
      </c>
      <c r="L534">
        <v>922.66</v>
      </c>
      <c r="M534" t="s">
        <v>1213</v>
      </c>
      <c r="N534" t="s">
        <v>162</v>
      </c>
      <c r="O534">
        <v>4.93</v>
      </c>
      <c r="P534">
        <v>4.99</v>
      </c>
      <c r="Q534">
        <v>4.93</v>
      </c>
      <c r="R534">
        <v>4.93</v>
      </c>
      <c r="S534" t="s">
        <v>40</v>
      </c>
      <c r="T534">
        <v>0.49</v>
      </c>
      <c r="U534" t="s">
        <v>363</v>
      </c>
    </row>
    <row r="535" spans="1:21">
      <c r="A535" t="str">
        <f>"002060"</f>
        <v>002060</v>
      </c>
      <c r="B535" t="s">
        <v>1214</v>
      </c>
      <c r="C535">
        <v>9.92</v>
      </c>
      <c r="D535">
        <v>5.21</v>
      </c>
      <c r="E535">
        <v>0.47</v>
      </c>
      <c r="F535">
        <v>5.21</v>
      </c>
      <c r="G535" t="s">
        <v>40</v>
      </c>
      <c r="H535">
        <v>466940</v>
      </c>
      <c r="I535">
        <v>572</v>
      </c>
      <c r="J535">
        <v>0</v>
      </c>
      <c r="K535">
        <v>3.88</v>
      </c>
      <c r="L535">
        <v>24307.15</v>
      </c>
      <c r="M535" t="s">
        <v>1215</v>
      </c>
      <c r="N535" t="s">
        <v>50</v>
      </c>
      <c r="O535">
        <v>5.21</v>
      </c>
      <c r="P535">
        <v>5.21</v>
      </c>
      <c r="Q535">
        <v>5.1</v>
      </c>
      <c r="R535">
        <v>4.74</v>
      </c>
      <c r="S535">
        <v>20.24</v>
      </c>
      <c r="T535">
        <v>1.5</v>
      </c>
      <c r="U535" t="s">
        <v>183</v>
      </c>
    </row>
    <row r="536" spans="1:21">
      <c r="A536" t="str">
        <f>"002061"</f>
        <v>002061</v>
      </c>
      <c r="B536" t="s">
        <v>1216</v>
      </c>
      <c r="C536">
        <v>0.96</v>
      </c>
      <c r="D536">
        <v>5.24</v>
      </c>
      <c r="E536">
        <v>0.05</v>
      </c>
      <c r="F536">
        <v>5.23</v>
      </c>
      <c r="G536">
        <v>5.24</v>
      </c>
      <c r="H536">
        <v>40032</v>
      </c>
      <c r="I536">
        <v>240</v>
      </c>
      <c r="J536">
        <v>0</v>
      </c>
      <c r="K536">
        <v>0.29</v>
      </c>
      <c r="L536">
        <v>2080.98</v>
      </c>
      <c r="M536" t="s">
        <v>1217</v>
      </c>
      <c r="N536" t="s">
        <v>50</v>
      </c>
      <c r="O536">
        <v>5.19</v>
      </c>
      <c r="P536">
        <v>5.25</v>
      </c>
      <c r="Q536">
        <v>5.15</v>
      </c>
      <c r="R536">
        <v>5.19</v>
      </c>
      <c r="S536">
        <v>8.09</v>
      </c>
      <c r="T536">
        <v>0.91</v>
      </c>
      <c r="U536" t="s">
        <v>200</v>
      </c>
    </row>
    <row r="537" spans="1:21">
      <c r="A537" t="str">
        <f>"002062"</f>
        <v>002062</v>
      </c>
      <c r="B537" t="s">
        <v>1218</v>
      </c>
      <c r="C537">
        <v>0</v>
      </c>
      <c r="D537">
        <v>3.96</v>
      </c>
      <c r="E537">
        <v>0</v>
      </c>
      <c r="F537">
        <v>3.95</v>
      </c>
      <c r="G537">
        <v>3.96</v>
      </c>
      <c r="H537">
        <v>37253</v>
      </c>
      <c r="I537">
        <v>180</v>
      </c>
      <c r="J537">
        <v>0.51</v>
      </c>
      <c r="K537">
        <v>0.38</v>
      </c>
      <c r="L537">
        <v>1465.92</v>
      </c>
      <c r="M537" t="s">
        <v>1219</v>
      </c>
      <c r="N537" t="s">
        <v>50</v>
      </c>
      <c r="O537">
        <v>3.94</v>
      </c>
      <c r="P537">
        <v>3.96</v>
      </c>
      <c r="Q537">
        <v>3.91</v>
      </c>
      <c r="R537">
        <v>3.96</v>
      </c>
      <c r="S537">
        <v>12.24</v>
      </c>
      <c r="T537">
        <v>1.03</v>
      </c>
      <c r="U537" t="s">
        <v>200</v>
      </c>
    </row>
    <row r="538" spans="1:21">
      <c r="A538" t="str">
        <f>"002063"</f>
        <v>002063</v>
      </c>
      <c r="B538" t="s">
        <v>1220</v>
      </c>
      <c r="C538">
        <v>0.92</v>
      </c>
      <c r="D538">
        <v>7.67</v>
      </c>
      <c r="E538">
        <v>0.07</v>
      </c>
      <c r="F538">
        <v>7.66</v>
      </c>
      <c r="G538">
        <v>7.67</v>
      </c>
      <c r="H538">
        <v>288704</v>
      </c>
      <c r="I538">
        <v>1598</v>
      </c>
      <c r="J538">
        <v>0</v>
      </c>
      <c r="K538">
        <v>2.37</v>
      </c>
      <c r="L538">
        <v>21982.32</v>
      </c>
      <c r="M538" t="s">
        <v>1221</v>
      </c>
      <c r="N538" t="s">
        <v>30</v>
      </c>
      <c r="O538">
        <v>7.59</v>
      </c>
      <c r="P538">
        <v>7.73</v>
      </c>
      <c r="Q538">
        <v>7.49</v>
      </c>
      <c r="R538">
        <v>7.6</v>
      </c>
      <c r="S538">
        <v>53.4</v>
      </c>
      <c r="T538">
        <v>0.9</v>
      </c>
      <c r="U538" t="s">
        <v>183</v>
      </c>
    </row>
    <row r="539" spans="1:21">
      <c r="A539" t="str">
        <f>"002064"</f>
        <v>002064</v>
      </c>
      <c r="B539" t="s">
        <v>1222</v>
      </c>
      <c r="C539">
        <v>1.42</v>
      </c>
      <c r="D539">
        <v>10.69</v>
      </c>
      <c r="E539">
        <v>0.15</v>
      </c>
      <c r="F539">
        <v>10.69</v>
      </c>
      <c r="G539">
        <v>10.7</v>
      </c>
      <c r="H539">
        <v>248736</v>
      </c>
      <c r="I539">
        <v>3514</v>
      </c>
      <c r="J539">
        <v>-0.08</v>
      </c>
      <c r="K539">
        <v>1.27</v>
      </c>
      <c r="L539">
        <v>26379.67</v>
      </c>
      <c r="M539" t="s">
        <v>1223</v>
      </c>
      <c r="N539" t="s">
        <v>216</v>
      </c>
      <c r="O539">
        <v>10.56</v>
      </c>
      <c r="P539">
        <v>10.75</v>
      </c>
      <c r="Q539">
        <v>10.38</v>
      </c>
      <c r="R539">
        <v>10.54</v>
      </c>
      <c r="S539">
        <v>6.06</v>
      </c>
      <c r="T539">
        <v>1.27</v>
      </c>
      <c r="U539" t="s">
        <v>200</v>
      </c>
    </row>
    <row r="540" spans="1:21">
      <c r="A540" t="str">
        <f>"002065"</f>
        <v>002065</v>
      </c>
      <c r="B540" t="s">
        <v>1224</v>
      </c>
      <c r="C540">
        <v>0.56</v>
      </c>
      <c r="D540">
        <v>7.17</v>
      </c>
      <c r="E540">
        <v>0.04</v>
      </c>
      <c r="F540">
        <v>7.17</v>
      </c>
      <c r="G540">
        <v>7.18</v>
      </c>
      <c r="H540">
        <v>163108</v>
      </c>
      <c r="I540">
        <v>1484</v>
      </c>
      <c r="J540">
        <v>-0.13</v>
      </c>
      <c r="K540">
        <v>0.52</v>
      </c>
      <c r="L540">
        <v>11643.65</v>
      </c>
      <c r="M540" t="s">
        <v>1225</v>
      </c>
      <c r="N540" t="s">
        <v>30</v>
      </c>
      <c r="O540">
        <v>7.11</v>
      </c>
      <c r="P540">
        <v>7.19</v>
      </c>
      <c r="Q540">
        <v>7.09</v>
      </c>
      <c r="R540">
        <v>7.13</v>
      </c>
      <c r="S540">
        <v>25.33</v>
      </c>
      <c r="T540">
        <v>0.88</v>
      </c>
      <c r="U540" t="s">
        <v>44</v>
      </c>
    </row>
    <row r="541" spans="1:21">
      <c r="A541" t="str">
        <f>"002066"</f>
        <v>002066</v>
      </c>
      <c r="B541" t="s">
        <v>1226</v>
      </c>
      <c r="C541">
        <v>3.71</v>
      </c>
      <c r="D541">
        <v>10.06</v>
      </c>
      <c r="E541">
        <v>0.36</v>
      </c>
      <c r="F541">
        <v>10.05</v>
      </c>
      <c r="G541">
        <v>10.06</v>
      </c>
      <c r="H541">
        <v>42238</v>
      </c>
      <c r="I541">
        <v>698</v>
      </c>
      <c r="J541">
        <v>0.1</v>
      </c>
      <c r="K541">
        <v>1.83</v>
      </c>
      <c r="L541">
        <v>4196.58</v>
      </c>
      <c r="M541" t="s">
        <v>1227</v>
      </c>
      <c r="N541" t="s">
        <v>131</v>
      </c>
      <c r="O541">
        <v>9.77</v>
      </c>
      <c r="P541">
        <v>10.07</v>
      </c>
      <c r="Q541">
        <v>9.7</v>
      </c>
      <c r="R541">
        <v>9.7</v>
      </c>
      <c r="S541">
        <v>49.7</v>
      </c>
      <c r="T541">
        <v>2.51</v>
      </c>
      <c r="U541" t="s">
        <v>44</v>
      </c>
    </row>
    <row r="542" spans="1:21">
      <c r="A542" t="str">
        <f>"002067"</f>
        <v>002067</v>
      </c>
      <c r="B542" t="s">
        <v>1228</v>
      </c>
      <c r="C542">
        <v>0.78</v>
      </c>
      <c r="D542">
        <v>3.86</v>
      </c>
      <c r="E542">
        <v>0.03</v>
      </c>
      <c r="F542">
        <v>3.85</v>
      </c>
      <c r="G542">
        <v>3.86</v>
      </c>
      <c r="H542">
        <v>152331</v>
      </c>
      <c r="I542">
        <v>7551</v>
      </c>
      <c r="J542">
        <v>0.26</v>
      </c>
      <c r="K542">
        <v>1.44</v>
      </c>
      <c r="L542">
        <v>5832.55</v>
      </c>
      <c r="M542" t="s">
        <v>1229</v>
      </c>
      <c r="N542" t="s">
        <v>285</v>
      </c>
      <c r="O542">
        <v>3.84</v>
      </c>
      <c r="P542">
        <v>3.86</v>
      </c>
      <c r="Q542">
        <v>3.79</v>
      </c>
      <c r="R542">
        <v>3.83</v>
      </c>
      <c r="S542">
        <v>9.57</v>
      </c>
      <c r="T542">
        <v>0.9</v>
      </c>
      <c r="U542" t="s">
        <v>200</v>
      </c>
    </row>
    <row r="543" spans="1:21">
      <c r="A543" t="str">
        <f>"002068"</f>
        <v>002068</v>
      </c>
      <c r="B543" t="s">
        <v>1230</v>
      </c>
      <c r="C543">
        <v>2.29</v>
      </c>
      <c r="D543">
        <v>6.7</v>
      </c>
      <c r="E543">
        <v>0.15</v>
      </c>
      <c r="F543">
        <v>6.69</v>
      </c>
      <c r="G543">
        <v>6.7</v>
      </c>
      <c r="H543">
        <v>171872</v>
      </c>
      <c r="I543">
        <v>3083</v>
      </c>
      <c r="J543">
        <v>0.15</v>
      </c>
      <c r="K543">
        <v>2.36</v>
      </c>
      <c r="L543">
        <v>11358.52</v>
      </c>
      <c r="M543" t="s">
        <v>1231</v>
      </c>
      <c r="N543" t="s">
        <v>309</v>
      </c>
      <c r="O543">
        <v>6.55</v>
      </c>
      <c r="P543">
        <v>6.79</v>
      </c>
      <c r="Q543">
        <v>6.43</v>
      </c>
      <c r="R543">
        <v>6.55</v>
      </c>
      <c r="S543">
        <v>8</v>
      </c>
      <c r="T543">
        <v>0.83</v>
      </c>
      <c r="U543" t="s">
        <v>235</v>
      </c>
    </row>
    <row r="544" spans="1:21">
      <c r="A544" t="str">
        <f>"002069"</f>
        <v>002069</v>
      </c>
      <c r="B544" t="s">
        <v>1232</v>
      </c>
      <c r="C544">
        <v>0.34</v>
      </c>
      <c r="D544">
        <v>2.97</v>
      </c>
      <c r="E544">
        <v>0.01</v>
      </c>
      <c r="F544">
        <v>2.96</v>
      </c>
      <c r="G544">
        <v>2.97</v>
      </c>
      <c r="H544">
        <v>44808</v>
      </c>
      <c r="I544">
        <v>399</v>
      </c>
      <c r="J544">
        <v>0</v>
      </c>
      <c r="K544">
        <v>0.65</v>
      </c>
      <c r="L544">
        <v>1322.72</v>
      </c>
      <c r="M544" t="s">
        <v>1233</v>
      </c>
      <c r="N544" t="s">
        <v>757</v>
      </c>
      <c r="O544">
        <v>2.95</v>
      </c>
      <c r="P544">
        <v>2.99</v>
      </c>
      <c r="Q544">
        <v>2.92</v>
      </c>
      <c r="R544">
        <v>2.96</v>
      </c>
      <c r="S544" t="s">
        <v>40</v>
      </c>
      <c r="T544">
        <v>0.81</v>
      </c>
      <c r="U544" t="s">
        <v>141</v>
      </c>
    </row>
    <row r="545" spans="1:21">
      <c r="A545" t="str">
        <f>"002072"</f>
        <v>002072</v>
      </c>
      <c r="B545" t="s">
        <v>1234</v>
      </c>
      <c r="C545">
        <v>-5.03</v>
      </c>
      <c r="D545">
        <v>7.55</v>
      </c>
      <c r="E545">
        <v>-0.4</v>
      </c>
      <c r="F545" t="s">
        <v>40</v>
      </c>
      <c r="G545">
        <v>7.55</v>
      </c>
      <c r="H545">
        <v>74230</v>
      </c>
      <c r="I545">
        <v>6</v>
      </c>
      <c r="J545">
        <v>0</v>
      </c>
      <c r="K545">
        <v>4.38</v>
      </c>
      <c r="L545">
        <v>5642.39</v>
      </c>
      <c r="M545" t="s">
        <v>1235</v>
      </c>
      <c r="N545" t="s">
        <v>189</v>
      </c>
      <c r="O545">
        <v>7.68</v>
      </c>
      <c r="P545">
        <v>7.84</v>
      </c>
      <c r="Q545">
        <v>7.55</v>
      </c>
      <c r="R545">
        <v>7.95</v>
      </c>
      <c r="S545" t="s">
        <v>40</v>
      </c>
      <c r="T545">
        <v>1.26</v>
      </c>
      <c r="U545" t="s">
        <v>221</v>
      </c>
    </row>
    <row r="546" spans="1:21">
      <c r="A546" t="str">
        <f>"002073"</f>
        <v>002073</v>
      </c>
      <c r="B546" t="s">
        <v>1236</v>
      </c>
      <c r="C546">
        <v>-2.6</v>
      </c>
      <c r="D546">
        <v>8.99</v>
      </c>
      <c r="E546">
        <v>-0.24</v>
      </c>
      <c r="F546">
        <v>8.98</v>
      </c>
      <c r="G546">
        <v>8.99</v>
      </c>
      <c r="H546">
        <v>629553</v>
      </c>
      <c r="I546">
        <v>8404</v>
      </c>
      <c r="J546">
        <v>-0.1</v>
      </c>
      <c r="K546">
        <v>6.74</v>
      </c>
      <c r="L546">
        <v>57404.92</v>
      </c>
      <c r="M546" t="s">
        <v>1237</v>
      </c>
      <c r="N546" t="s">
        <v>30</v>
      </c>
      <c r="O546">
        <v>9.15</v>
      </c>
      <c r="P546">
        <v>9.38</v>
      </c>
      <c r="Q546">
        <v>8.9</v>
      </c>
      <c r="R546">
        <v>9.23</v>
      </c>
      <c r="S546">
        <v>78.84</v>
      </c>
      <c r="T546">
        <v>0.56</v>
      </c>
      <c r="U546" t="s">
        <v>221</v>
      </c>
    </row>
    <row r="547" spans="1:21">
      <c r="A547" t="str">
        <f>"002074"</f>
        <v>002074</v>
      </c>
      <c r="B547" t="s">
        <v>1238</v>
      </c>
      <c r="C547">
        <v>3.55</v>
      </c>
      <c r="D547">
        <v>60.6</v>
      </c>
      <c r="E547">
        <v>2.08</v>
      </c>
      <c r="F547">
        <v>60.6</v>
      </c>
      <c r="G547">
        <v>60.61</v>
      </c>
      <c r="H547">
        <v>437977</v>
      </c>
      <c r="I547">
        <v>11068</v>
      </c>
      <c r="J547">
        <v>-0.11</v>
      </c>
      <c r="K547">
        <v>3.72</v>
      </c>
      <c r="L547">
        <v>264693.22</v>
      </c>
      <c r="M547" t="s">
        <v>1239</v>
      </c>
      <c r="N547" t="s">
        <v>47</v>
      </c>
      <c r="O547">
        <v>58.5</v>
      </c>
      <c r="P547">
        <v>61.8</v>
      </c>
      <c r="Q547">
        <v>58.01</v>
      </c>
      <c r="R547">
        <v>58.52</v>
      </c>
      <c r="S547">
        <v>858.03</v>
      </c>
      <c r="T547">
        <v>0.83</v>
      </c>
      <c r="U547" t="s">
        <v>193</v>
      </c>
    </row>
    <row r="548" spans="1:21">
      <c r="A548" t="str">
        <f>"002075"</f>
        <v>002075</v>
      </c>
      <c r="B548" t="s">
        <v>1240</v>
      </c>
      <c r="C548">
        <v>1.64</v>
      </c>
      <c r="D548">
        <v>5.59</v>
      </c>
      <c r="E548">
        <v>0.09</v>
      </c>
      <c r="F548">
        <v>5.58</v>
      </c>
      <c r="G548">
        <v>5.59</v>
      </c>
      <c r="H548">
        <v>300891</v>
      </c>
      <c r="I548">
        <v>4396</v>
      </c>
      <c r="J548">
        <v>0.18</v>
      </c>
      <c r="K548">
        <v>1.36</v>
      </c>
      <c r="L548">
        <v>16604.84</v>
      </c>
      <c r="M548" t="s">
        <v>1241</v>
      </c>
      <c r="N548" t="s">
        <v>628</v>
      </c>
      <c r="O548">
        <v>5.51</v>
      </c>
      <c r="P548">
        <v>5.6</v>
      </c>
      <c r="Q548">
        <v>5.45</v>
      </c>
      <c r="R548">
        <v>5.5</v>
      </c>
      <c r="S548">
        <v>11.2</v>
      </c>
      <c r="T548">
        <v>1.25</v>
      </c>
      <c r="U548" t="s">
        <v>102</v>
      </c>
    </row>
    <row r="549" spans="1:21">
      <c r="A549" t="str">
        <f>"002076"</f>
        <v>002076</v>
      </c>
      <c r="B549" t="s">
        <v>1242</v>
      </c>
      <c r="C549">
        <v>4.86</v>
      </c>
      <c r="D549">
        <v>1.94</v>
      </c>
      <c r="E549">
        <v>0.09</v>
      </c>
      <c r="F549">
        <v>1.94</v>
      </c>
      <c r="G549" t="s">
        <v>40</v>
      </c>
      <c r="H549">
        <v>256800</v>
      </c>
      <c r="I549">
        <v>4</v>
      </c>
      <c r="J549">
        <v>0</v>
      </c>
      <c r="K549">
        <v>3.45</v>
      </c>
      <c r="L549">
        <v>4980.3</v>
      </c>
      <c r="M549" t="s">
        <v>1243</v>
      </c>
      <c r="N549" t="s">
        <v>60</v>
      </c>
      <c r="O549">
        <v>1.94</v>
      </c>
      <c r="P549">
        <v>1.94</v>
      </c>
      <c r="Q549">
        <v>1.92</v>
      </c>
      <c r="R549">
        <v>1.85</v>
      </c>
      <c r="S549" t="s">
        <v>40</v>
      </c>
      <c r="T549">
        <v>2.56</v>
      </c>
      <c r="U549" t="s">
        <v>183</v>
      </c>
    </row>
    <row r="550" spans="1:21">
      <c r="A550" t="str">
        <f>"002077"</f>
        <v>002077</v>
      </c>
      <c r="B550" t="s">
        <v>1244</v>
      </c>
      <c r="C550">
        <v>2.48</v>
      </c>
      <c r="D550">
        <v>7.45</v>
      </c>
      <c r="E550">
        <v>0.18</v>
      </c>
      <c r="F550">
        <v>7.44</v>
      </c>
      <c r="G550">
        <v>7.45</v>
      </c>
      <c r="H550">
        <v>106161</v>
      </c>
      <c r="I550">
        <v>559</v>
      </c>
      <c r="J550">
        <v>0.13</v>
      </c>
      <c r="K550">
        <v>1.95</v>
      </c>
      <c r="L550">
        <v>7845.01</v>
      </c>
      <c r="M550" t="s">
        <v>1245</v>
      </c>
      <c r="N550" t="s">
        <v>1246</v>
      </c>
      <c r="O550">
        <v>7.26</v>
      </c>
      <c r="P550">
        <v>7.49</v>
      </c>
      <c r="Q550">
        <v>7.25</v>
      </c>
      <c r="R550">
        <v>7.27</v>
      </c>
      <c r="S550">
        <v>19.57</v>
      </c>
      <c r="T550">
        <v>0.97</v>
      </c>
      <c r="U550" t="s">
        <v>102</v>
      </c>
    </row>
    <row r="551" spans="1:21">
      <c r="A551" t="str">
        <f>"002078"</f>
        <v>002078</v>
      </c>
      <c r="B551" t="s">
        <v>1247</v>
      </c>
      <c r="C551">
        <v>0.67</v>
      </c>
      <c r="D551">
        <v>11.95</v>
      </c>
      <c r="E551">
        <v>0.08</v>
      </c>
      <c r="F551">
        <v>11.95</v>
      </c>
      <c r="G551">
        <v>11.96</v>
      </c>
      <c r="H551">
        <v>199578</v>
      </c>
      <c r="I551">
        <v>2043</v>
      </c>
      <c r="J551">
        <v>0.08</v>
      </c>
      <c r="K551">
        <v>0.76</v>
      </c>
      <c r="L551">
        <v>23805.49</v>
      </c>
      <c r="M551" t="s">
        <v>1248</v>
      </c>
      <c r="N551" t="s">
        <v>285</v>
      </c>
      <c r="O551">
        <v>11.87</v>
      </c>
      <c r="P551">
        <v>12.03</v>
      </c>
      <c r="Q551">
        <v>11.79</v>
      </c>
      <c r="R551">
        <v>11.87</v>
      </c>
      <c r="S551">
        <v>8.7</v>
      </c>
      <c r="T551">
        <v>0.81</v>
      </c>
      <c r="U551" t="s">
        <v>221</v>
      </c>
    </row>
    <row r="552" spans="1:21">
      <c r="A552" t="str">
        <f>"002079"</f>
        <v>002079</v>
      </c>
      <c r="B552" t="s">
        <v>1249</v>
      </c>
      <c r="C552">
        <v>0.86</v>
      </c>
      <c r="D552">
        <v>15.2</v>
      </c>
      <c r="E552">
        <v>0.13</v>
      </c>
      <c r="F552">
        <v>15.2</v>
      </c>
      <c r="G552">
        <v>15.21</v>
      </c>
      <c r="H552">
        <v>253492</v>
      </c>
      <c r="I552">
        <v>3406</v>
      </c>
      <c r="J552">
        <v>-0.06</v>
      </c>
      <c r="K552">
        <v>3.49</v>
      </c>
      <c r="L552">
        <v>38282.87</v>
      </c>
      <c r="M552" t="s">
        <v>1250</v>
      </c>
      <c r="N552" t="s">
        <v>1246</v>
      </c>
      <c r="O552">
        <v>15.03</v>
      </c>
      <c r="P552">
        <v>15.36</v>
      </c>
      <c r="Q552">
        <v>14.78</v>
      </c>
      <c r="R552">
        <v>15.07</v>
      </c>
      <c r="S552">
        <v>49.83</v>
      </c>
      <c r="T552">
        <v>0.73</v>
      </c>
      <c r="U552" t="s">
        <v>102</v>
      </c>
    </row>
    <row r="553" spans="1:21">
      <c r="A553" t="str">
        <f>"002080"</f>
        <v>002080</v>
      </c>
      <c r="B553" t="s">
        <v>1251</v>
      </c>
      <c r="C553">
        <v>0.51</v>
      </c>
      <c r="D553">
        <v>35.17</v>
      </c>
      <c r="E553">
        <v>0.18</v>
      </c>
      <c r="F553">
        <v>35.17</v>
      </c>
      <c r="G553">
        <v>35.18</v>
      </c>
      <c r="H553">
        <v>372441</v>
      </c>
      <c r="I553">
        <v>3523</v>
      </c>
      <c r="J553">
        <v>0.06</v>
      </c>
      <c r="K553">
        <v>2.22</v>
      </c>
      <c r="L553">
        <v>131142.49</v>
      </c>
      <c r="M553" t="s">
        <v>1252</v>
      </c>
      <c r="N553" t="s">
        <v>216</v>
      </c>
      <c r="O553">
        <v>35</v>
      </c>
      <c r="P553">
        <v>35.89</v>
      </c>
      <c r="Q553">
        <v>34.5</v>
      </c>
      <c r="R553">
        <v>34.99</v>
      </c>
      <c r="S553">
        <v>16.72</v>
      </c>
      <c r="T553">
        <v>1.05</v>
      </c>
      <c r="U553" t="s">
        <v>102</v>
      </c>
    </row>
    <row r="554" spans="1:21">
      <c r="A554" t="str">
        <f>"002081"</f>
        <v>002081</v>
      </c>
      <c r="B554" t="s">
        <v>1253</v>
      </c>
      <c r="C554">
        <v>1.4</v>
      </c>
      <c r="D554">
        <v>5.79</v>
      </c>
      <c r="E554">
        <v>0.08</v>
      </c>
      <c r="F554">
        <v>5.78</v>
      </c>
      <c r="G554">
        <v>5.79</v>
      </c>
      <c r="H554">
        <v>102801</v>
      </c>
      <c r="I554">
        <v>1468</v>
      </c>
      <c r="J554">
        <v>0.17</v>
      </c>
      <c r="K554">
        <v>0.39</v>
      </c>
      <c r="L554">
        <v>5911.25</v>
      </c>
      <c r="M554" t="s">
        <v>1254</v>
      </c>
      <c r="N554" t="s">
        <v>1189</v>
      </c>
      <c r="O554">
        <v>5.7</v>
      </c>
      <c r="P554">
        <v>5.8</v>
      </c>
      <c r="Q554">
        <v>5.69</v>
      </c>
      <c r="R554">
        <v>5.71</v>
      </c>
      <c r="S554">
        <v>8.24</v>
      </c>
      <c r="T554">
        <v>0.94</v>
      </c>
      <c r="U554" t="s">
        <v>102</v>
      </c>
    </row>
    <row r="555" spans="1:21">
      <c r="A555" t="str">
        <f>"002082"</f>
        <v>002082</v>
      </c>
      <c r="B555" t="s">
        <v>1255</v>
      </c>
      <c r="C555">
        <v>0.3</v>
      </c>
      <c r="D555">
        <v>10.1</v>
      </c>
      <c r="E555">
        <v>0.03</v>
      </c>
      <c r="F555">
        <v>10.1</v>
      </c>
      <c r="G555">
        <v>10.11</v>
      </c>
      <c r="H555">
        <v>6453</v>
      </c>
      <c r="I555">
        <v>193</v>
      </c>
      <c r="J555">
        <v>0.1</v>
      </c>
      <c r="K555">
        <v>0.27</v>
      </c>
      <c r="L555">
        <v>648.48</v>
      </c>
      <c r="M555" t="s">
        <v>1256</v>
      </c>
      <c r="N555" t="s">
        <v>270</v>
      </c>
      <c r="O555">
        <v>10.05</v>
      </c>
      <c r="P555">
        <v>10.1</v>
      </c>
      <c r="Q555">
        <v>9.97</v>
      </c>
      <c r="R555">
        <v>10.07</v>
      </c>
      <c r="S555">
        <v>30.76</v>
      </c>
      <c r="T555">
        <v>0.6</v>
      </c>
      <c r="U555" t="s">
        <v>200</v>
      </c>
    </row>
    <row r="556" spans="1:21">
      <c r="A556" t="str">
        <f>"002083"</f>
        <v>002083</v>
      </c>
      <c r="B556" t="s">
        <v>1257</v>
      </c>
      <c r="C556">
        <v>0.96</v>
      </c>
      <c r="D556">
        <v>4.2</v>
      </c>
      <c r="E556">
        <v>0.04</v>
      </c>
      <c r="F556">
        <v>4.2</v>
      </c>
      <c r="G556">
        <v>4.21</v>
      </c>
      <c r="H556">
        <v>72512</v>
      </c>
      <c r="I556">
        <v>787</v>
      </c>
      <c r="J556">
        <v>-0.23</v>
      </c>
      <c r="K556">
        <v>0.8</v>
      </c>
      <c r="L556">
        <v>3039.57</v>
      </c>
      <c r="M556" t="s">
        <v>1258</v>
      </c>
      <c r="N556" t="s">
        <v>664</v>
      </c>
      <c r="O556">
        <v>4.16</v>
      </c>
      <c r="P556">
        <v>4.22</v>
      </c>
      <c r="Q556">
        <v>4.13</v>
      </c>
      <c r="R556">
        <v>4.16</v>
      </c>
      <c r="S556">
        <v>11.66</v>
      </c>
      <c r="T556">
        <v>1.39</v>
      </c>
      <c r="U556" t="s">
        <v>221</v>
      </c>
    </row>
    <row r="557" spans="1:21">
      <c r="A557" t="str">
        <f>"002084"</f>
        <v>002084</v>
      </c>
      <c r="B557" t="s">
        <v>1259</v>
      </c>
      <c r="C557">
        <v>1.29</v>
      </c>
      <c r="D557">
        <v>4.7</v>
      </c>
      <c r="E557">
        <v>0.06</v>
      </c>
      <c r="F557">
        <v>4.69</v>
      </c>
      <c r="G557">
        <v>4.7</v>
      </c>
      <c r="H557">
        <v>33168</v>
      </c>
      <c r="I557">
        <v>266</v>
      </c>
      <c r="J557">
        <v>0</v>
      </c>
      <c r="K557">
        <v>0.55</v>
      </c>
      <c r="L557">
        <v>1547.77</v>
      </c>
      <c r="M557" t="s">
        <v>1260</v>
      </c>
      <c r="N557" t="s">
        <v>910</v>
      </c>
      <c r="O557">
        <v>4.64</v>
      </c>
      <c r="P557">
        <v>4.71</v>
      </c>
      <c r="Q557">
        <v>4.62</v>
      </c>
      <c r="R557">
        <v>4.64</v>
      </c>
      <c r="S557">
        <v>18.52</v>
      </c>
      <c r="T557">
        <v>0.93</v>
      </c>
      <c r="U557" t="s">
        <v>183</v>
      </c>
    </row>
    <row r="558" spans="1:21">
      <c r="A558" t="str">
        <f>"002085"</f>
        <v>002085</v>
      </c>
      <c r="B558" t="s">
        <v>1261</v>
      </c>
      <c r="C558">
        <v>0.18</v>
      </c>
      <c r="D558">
        <v>5.57</v>
      </c>
      <c r="E558">
        <v>0.01</v>
      </c>
      <c r="F558">
        <v>5.56</v>
      </c>
      <c r="G558">
        <v>5.57</v>
      </c>
      <c r="H558">
        <v>122689</v>
      </c>
      <c r="I558">
        <v>1646</v>
      </c>
      <c r="J558">
        <v>0.18</v>
      </c>
      <c r="K558">
        <v>0.56</v>
      </c>
      <c r="L558">
        <v>6780.38</v>
      </c>
      <c r="M558" t="s">
        <v>1262</v>
      </c>
      <c r="N558" t="s">
        <v>91</v>
      </c>
      <c r="O558">
        <v>5.56</v>
      </c>
      <c r="P558">
        <v>5.58</v>
      </c>
      <c r="Q558">
        <v>5.48</v>
      </c>
      <c r="R558">
        <v>5.56</v>
      </c>
      <c r="S558">
        <v>38.79</v>
      </c>
      <c r="T558">
        <v>0.76</v>
      </c>
      <c r="U558" t="s">
        <v>200</v>
      </c>
    </row>
    <row r="559" spans="1:21">
      <c r="A559" t="str">
        <f>"002086"</f>
        <v>002086</v>
      </c>
      <c r="B559" t="s">
        <v>1263</v>
      </c>
      <c r="C559">
        <v>0.53</v>
      </c>
      <c r="D559">
        <v>1.89</v>
      </c>
      <c r="E559">
        <v>0.01</v>
      </c>
      <c r="F559">
        <v>1.89</v>
      </c>
      <c r="G559">
        <v>1.9</v>
      </c>
      <c r="H559">
        <v>62707</v>
      </c>
      <c r="I559">
        <v>475</v>
      </c>
      <c r="J559">
        <v>-0.52</v>
      </c>
      <c r="K559">
        <v>1</v>
      </c>
      <c r="L559">
        <v>1181.59</v>
      </c>
      <c r="M559" t="s">
        <v>1264</v>
      </c>
      <c r="N559" t="s">
        <v>757</v>
      </c>
      <c r="O559">
        <v>1.87</v>
      </c>
      <c r="P559">
        <v>1.91</v>
      </c>
      <c r="Q559">
        <v>1.86</v>
      </c>
      <c r="R559">
        <v>1.88</v>
      </c>
      <c r="S559" t="s">
        <v>40</v>
      </c>
      <c r="T559">
        <v>0.54</v>
      </c>
      <c r="U559" t="s">
        <v>221</v>
      </c>
    </row>
    <row r="560" spans="1:21">
      <c r="A560" t="str">
        <f>"002087"</f>
        <v>002087</v>
      </c>
      <c r="B560" t="s">
        <v>1265</v>
      </c>
      <c r="C560">
        <v>0.59</v>
      </c>
      <c r="D560">
        <v>3.41</v>
      </c>
      <c r="E560">
        <v>0.02</v>
      </c>
      <c r="F560">
        <v>3.4</v>
      </c>
      <c r="G560">
        <v>3.41</v>
      </c>
      <c r="H560">
        <v>57014</v>
      </c>
      <c r="I560">
        <v>1069</v>
      </c>
      <c r="J560">
        <v>0</v>
      </c>
      <c r="K560">
        <v>0.7</v>
      </c>
      <c r="L560">
        <v>1932.49</v>
      </c>
      <c r="M560" t="s">
        <v>1266</v>
      </c>
      <c r="N560" t="s">
        <v>664</v>
      </c>
      <c r="O560">
        <v>3.39</v>
      </c>
      <c r="P560">
        <v>3.41</v>
      </c>
      <c r="Q560">
        <v>3.37</v>
      </c>
      <c r="R560">
        <v>3.39</v>
      </c>
      <c r="S560">
        <v>16.04</v>
      </c>
      <c r="T560">
        <v>1.09</v>
      </c>
      <c r="U560" t="s">
        <v>224</v>
      </c>
    </row>
    <row r="561" spans="1:21">
      <c r="A561" t="str">
        <f>"002088"</f>
        <v>002088</v>
      </c>
      <c r="B561" t="s">
        <v>1267</v>
      </c>
      <c r="C561">
        <v>0.96</v>
      </c>
      <c r="D561">
        <v>24.27</v>
      </c>
      <c r="E561">
        <v>0.23</v>
      </c>
      <c r="F561">
        <v>24.26</v>
      </c>
      <c r="G561">
        <v>24.27</v>
      </c>
      <c r="H561">
        <v>30140</v>
      </c>
      <c r="I561">
        <v>399</v>
      </c>
      <c r="J561">
        <v>-0.03</v>
      </c>
      <c r="K561">
        <v>0.67</v>
      </c>
      <c r="L561">
        <v>7270.95</v>
      </c>
      <c r="M561" t="s">
        <v>1268</v>
      </c>
      <c r="N561" t="s">
        <v>750</v>
      </c>
      <c r="O561">
        <v>24.04</v>
      </c>
      <c r="P561">
        <v>24.46</v>
      </c>
      <c r="Q561">
        <v>23.86</v>
      </c>
      <c r="R561">
        <v>24.04</v>
      </c>
      <c r="S561">
        <v>22.79</v>
      </c>
      <c r="T561">
        <v>0.62</v>
      </c>
      <c r="U561" t="s">
        <v>221</v>
      </c>
    </row>
    <row r="562" spans="1:21">
      <c r="A562" t="str">
        <f>"002089"</f>
        <v>002089</v>
      </c>
      <c r="B562" t="s">
        <v>1269</v>
      </c>
      <c r="C562">
        <v>-1.61</v>
      </c>
      <c r="D562">
        <v>2.45</v>
      </c>
      <c r="E562">
        <v>-0.04</v>
      </c>
      <c r="F562">
        <v>2.44</v>
      </c>
      <c r="G562">
        <v>2.45</v>
      </c>
      <c r="H562">
        <v>252961</v>
      </c>
      <c r="I562">
        <v>3024</v>
      </c>
      <c r="J562">
        <v>0.41</v>
      </c>
      <c r="K562">
        <v>2.14</v>
      </c>
      <c r="L562">
        <v>6235.86</v>
      </c>
      <c r="M562" t="s">
        <v>1270</v>
      </c>
      <c r="N562" t="s">
        <v>153</v>
      </c>
      <c r="O562">
        <v>2.5</v>
      </c>
      <c r="P562">
        <v>2.55</v>
      </c>
      <c r="Q562">
        <v>2.38</v>
      </c>
      <c r="R562">
        <v>2.49</v>
      </c>
      <c r="S562" t="s">
        <v>40</v>
      </c>
      <c r="T562">
        <v>1.16</v>
      </c>
      <c r="U562" t="s">
        <v>102</v>
      </c>
    </row>
    <row r="563" spans="1:21">
      <c r="A563" t="str">
        <f>"002090"</f>
        <v>002090</v>
      </c>
      <c r="B563" t="s">
        <v>1271</v>
      </c>
      <c r="C563">
        <v>0.2</v>
      </c>
      <c r="D563">
        <v>10.12</v>
      </c>
      <c r="E563">
        <v>0.02</v>
      </c>
      <c r="F563">
        <v>10.12</v>
      </c>
      <c r="G563">
        <v>10.13</v>
      </c>
      <c r="H563">
        <v>77527</v>
      </c>
      <c r="I563">
        <v>1517</v>
      </c>
      <c r="J563">
        <v>0.2</v>
      </c>
      <c r="K563">
        <v>1.94</v>
      </c>
      <c r="L563">
        <v>7803.53</v>
      </c>
      <c r="M563" t="s">
        <v>1272</v>
      </c>
      <c r="N563" t="s">
        <v>30</v>
      </c>
      <c r="O563">
        <v>10.08</v>
      </c>
      <c r="P563">
        <v>10.19</v>
      </c>
      <c r="Q563">
        <v>9.97</v>
      </c>
      <c r="R563">
        <v>10.1</v>
      </c>
      <c r="S563">
        <v>73.95</v>
      </c>
      <c r="T563">
        <v>0.64</v>
      </c>
      <c r="U563" t="s">
        <v>102</v>
      </c>
    </row>
    <row r="564" spans="1:21">
      <c r="A564" t="str">
        <f>"002091"</f>
        <v>002091</v>
      </c>
      <c r="B564" t="s">
        <v>1273</v>
      </c>
      <c r="C564">
        <v>1.13</v>
      </c>
      <c r="D564">
        <v>11.63</v>
      </c>
      <c r="E564">
        <v>0.13</v>
      </c>
      <c r="F564">
        <v>11.62</v>
      </c>
      <c r="G564">
        <v>11.63</v>
      </c>
      <c r="H564">
        <v>240277</v>
      </c>
      <c r="I564">
        <v>2310</v>
      </c>
      <c r="J564">
        <v>0.17</v>
      </c>
      <c r="K564">
        <v>1.59</v>
      </c>
      <c r="L564">
        <v>27968.51</v>
      </c>
      <c r="M564" t="s">
        <v>1274</v>
      </c>
      <c r="N564" t="s">
        <v>189</v>
      </c>
      <c r="O564">
        <v>11.68</v>
      </c>
      <c r="P564">
        <v>11.9</v>
      </c>
      <c r="Q564">
        <v>11.49</v>
      </c>
      <c r="R564">
        <v>11.5</v>
      </c>
      <c r="S564">
        <v>18.07</v>
      </c>
      <c r="T564">
        <v>0.82</v>
      </c>
      <c r="U564" t="s">
        <v>102</v>
      </c>
    </row>
    <row r="565" spans="1:21">
      <c r="A565" t="str">
        <f>"002092"</f>
        <v>002092</v>
      </c>
      <c r="B565" t="s">
        <v>1275</v>
      </c>
      <c r="C565">
        <v>6.92</v>
      </c>
      <c r="D565">
        <v>10.2</v>
      </c>
      <c r="E565">
        <v>0.66</v>
      </c>
      <c r="F565">
        <v>10.2</v>
      </c>
      <c r="G565">
        <v>10.21</v>
      </c>
      <c r="H565">
        <v>1697310</v>
      </c>
      <c r="I565">
        <v>18690</v>
      </c>
      <c r="J565">
        <v>0.1</v>
      </c>
      <c r="K565">
        <v>7.91</v>
      </c>
      <c r="L565">
        <v>166259.7</v>
      </c>
      <c r="M565" t="s">
        <v>1276</v>
      </c>
      <c r="N565" t="s">
        <v>309</v>
      </c>
      <c r="O565">
        <v>9.56</v>
      </c>
      <c r="P565">
        <v>10.38</v>
      </c>
      <c r="Q565">
        <v>9.32</v>
      </c>
      <c r="R565">
        <v>9.54</v>
      </c>
      <c r="S565">
        <v>8</v>
      </c>
      <c r="T565">
        <v>2.12</v>
      </c>
      <c r="U565" t="s">
        <v>210</v>
      </c>
    </row>
    <row r="566" spans="1:21">
      <c r="A566" t="str">
        <f>"002093"</f>
        <v>002093</v>
      </c>
      <c r="B566" t="s">
        <v>1277</v>
      </c>
      <c r="C566">
        <v>0.16</v>
      </c>
      <c r="D566">
        <v>6.21</v>
      </c>
      <c r="E566">
        <v>0.01</v>
      </c>
      <c r="F566">
        <v>6.2</v>
      </c>
      <c r="G566">
        <v>6.21</v>
      </c>
      <c r="H566">
        <v>108366</v>
      </c>
      <c r="I566">
        <v>982</v>
      </c>
      <c r="J566">
        <v>0.16</v>
      </c>
      <c r="K566">
        <v>1.08</v>
      </c>
      <c r="L566">
        <v>6744.5</v>
      </c>
      <c r="M566" t="s">
        <v>1278</v>
      </c>
      <c r="N566" t="s">
        <v>1279</v>
      </c>
      <c r="O566">
        <v>6.17</v>
      </c>
      <c r="P566">
        <v>6.3</v>
      </c>
      <c r="Q566">
        <v>6.17</v>
      </c>
      <c r="R566">
        <v>6.2</v>
      </c>
      <c r="S566">
        <v>72.13</v>
      </c>
      <c r="T566">
        <v>0.68</v>
      </c>
      <c r="U566" t="s">
        <v>339</v>
      </c>
    </row>
    <row r="567" spans="1:21">
      <c r="A567" t="str">
        <f>"002094"</f>
        <v>002094</v>
      </c>
      <c r="B567" t="s">
        <v>1280</v>
      </c>
      <c r="C567">
        <v>-2.24</v>
      </c>
      <c r="D567">
        <v>4.36</v>
      </c>
      <c r="E567">
        <v>-0.1</v>
      </c>
      <c r="F567">
        <v>4.35</v>
      </c>
      <c r="G567">
        <v>4.36</v>
      </c>
      <c r="H567">
        <v>192193</v>
      </c>
      <c r="I567">
        <v>1308</v>
      </c>
      <c r="J567">
        <v>0</v>
      </c>
      <c r="K567">
        <v>2.78</v>
      </c>
      <c r="L567">
        <v>8345.9</v>
      </c>
      <c r="M567" t="s">
        <v>1281</v>
      </c>
      <c r="N567" t="s">
        <v>332</v>
      </c>
      <c r="O567">
        <v>4.44</v>
      </c>
      <c r="P567">
        <v>4.46</v>
      </c>
      <c r="Q567">
        <v>4.27</v>
      </c>
      <c r="R567">
        <v>4.46</v>
      </c>
      <c r="S567">
        <v>47.23</v>
      </c>
      <c r="T567">
        <v>0.9</v>
      </c>
      <c r="U567" t="s">
        <v>221</v>
      </c>
    </row>
    <row r="568" spans="1:21">
      <c r="A568" t="str">
        <f>"002095"</f>
        <v>002095</v>
      </c>
      <c r="B568" t="s">
        <v>1282</v>
      </c>
      <c r="C568">
        <v>-5.33</v>
      </c>
      <c r="D568">
        <v>18.82</v>
      </c>
      <c r="E568">
        <v>-1.06</v>
      </c>
      <c r="F568">
        <v>18.82</v>
      </c>
      <c r="G568">
        <v>18.83</v>
      </c>
      <c r="H568">
        <v>163448</v>
      </c>
      <c r="I568">
        <v>2166</v>
      </c>
      <c r="J568">
        <v>0.43</v>
      </c>
      <c r="K568">
        <v>6.49</v>
      </c>
      <c r="L568">
        <v>31340.56</v>
      </c>
      <c r="M568" t="s">
        <v>1283</v>
      </c>
      <c r="N568" t="s">
        <v>479</v>
      </c>
      <c r="O568">
        <v>19.86</v>
      </c>
      <c r="P568">
        <v>20.23</v>
      </c>
      <c r="Q568">
        <v>18.7</v>
      </c>
      <c r="R568">
        <v>19.88</v>
      </c>
      <c r="S568">
        <v>215.76</v>
      </c>
      <c r="T568">
        <v>0.91</v>
      </c>
      <c r="U568" t="s">
        <v>200</v>
      </c>
    </row>
    <row r="569" spans="1:21">
      <c r="A569" t="str">
        <f>"002096"</f>
        <v>002096</v>
      </c>
      <c r="B569" t="s">
        <v>1284</v>
      </c>
      <c r="C569">
        <v>1.08</v>
      </c>
      <c r="D569">
        <v>15.97</v>
      </c>
      <c r="E569">
        <v>0.17</v>
      </c>
      <c r="F569">
        <v>15.97</v>
      </c>
      <c r="G569">
        <v>15.98</v>
      </c>
      <c r="H569">
        <v>296680</v>
      </c>
      <c r="I569">
        <v>8623</v>
      </c>
      <c r="J569">
        <v>0.19</v>
      </c>
      <c r="K569">
        <v>8</v>
      </c>
      <c r="L569">
        <v>46977.08</v>
      </c>
      <c r="M569" t="s">
        <v>1285</v>
      </c>
      <c r="N569" t="s">
        <v>309</v>
      </c>
      <c r="O569">
        <v>15.99</v>
      </c>
      <c r="P569">
        <v>16.08</v>
      </c>
      <c r="Q569">
        <v>15.47</v>
      </c>
      <c r="R569">
        <v>15.8</v>
      </c>
      <c r="S569">
        <v>131.2</v>
      </c>
      <c r="T569">
        <v>0.67</v>
      </c>
      <c r="U569" t="s">
        <v>204</v>
      </c>
    </row>
    <row r="570" spans="1:21">
      <c r="A570" t="str">
        <f>"002097"</f>
        <v>002097</v>
      </c>
      <c r="B570" t="s">
        <v>1286</v>
      </c>
      <c r="C570">
        <v>1.87</v>
      </c>
      <c r="D570">
        <v>8.72</v>
      </c>
      <c r="E570">
        <v>0.16</v>
      </c>
      <c r="F570">
        <v>8.71</v>
      </c>
      <c r="G570">
        <v>8.72</v>
      </c>
      <c r="H570">
        <v>138723</v>
      </c>
      <c r="I570">
        <v>991</v>
      </c>
      <c r="J570">
        <v>0.11</v>
      </c>
      <c r="K570">
        <v>1.42</v>
      </c>
      <c r="L570">
        <v>11953.81</v>
      </c>
      <c r="M570" t="s">
        <v>1287</v>
      </c>
      <c r="N570" t="s">
        <v>203</v>
      </c>
      <c r="O570">
        <v>8.56</v>
      </c>
      <c r="P570">
        <v>8.75</v>
      </c>
      <c r="Q570">
        <v>8.48</v>
      </c>
      <c r="R570">
        <v>8.56</v>
      </c>
      <c r="S570">
        <v>14.42</v>
      </c>
      <c r="T570">
        <v>0.96</v>
      </c>
      <c r="U570" t="s">
        <v>204</v>
      </c>
    </row>
    <row r="571" spans="1:21">
      <c r="A571" t="str">
        <f>"002098"</f>
        <v>002098</v>
      </c>
      <c r="B571" t="s">
        <v>1288</v>
      </c>
      <c r="C571">
        <v>3.15</v>
      </c>
      <c r="D571">
        <v>6.54</v>
      </c>
      <c r="E571">
        <v>0.2</v>
      </c>
      <c r="F571">
        <v>6.53</v>
      </c>
      <c r="G571">
        <v>6.54</v>
      </c>
      <c r="H571">
        <v>36571</v>
      </c>
      <c r="I571">
        <v>1383</v>
      </c>
      <c r="J571">
        <v>0</v>
      </c>
      <c r="K571">
        <v>1.02</v>
      </c>
      <c r="L571">
        <v>2366.15</v>
      </c>
      <c r="M571" t="s">
        <v>1289</v>
      </c>
      <c r="N571" t="s">
        <v>1061</v>
      </c>
      <c r="O571">
        <v>6.34</v>
      </c>
      <c r="P571">
        <v>6.56</v>
      </c>
      <c r="Q571">
        <v>6.33</v>
      </c>
      <c r="R571">
        <v>6.34</v>
      </c>
      <c r="S571">
        <v>14.47</v>
      </c>
      <c r="T571">
        <v>1.73</v>
      </c>
      <c r="U571" t="s">
        <v>339</v>
      </c>
    </row>
    <row r="572" spans="1:21">
      <c r="A572" t="str">
        <f>"002099"</f>
        <v>002099</v>
      </c>
      <c r="B572" t="s">
        <v>1290</v>
      </c>
      <c r="C572">
        <v>-1.52</v>
      </c>
      <c r="D572">
        <v>7.76</v>
      </c>
      <c r="E572">
        <v>-0.12</v>
      </c>
      <c r="F572">
        <v>7.76</v>
      </c>
      <c r="G572">
        <v>7.77</v>
      </c>
      <c r="H572">
        <v>84989</v>
      </c>
      <c r="I572">
        <v>1692</v>
      </c>
      <c r="J572">
        <v>0</v>
      </c>
      <c r="K572">
        <v>0.53</v>
      </c>
      <c r="L572">
        <v>6580.59</v>
      </c>
      <c r="M572" t="s">
        <v>1291</v>
      </c>
      <c r="N572" t="s">
        <v>192</v>
      </c>
      <c r="O572">
        <v>7.88</v>
      </c>
      <c r="P572">
        <v>7.88</v>
      </c>
      <c r="Q572">
        <v>7.7</v>
      </c>
      <c r="R572">
        <v>7.88</v>
      </c>
      <c r="S572">
        <v>122.89</v>
      </c>
      <c r="T572">
        <v>1.3</v>
      </c>
      <c r="U572" t="s">
        <v>200</v>
      </c>
    </row>
    <row r="573" spans="1:21">
      <c r="A573" t="str">
        <f>"002100"</f>
        <v>002100</v>
      </c>
      <c r="B573" t="s">
        <v>1292</v>
      </c>
      <c r="C573">
        <v>-0.64</v>
      </c>
      <c r="D573">
        <v>9.27</v>
      </c>
      <c r="E573">
        <v>-0.06</v>
      </c>
      <c r="F573">
        <v>9.26</v>
      </c>
      <c r="G573">
        <v>9.27</v>
      </c>
      <c r="H573">
        <v>198465</v>
      </c>
      <c r="I573">
        <v>2199</v>
      </c>
      <c r="J573">
        <v>0</v>
      </c>
      <c r="K573">
        <v>1.84</v>
      </c>
      <c r="L573">
        <v>18225.59</v>
      </c>
      <c r="M573" t="s">
        <v>1293</v>
      </c>
      <c r="N573" t="s">
        <v>124</v>
      </c>
      <c r="O573">
        <v>9.33</v>
      </c>
      <c r="P573">
        <v>9.33</v>
      </c>
      <c r="Q573">
        <v>9.09</v>
      </c>
      <c r="R573">
        <v>9.33</v>
      </c>
      <c r="S573" t="s">
        <v>40</v>
      </c>
      <c r="T573">
        <v>0.78</v>
      </c>
      <c r="U573" t="s">
        <v>210</v>
      </c>
    </row>
    <row r="574" spans="1:21">
      <c r="A574" t="str">
        <f>"002101"</f>
        <v>002101</v>
      </c>
      <c r="B574" t="s">
        <v>1294</v>
      </c>
      <c r="C574">
        <v>1.51</v>
      </c>
      <c r="D574">
        <v>8.08</v>
      </c>
      <c r="E574">
        <v>0.12</v>
      </c>
      <c r="F574">
        <v>8.08</v>
      </c>
      <c r="G574">
        <v>8.09</v>
      </c>
      <c r="H574">
        <v>61540</v>
      </c>
      <c r="I574">
        <v>866</v>
      </c>
      <c r="J574">
        <v>0</v>
      </c>
      <c r="K574">
        <v>1.16</v>
      </c>
      <c r="L574">
        <v>4927.89</v>
      </c>
      <c r="M574" t="s">
        <v>1295</v>
      </c>
      <c r="N574" t="s">
        <v>91</v>
      </c>
      <c r="O574">
        <v>7.92</v>
      </c>
      <c r="P574">
        <v>8.11</v>
      </c>
      <c r="Q574">
        <v>7.83</v>
      </c>
      <c r="R574">
        <v>7.96</v>
      </c>
      <c r="S574">
        <v>16.68</v>
      </c>
      <c r="T574">
        <v>0.97</v>
      </c>
      <c r="U574" t="s">
        <v>183</v>
      </c>
    </row>
    <row r="575" spans="1:21">
      <c r="A575" t="str">
        <f>"002102"</f>
        <v>002102</v>
      </c>
      <c r="B575" t="s">
        <v>1296</v>
      </c>
      <c r="C575">
        <v>0</v>
      </c>
      <c r="D575">
        <v>3.75</v>
      </c>
      <c r="E575">
        <v>0</v>
      </c>
      <c r="F575">
        <v>3.75</v>
      </c>
      <c r="G575">
        <v>3.76</v>
      </c>
      <c r="H575">
        <v>106810</v>
      </c>
      <c r="I575">
        <v>492</v>
      </c>
      <c r="J575">
        <v>0.27</v>
      </c>
      <c r="K575">
        <v>0.54</v>
      </c>
      <c r="L575">
        <v>3994.02</v>
      </c>
      <c r="M575" t="s">
        <v>1297</v>
      </c>
      <c r="N575" t="s">
        <v>192</v>
      </c>
      <c r="O575">
        <v>3.74</v>
      </c>
      <c r="P575">
        <v>3.77</v>
      </c>
      <c r="Q575">
        <v>3.72</v>
      </c>
      <c r="R575">
        <v>3.75</v>
      </c>
      <c r="S575">
        <v>27.56</v>
      </c>
      <c r="T575">
        <v>0.86</v>
      </c>
      <c r="U575" t="s">
        <v>339</v>
      </c>
    </row>
    <row r="576" spans="1:21">
      <c r="A576" t="str">
        <f>"002103"</f>
        <v>002103</v>
      </c>
      <c r="B576" t="s">
        <v>1298</v>
      </c>
      <c r="C576">
        <v>0.88</v>
      </c>
      <c r="D576">
        <v>4.61</v>
      </c>
      <c r="E576">
        <v>0.04</v>
      </c>
      <c r="F576">
        <v>4.6</v>
      </c>
      <c r="G576">
        <v>4.61</v>
      </c>
      <c r="H576">
        <v>70220</v>
      </c>
      <c r="I576">
        <v>646</v>
      </c>
      <c r="J576">
        <v>0.22</v>
      </c>
      <c r="K576">
        <v>1.67</v>
      </c>
      <c r="L576">
        <v>3209.99</v>
      </c>
      <c r="M576" t="s">
        <v>1299</v>
      </c>
      <c r="N576" t="s">
        <v>63</v>
      </c>
      <c r="O576">
        <v>4.58</v>
      </c>
      <c r="P576">
        <v>4.64</v>
      </c>
      <c r="Q576">
        <v>4.49</v>
      </c>
      <c r="R576">
        <v>4.57</v>
      </c>
      <c r="S576">
        <v>80.44</v>
      </c>
      <c r="T576">
        <v>0.77</v>
      </c>
      <c r="U576" t="s">
        <v>200</v>
      </c>
    </row>
    <row r="577" spans="1:21">
      <c r="A577" t="str">
        <f>"002104"</f>
        <v>002104</v>
      </c>
      <c r="B577" t="s">
        <v>1300</v>
      </c>
      <c r="C577">
        <v>0.17</v>
      </c>
      <c r="D577">
        <v>6.04</v>
      </c>
      <c r="E577">
        <v>0.01</v>
      </c>
      <c r="F577">
        <v>6.04</v>
      </c>
      <c r="G577">
        <v>6.05</v>
      </c>
      <c r="H577">
        <v>85295</v>
      </c>
      <c r="I577">
        <v>1420</v>
      </c>
      <c r="J577">
        <v>0.17</v>
      </c>
      <c r="K577">
        <v>1.45</v>
      </c>
      <c r="L577">
        <v>5136</v>
      </c>
      <c r="M577" t="s">
        <v>1301</v>
      </c>
      <c r="N577" t="s">
        <v>69</v>
      </c>
      <c r="O577">
        <v>6.04</v>
      </c>
      <c r="P577">
        <v>6.09</v>
      </c>
      <c r="Q577">
        <v>5.96</v>
      </c>
      <c r="R577">
        <v>6.03</v>
      </c>
      <c r="S577">
        <v>95.08</v>
      </c>
      <c r="T577">
        <v>0.7</v>
      </c>
      <c r="U577" t="s">
        <v>102</v>
      </c>
    </row>
    <row r="578" spans="1:21">
      <c r="A578" t="str">
        <f>"002105"</f>
        <v>002105</v>
      </c>
      <c r="B578" t="s">
        <v>1302</v>
      </c>
      <c r="C578">
        <v>0.95</v>
      </c>
      <c r="D578">
        <v>9.58</v>
      </c>
      <c r="E578">
        <v>0.09</v>
      </c>
      <c r="F578">
        <v>9.58</v>
      </c>
      <c r="G578">
        <v>9.59</v>
      </c>
      <c r="H578">
        <v>41595</v>
      </c>
      <c r="I578">
        <v>498</v>
      </c>
      <c r="J578">
        <v>0</v>
      </c>
      <c r="K578">
        <v>1.13</v>
      </c>
      <c r="L578">
        <v>3995.81</v>
      </c>
      <c r="M578" t="s">
        <v>1303</v>
      </c>
      <c r="N578" t="s">
        <v>917</v>
      </c>
      <c r="O578">
        <v>9.5</v>
      </c>
      <c r="P578">
        <v>9.72</v>
      </c>
      <c r="Q578">
        <v>9.45</v>
      </c>
      <c r="R578">
        <v>9.49</v>
      </c>
      <c r="S578">
        <v>13.06</v>
      </c>
      <c r="T578">
        <v>0.76</v>
      </c>
      <c r="U578" t="s">
        <v>24</v>
      </c>
    </row>
    <row r="579" spans="1:21">
      <c r="A579" t="str">
        <f>"002106"</f>
        <v>002106</v>
      </c>
      <c r="B579" t="s">
        <v>1304</v>
      </c>
      <c r="C579">
        <v>2.1</v>
      </c>
      <c r="D579">
        <v>11.16</v>
      </c>
      <c r="E579">
        <v>0.23</v>
      </c>
      <c r="F579">
        <v>11.16</v>
      </c>
      <c r="G579">
        <v>11.17</v>
      </c>
      <c r="H579">
        <v>154214</v>
      </c>
      <c r="I579">
        <v>1818</v>
      </c>
      <c r="J579">
        <v>-0.08</v>
      </c>
      <c r="K579">
        <v>2.19</v>
      </c>
      <c r="L579">
        <v>17227.45</v>
      </c>
      <c r="M579" t="s">
        <v>1305</v>
      </c>
      <c r="N579" t="s">
        <v>69</v>
      </c>
      <c r="O579">
        <v>10.94</v>
      </c>
      <c r="P579">
        <v>11.29</v>
      </c>
      <c r="Q579">
        <v>10.93</v>
      </c>
      <c r="R579">
        <v>10.93</v>
      </c>
      <c r="S579">
        <v>14.58</v>
      </c>
      <c r="T579">
        <v>1.07</v>
      </c>
      <c r="U579" t="s">
        <v>24</v>
      </c>
    </row>
    <row r="580" spans="1:21">
      <c r="A580" t="str">
        <f>"002107"</f>
        <v>002107</v>
      </c>
      <c r="B580" t="s">
        <v>1306</v>
      </c>
      <c r="C580">
        <v>-0.32</v>
      </c>
      <c r="D580">
        <v>6.26</v>
      </c>
      <c r="E580">
        <v>-0.02</v>
      </c>
      <c r="F580">
        <v>6.26</v>
      </c>
      <c r="G580">
        <v>6.27</v>
      </c>
      <c r="H580">
        <v>18082</v>
      </c>
      <c r="I580">
        <v>83</v>
      </c>
      <c r="J580">
        <v>0</v>
      </c>
      <c r="K580">
        <v>0.32</v>
      </c>
      <c r="L580">
        <v>1126.4</v>
      </c>
      <c r="M580" t="s">
        <v>1307</v>
      </c>
      <c r="N580" t="s">
        <v>270</v>
      </c>
      <c r="O580">
        <v>6.28</v>
      </c>
      <c r="P580">
        <v>6.3</v>
      </c>
      <c r="Q580">
        <v>6.19</v>
      </c>
      <c r="R580">
        <v>6.28</v>
      </c>
      <c r="S580">
        <v>19.8</v>
      </c>
      <c r="T580">
        <v>1.26</v>
      </c>
      <c r="U580" t="s">
        <v>221</v>
      </c>
    </row>
    <row r="581" spans="1:21">
      <c r="A581" t="str">
        <f>"002108"</f>
        <v>002108</v>
      </c>
      <c r="B581" t="s">
        <v>1308</v>
      </c>
      <c r="C581">
        <v>1.05</v>
      </c>
      <c r="D581">
        <v>8.67</v>
      </c>
      <c r="E581">
        <v>0.09</v>
      </c>
      <c r="F581">
        <v>8.67</v>
      </c>
      <c r="G581">
        <v>8.68</v>
      </c>
      <c r="H581">
        <v>527646</v>
      </c>
      <c r="I581">
        <v>7010</v>
      </c>
      <c r="J581">
        <v>0.12</v>
      </c>
      <c r="K581">
        <v>3.72</v>
      </c>
      <c r="L581">
        <v>44930.55</v>
      </c>
      <c r="M581" t="s">
        <v>1309</v>
      </c>
      <c r="N581" t="s">
        <v>839</v>
      </c>
      <c r="O581">
        <v>8.5</v>
      </c>
      <c r="P581">
        <v>8.75</v>
      </c>
      <c r="Q581">
        <v>8.37</v>
      </c>
      <c r="R581">
        <v>8.58</v>
      </c>
      <c r="S581">
        <v>26.9</v>
      </c>
      <c r="T581">
        <v>0.74</v>
      </c>
      <c r="U581" t="s">
        <v>207</v>
      </c>
    </row>
    <row r="582" spans="1:21">
      <c r="A582" t="str">
        <f>"002109"</f>
        <v>002109</v>
      </c>
      <c r="B582" t="s">
        <v>1310</v>
      </c>
      <c r="C582">
        <v>1.94</v>
      </c>
      <c r="D582">
        <v>5.26</v>
      </c>
      <c r="E582">
        <v>0.1</v>
      </c>
      <c r="F582">
        <v>5.25</v>
      </c>
      <c r="G582">
        <v>5.26</v>
      </c>
      <c r="H582">
        <v>157406</v>
      </c>
      <c r="I582">
        <v>1441</v>
      </c>
      <c r="J582">
        <v>0</v>
      </c>
      <c r="K582">
        <v>1.49</v>
      </c>
      <c r="L582">
        <v>8186.42</v>
      </c>
      <c r="M582" t="s">
        <v>1311</v>
      </c>
      <c r="N582" t="s">
        <v>309</v>
      </c>
      <c r="O582">
        <v>5.16</v>
      </c>
      <c r="P582">
        <v>5.28</v>
      </c>
      <c r="Q582">
        <v>5.07</v>
      </c>
      <c r="R582">
        <v>5.16</v>
      </c>
      <c r="S582">
        <v>8.57</v>
      </c>
      <c r="T582">
        <v>1.6</v>
      </c>
      <c r="U582" t="s">
        <v>317</v>
      </c>
    </row>
    <row r="583" spans="1:21">
      <c r="A583" t="str">
        <f>"002110"</f>
        <v>002110</v>
      </c>
      <c r="B583" t="s">
        <v>1312</v>
      </c>
      <c r="C583">
        <v>1.24</v>
      </c>
      <c r="D583">
        <v>6.51</v>
      </c>
      <c r="E583">
        <v>0.08</v>
      </c>
      <c r="F583">
        <v>6.51</v>
      </c>
      <c r="G583">
        <v>6.52</v>
      </c>
      <c r="H583">
        <v>350686</v>
      </c>
      <c r="I583">
        <v>4801</v>
      </c>
      <c r="J583">
        <v>0.15</v>
      </c>
      <c r="K583">
        <v>1.43</v>
      </c>
      <c r="L583">
        <v>22623.42</v>
      </c>
      <c r="M583" t="s">
        <v>1313</v>
      </c>
      <c r="N583" t="s">
        <v>551</v>
      </c>
      <c r="O583">
        <v>6.44</v>
      </c>
      <c r="P583">
        <v>6.52</v>
      </c>
      <c r="Q583">
        <v>6.36</v>
      </c>
      <c r="R583">
        <v>6.43</v>
      </c>
      <c r="S583">
        <v>3.56</v>
      </c>
      <c r="T583">
        <v>0.98</v>
      </c>
      <c r="U583" t="s">
        <v>339</v>
      </c>
    </row>
    <row r="584" spans="1:21">
      <c r="A584" t="str">
        <f>"002111"</f>
        <v>002111</v>
      </c>
      <c r="B584" t="s">
        <v>1314</v>
      </c>
      <c r="C584">
        <v>0.4</v>
      </c>
      <c r="D584">
        <v>12.55</v>
      </c>
      <c r="E584">
        <v>0.05</v>
      </c>
      <c r="F584">
        <v>12.55</v>
      </c>
      <c r="G584">
        <v>12.56</v>
      </c>
      <c r="H584">
        <v>50244</v>
      </c>
      <c r="I584">
        <v>526</v>
      </c>
      <c r="J584">
        <v>-0.23</v>
      </c>
      <c r="K584">
        <v>1.07</v>
      </c>
      <c r="L584">
        <v>6309.89</v>
      </c>
      <c r="M584" t="s">
        <v>1315</v>
      </c>
      <c r="N584" t="s">
        <v>611</v>
      </c>
      <c r="O584">
        <v>12.54</v>
      </c>
      <c r="P584">
        <v>12.64</v>
      </c>
      <c r="Q584">
        <v>12.48</v>
      </c>
      <c r="R584">
        <v>12.5</v>
      </c>
      <c r="S584">
        <v>16.42</v>
      </c>
      <c r="T584">
        <v>0.93</v>
      </c>
      <c r="U584" t="s">
        <v>221</v>
      </c>
    </row>
    <row r="585" spans="1:21">
      <c r="A585" t="str">
        <f>"002112"</f>
        <v>002112</v>
      </c>
      <c r="B585" t="s">
        <v>1316</v>
      </c>
      <c r="C585">
        <v>-0.39</v>
      </c>
      <c r="D585">
        <v>7.66</v>
      </c>
      <c r="E585">
        <v>-0.03</v>
      </c>
      <c r="F585">
        <v>7.66</v>
      </c>
      <c r="G585">
        <v>7.67</v>
      </c>
      <c r="H585">
        <v>46673</v>
      </c>
      <c r="I585">
        <v>641</v>
      </c>
      <c r="J585">
        <v>-0.25</v>
      </c>
      <c r="K585">
        <v>2.35</v>
      </c>
      <c r="L585">
        <v>3570.01</v>
      </c>
      <c r="M585" t="s">
        <v>834</v>
      </c>
      <c r="N585" t="s">
        <v>47</v>
      </c>
      <c r="O585">
        <v>7.61</v>
      </c>
      <c r="P585">
        <v>7.79</v>
      </c>
      <c r="Q585">
        <v>7.55</v>
      </c>
      <c r="R585">
        <v>7.69</v>
      </c>
      <c r="S585">
        <v>83.49</v>
      </c>
      <c r="T585">
        <v>0.67</v>
      </c>
      <c r="U585" t="s">
        <v>200</v>
      </c>
    </row>
    <row r="586" spans="1:21">
      <c r="A586" t="str">
        <f>"002113"</f>
        <v>002113</v>
      </c>
      <c r="B586" t="s">
        <v>1317</v>
      </c>
      <c r="C586">
        <v>-0.63</v>
      </c>
      <c r="D586">
        <v>1.58</v>
      </c>
      <c r="E586">
        <v>-0.01</v>
      </c>
      <c r="F586">
        <v>1.58</v>
      </c>
      <c r="G586">
        <v>1.59</v>
      </c>
      <c r="H586">
        <v>201873</v>
      </c>
      <c r="I586">
        <v>3988</v>
      </c>
      <c r="J586">
        <v>0</v>
      </c>
      <c r="K586">
        <v>2.09</v>
      </c>
      <c r="L586">
        <v>3197.31</v>
      </c>
      <c r="M586" t="s">
        <v>1318</v>
      </c>
      <c r="N586" t="s">
        <v>479</v>
      </c>
      <c r="O586">
        <v>1.58</v>
      </c>
      <c r="P586">
        <v>1.61</v>
      </c>
      <c r="Q586">
        <v>1.56</v>
      </c>
      <c r="R586">
        <v>1.59</v>
      </c>
      <c r="S586">
        <v>20.13</v>
      </c>
      <c r="T586">
        <v>1.14</v>
      </c>
      <c r="U586" t="s">
        <v>204</v>
      </c>
    </row>
    <row r="587" spans="1:21">
      <c r="A587" t="str">
        <f>"002114"</f>
        <v>002114</v>
      </c>
      <c r="B587" t="s">
        <v>1319</v>
      </c>
      <c r="C587">
        <v>1.3</v>
      </c>
      <c r="D587">
        <v>7.82</v>
      </c>
      <c r="E587">
        <v>0.1</v>
      </c>
      <c r="F587">
        <v>7.82</v>
      </c>
      <c r="G587">
        <v>7.83</v>
      </c>
      <c r="H587">
        <v>113895</v>
      </c>
      <c r="I587">
        <v>1261</v>
      </c>
      <c r="J587">
        <v>0</v>
      </c>
      <c r="K587">
        <v>3.52</v>
      </c>
      <c r="L587">
        <v>8841.19</v>
      </c>
      <c r="M587" t="s">
        <v>1320</v>
      </c>
      <c r="N587" t="s">
        <v>144</v>
      </c>
      <c r="O587">
        <v>7.72</v>
      </c>
      <c r="P587">
        <v>7.85</v>
      </c>
      <c r="Q587">
        <v>7.64</v>
      </c>
      <c r="R587">
        <v>7.72</v>
      </c>
      <c r="S587">
        <v>31.84</v>
      </c>
      <c r="T587">
        <v>0.97</v>
      </c>
      <c r="U587" t="s">
        <v>363</v>
      </c>
    </row>
    <row r="588" spans="1:21">
      <c r="A588" t="str">
        <f>"002115"</f>
        <v>002115</v>
      </c>
      <c r="B588" t="s">
        <v>1321</v>
      </c>
      <c r="C588">
        <v>0.5</v>
      </c>
      <c r="D588">
        <v>6.02</v>
      </c>
      <c r="E588">
        <v>0.03</v>
      </c>
      <c r="F588">
        <v>6.01</v>
      </c>
      <c r="G588">
        <v>6.02</v>
      </c>
      <c r="H588">
        <v>110506</v>
      </c>
      <c r="I588">
        <v>1260</v>
      </c>
      <c r="J588">
        <v>0.17</v>
      </c>
      <c r="K588">
        <v>1.91</v>
      </c>
      <c r="L588">
        <v>6650.35</v>
      </c>
      <c r="M588" t="s">
        <v>1322</v>
      </c>
      <c r="N588" t="s">
        <v>482</v>
      </c>
      <c r="O588">
        <v>6.03</v>
      </c>
      <c r="P588">
        <v>6.09</v>
      </c>
      <c r="Q588">
        <v>5.94</v>
      </c>
      <c r="R588">
        <v>5.99</v>
      </c>
      <c r="S588">
        <v>53.86</v>
      </c>
      <c r="T588">
        <v>0.5</v>
      </c>
      <c r="U588" t="s">
        <v>200</v>
      </c>
    </row>
    <row r="589" spans="1:21">
      <c r="A589" t="str">
        <f>"002116"</f>
        <v>002116</v>
      </c>
      <c r="B589" t="s">
        <v>1323</v>
      </c>
      <c r="C589">
        <v>0.96</v>
      </c>
      <c r="D589">
        <v>6.3</v>
      </c>
      <c r="E589">
        <v>0.06</v>
      </c>
      <c r="F589">
        <v>6.29</v>
      </c>
      <c r="G589">
        <v>6.3</v>
      </c>
      <c r="H589">
        <v>14338</v>
      </c>
      <c r="I589">
        <v>100</v>
      </c>
      <c r="J589">
        <v>0.16</v>
      </c>
      <c r="K589">
        <v>0.34</v>
      </c>
      <c r="L589">
        <v>898.24</v>
      </c>
      <c r="M589" t="s">
        <v>1324</v>
      </c>
      <c r="N589" t="s">
        <v>50</v>
      </c>
      <c r="O589">
        <v>6.22</v>
      </c>
      <c r="P589">
        <v>6.31</v>
      </c>
      <c r="Q589">
        <v>6.2</v>
      </c>
      <c r="R589">
        <v>6.24</v>
      </c>
      <c r="S589">
        <v>17.12</v>
      </c>
      <c r="T589">
        <v>0.85</v>
      </c>
      <c r="U589" t="s">
        <v>848</v>
      </c>
    </row>
    <row r="590" spans="1:21">
      <c r="A590" t="str">
        <f>"002117"</f>
        <v>002117</v>
      </c>
      <c r="B590" t="s">
        <v>1325</v>
      </c>
      <c r="C590">
        <v>-1.98</v>
      </c>
      <c r="D590">
        <v>7.94</v>
      </c>
      <c r="E590">
        <v>-0.16</v>
      </c>
      <c r="F590">
        <v>7.93</v>
      </c>
      <c r="G590">
        <v>7.94</v>
      </c>
      <c r="H590">
        <v>92948</v>
      </c>
      <c r="I590">
        <v>809</v>
      </c>
      <c r="J590">
        <v>0</v>
      </c>
      <c r="K590">
        <v>1.7</v>
      </c>
      <c r="L590">
        <v>7362.47</v>
      </c>
      <c r="M590" t="s">
        <v>1156</v>
      </c>
      <c r="N590" t="s">
        <v>482</v>
      </c>
      <c r="O590">
        <v>7.95</v>
      </c>
      <c r="P590">
        <v>8</v>
      </c>
      <c r="Q590">
        <v>7.78</v>
      </c>
      <c r="R590">
        <v>8.1</v>
      </c>
      <c r="S590">
        <v>22.39</v>
      </c>
      <c r="T590">
        <v>1.55</v>
      </c>
      <c r="U590" t="s">
        <v>221</v>
      </c>
    </row>
    <row r="591" spans="1:21">
      <c r="A591" t="str">
        <f>"002118"</f>
        <v>002118</v>
      </c>
      <c r="B591" t="s">
        <v>1326</v>
      </c>
      <c r="C591">
        <v>-2.55</v>
      </c>
      <c r="D591">
        <v>2.67</v>
      </c>
      <c r="E591">
        <v>-0.07</v>
      </c>
      <c r="F591">
        <v>2.66</v>
      </c>
      <c r="G591">
        <v>2.67</v>
      </c>
      <c r="H591">
        <v>408318</v>
      </c>
      <c r="I591">
        <v>5065</v>
      </c>
      <c r="J591">
        <v>0</v>
      </c>
      <c r="K591">
        <v>3.19</v>
      </c>
      <c r="L591">
        <v>10897.31</v>
      </c>
      <c r="M591" t="s">
        <v>1327</v>
      </c>
      <c r="N591" t="s">
        <v>270</v>
      </c>
      <c r="O591">
        <v>2.69</v>
      </c>
      <c r="P591">
        <v>2.72</v>
      </c>
      <c r="Q591">
        <v>2.64</v>
      </c>
      <c r="R591">
        <v>2.74</v>
      </c>
      <c r="S591" t="s">
        <v>40</v>
      </c>
      <c r="T591">
        <v>1.42</v>
      </c>
      <c r="U591" t="s">
        <v>92</v>
      </c>
    </row>
    <row r="592" spans="1:21">
      <c r="A592" t="str">
        <f>"002119"</f>
        <v>002119</v>
      </c>
      <c r="B592" t="s">
        <v>1328</v>
      </c>
      <c r="C592">
        <v>0.74</v>
      </c>
      <c r="D592">
        <v>16.35</v>
      </c>
      <c r="E592">
        <v>0.12</v>
      </c>
      <c r="F592">
        <v>16.34</v>
      </c>
      <c r="G592">
        <v>16.35</v>
      </c>
      <c r="H592">
        <v>162721</v>
      </c>
      <c r="I592">
        <v>1579</v>
      </c>
      <c r="J592">
        <v>0.06</v>
      </c>
      <c r="K592">
        <v>4.43</v>
      </c>
      <c r="L592">
        <v>26567.99</v>
      </c>
      <c r="M592" t="s">
        <v>1329</v>
      </c>
      <c r="N592" t="s">
        <v>1246</v>
      </c>
      <c r="O592">
        <v>16.24</v>
      </c>
      <c r="P592">
        <v>16.56</v>
      </c>
      <c r="Q592">
        <v>15.96</v>
      </c>
      <c r="R592">
        <v>16.23</v>
      </c>
      <c r="S592">
        <v>37.01</v>
      </c>
      <c r="T592">
        <v>0.65</v>
      </c>
      <c r="U592" t="s">
        <v>200</v>
      </c>
    </row>
    <row r="593" spans="1:21">
      <c r="A593" t="str">
        <f>"002120"</f>
        <v>002120</v>
      </c>
      <c r="B593" t="s">
        <v>1330</v>
      </c>
      <c r="C593">
        <v>10.01</v>
      </c>
      <c r="D593">
        <v>20.88</v>
      </c>
      <c r="E593">
        <v>1.9</v>
      </c>
      <c r="F593">
        <v>20.88</v>
      </c>
      <c r="G593" t="s">
        <v>40</v>
      </c>
      <c r="H593">
        <v>279225</v>
      </c>
      <c r="I593">
        <v>157</v>
      </c>
      <c r="J593">
        <v>0</v>
      </c>
      <c r="K593">
        <v>0.99</v>
      </c>
      <c r="L593">
        <v>57647.15</v>
      </c>
      <c r="M593" t="s">
        <v>1331</v>
      </c>
      <c r="N593" t="s">
        <v>1049</v>
      </c>
      <c r="O593">
        <v>19.44</v>
      </c>
      <c r="P593">
        <v>20.88</v>
      </c>
      <c r="Q593">
        <v>19.41</v>
      </c>
      <c r="R593">
        <v>18.98</v>
      </c>
      <c r="S593">
        <v>58.19</v>
      </c>
      <c r="T593">
        <v>1.64</v>
      </c>
      <c r="U593" t="s">
        <v>200</v>
      </c>
    </row>
    <row r="594" spans="1:21">
      <c r="A594" t="str">
        <f>"002121"</f>
        <v>002121</v>
      </c>
      <c r="B594" t="s">
        <v>1332</v>
      </c>
      <c r="C594">
        <v>-5</v>
      </c>
      <c r="D594">
        <v>6.27</v>
      </c>
      <c r="E594">
        <v>-0.33</v>
      </c>
      <c r="F594">
        <v>6.27</v>
      </c>
      <c r="G594">
        <v>6.28</v>
      </c>
      <c r="H594">
        <v>600630</v>
      </c>
      <c r="I594">
        <v>5812</v>
      </c>
      <c r="J594">
        <v>0</v>
      </c>
      <c r="K594">
        <v>6.07</v>
      </c>
      <c r="L594">
        <v>38227.12</v>
      </c>
      <c r="M594" t="s">
        <v>1333</v>
      </c>
      <c r="N594" t="s">
        <v>1028</v>
      </c>
      <c r="O594">
        <v>6.56</v>
      </c>
      <c r="P594">
        <v>6.65</v>
      </c>
      <c r="Q594">
        <v>6.25</v>
      </c>
      <c r="R594">
        <v>6.6</v>
      </c>
      <c r="S594" t="s">
        <v>40</v>
      </c>
      <c r="T594">
        <v>2.67</v>
      </c>
      <c r="U594" t="s">
        <v>24</v>
      </c>
    </row>
    <row r="595" spans="1:21">
      <c r="A595" t="str">
        <f>"002122"</f>
        <v>002122</v>
      </c>
      <c r="B595" t="s">
        <v>1334</v>
      </c>
      <c r="C595">
        <v>1.33</v>
      </c>
      <c r="D595">
        <v>3.04</v>
      </c>
      <c r="E595">
        <v>0.04</v>
      </c>
      <c r="F595">
        <v>3.04</v>
      </c>
      <c r="G595">
        <v>3.05</v>
      </c>
      <c r="H595">
        <v>63459</v>
      </c>
      <c r="I595">
        <v>402</v>
      </c>
      <c r="J595">
        <v>0</v>
      </c>
      <c r="K595">
        <v>0.53</v>
      </c>
      <c r="L595">
        <v>1926.18</v>
      </c>
      <c r="M595" t="s">
        <v>1335</v>
      </c>
      <c r="N595" t="s">
        <v>347</v>
      </c>
      <c r="O595">
        <v>3.05</v>
      </c>
      <c r="P595">
        <v>3.07</v>
      </c>
      <c r="Q595">
        <v>3.01</v>
      </c>
      <c r="R595">
        <v>3</v>
      </c>
      <c r="S595">
        <v>19.61</v>
      </c>
      <c r="T595">
        <v>0.93</v>
      </c>
      <c r="U595" t="s">
        <v>200</v>
      </c>
    </row>
    <row r="596" spans="1:21">
      <c r="A596" t="str">
        <f>"002123"</f>
        <v>002123</v>
      </c>
      <c r="B596" t="s">
        <v>1336</v>
      </c>
      <c r="C596">
        <v>0.06</v>
      </c>
      <c r="D596">
        <v>17.43</v>
      </c>
      <c r="E596">
        <v>0.01</v>
      </c>
      <c r="F596">
        <v>17.42</v>
      </c>
      <c r="G596">
        <v>17.43</v>
      </c>
      <c r="H596">
        <v>237120</v>
      </c>
      <c r="I596">
        <v>2039</v>
      </c>
      <c r="J596">
        <v>-0.05</v>
      </c>
      <c r="K596">
        <v>3.56</v>
      </c>
      <c r="L596">
        <v>40860.52</v>
      </c>
      <c r="M596" t="s">
        <v>1337</v>
      </c>
      <c r="N596" t="s">
        <v>479</v>
      </c>
      <c r="O596">
        <v>17.15</v>
      </c>
      <c r="P596">
        <v>17.54</v>
      </c>
      <c r="Q596">
        <v>16.91</v>
      </c>
      <c r="R596">
        <v>17.42</v>
      </c>
      <c r="S596">
        <v>117.63</v>
      </c>
      <c r="T596">
        <v>0.79</v>
      </c>
      <c r="U596" t="s">
        <v>141</v>
      </c>
    </row>
    <row r="597" spans="1:21">
      <c r="A597" t="str">
        <f>"002124"</f>
        <v>002124</v>
      </c>
      <c r="B597" t="s">
        <v>1338</v>
      </c>
      <c r="C597">
        <v>-0.59</v>
      </c>
      <c r="D597">
        <v>6.72</v>
      </c>
      <c r="E597">
        <v>-0.04</v>
      </c>
      <c r="F597">
        <v>6.71</v>
      </c>
      <c r="G597">
        <v>6.72</v>
      </c>
      <c r="H597">
        <v>303140</v>
      </c>
      <c r="I597">
        <v>3294</v>
      </c>
      <c r="J597">
        <v>-0.14</v>
      </c>
      <c r="K597">
        <v>1.97</v>
      </c>
      <c r="L597">
        <v>20232.2</v>
      </c>
      <c r="M597" t="s">
        <v>1339</v>
      </c>
      <c r="N597" t="s">
        <v>124</v>
      </c>
      <c r="O597">
        <v>6.77</v>
      </c>
      <c r="P597">
        <v>6.77</v>
      </c>
      <c r="Q597">
        <v>6.6</v>
      </c>
      <c r="R597">
        <v>6.76</v>
      </c>
      <c r="S597" t="s">
        <v>40</v>
      </c>
      <c r="T597">
        <v>0.82</v>
      </c>
      <c r="U597" t="s">
        <v>200</v>
      </c>
    </row>
    <row r="598" spans="1:21">
      <c r="A598" t="str">
        <f>"002125"</f>
        <v>002125</v>
      </c>
      <c r="B598" t="s">
        <v>1340</v>
      </c>
      <c r="C598">
        <v>0.94</v>
      </c>
      <c r="D598">
        <v>11.85</v>
      </c>
      <c r="E598">
        <v>0.11</v>
      </c>
      <c r="F598">
        <v>11.85</v>
      </c>
      <c r="G598">
        <v>11.86</v>
      </c>
      <c r="H598">
        <v>261737</v>
      </c>
      <c r="I598">
        <v>1707</v>
      </c>
      <c r="J598">
        <v>0</v>
      </c>
      <c r="K598">
        <v>4.41</v>
      </c>
      <c r="L598">
        <v>31275.05</v>
      </c>
      <c r="M598" t="s">
        <v>1341</v>
      </c>
      <c r="N598" t="s">
        <v>309</v>
      </c>
      <c r="O598">
        <v>11.91</v>
      </c>
      <c r="P598">
        <v>12.23</v>
      </c>
      <c r="Q598">
        <v>11.75</v>
      </c>
      <c r="R598">
        <v>11.74</v>
      </c>
      <c r="S598">
        <v>52.92</v>
      </c>
      <c r="T598">
        <v>1.12</v>
      </c>
      <c r="U598" t="s">
        <v>204</v>
      </c>
    </row>
    <row r="599" spans="1:21">
      <c r="A599" t="str">
        <f>"002126"</f>
        <v>002126</v>
      </c>
      <c r="B599" t="s">
        <v>1342</v>
      </c>
      <c r="C599">
        <v>-0.23</v>
      </c>
      <c r="D599">
        <v>13.07</v>
      </c>
      <c r="E599">
        <v>-0.03</v>
      </c>
      <c r="F599">
        <v>13.06</v>
      </c>
      <c r="G599">
        <v>13.07</v>
      </c>
      <c r="H599">
        <v>107645</v>
      </c>
      <c r="I599">
        <v>966</v>
      </c>
      <c r="J599">
        <v>0</v>
      </c>
      <c r="K599">
        <v>1.41</v>
      </c>
      <c r="L599">
        <v>14120.53</v>
      </c>
      <c r="M599" t="s">
        <v>1343</v>
      </c>
      <c r="N599" t="s">
        <v>91</v>
      </c>
      <c r="O599">
        <v>13.14</v>
      </c>
      <c r="P599">
        <v>13.28</v>
      </c>
      <c r="Q599">
        <v>13</v>
      </c>
      <c r="R599">
        <v>13.1</v>
      </c>
      <c r="S599">
        <v>35.99</v>
      </c>
      <c r="T599">
        <v>0.53</v>
      </c>
      <c r="U599" t="s">
        <v>200</v>
      </c>
    </row>
    <row r="600" spans="1:21">
      <c r="A600" t="str">
        <f>"002127"</f>
        <v>002127</v>
      </c>
      <c r="B600" t="s">
        <v>1344</v>
      </c>
      <c r="C600">
        <v>0.59</v>
      </c>
      <c r="D600">
        <v>6.8</v>
      </c>
      <c r="E600">
        <v>0.04</v>
      </c>
      <c r="F600">
        <v>6.79</v>
      </c>
      <c r="G600">
        <v>6.8</v>
      </c>
      <c r="H600">
        <v>305399</v>
      </c>
      <c r="I600">
        <v>5385</v>
      </c>
      <c r="J600">
        <v>0</v>
      </c>
      <c r="K600">
        <v>1.55</v>
      </c>
      <c r="L600">
        <v>20680.94</v>
      </c>
      <c r="M600" t="s">
        <v>1345</v>
      </c>
      <c r="N600" t="s">
        <v>479</v>
      </c>
      <c r="O600">
        <v>6.72</v>
      </c>
      <c r="P600">
        <v>6.81</v>
      </c>
      <c r="Q600">
        <v>6.72</v>
      </c>
      <c r="R600">
        <v>6.76</v>
      </c>
      <c r="S600">
        <v>31.05</v>
      </c>
      <c r="T600">
        <v>0.59</v>
      </c>
      <c r="U600" t="s">
        <v>102</v>
      </c>
    </row>
    <row r="601" spans="1:21">
      <c r="A601" t="str">
        <f>"002128"</f>
        <v>002128</v>
      </c>
      <c r="B601" t="s">
        <v>1346</v>
      </c>
      <c r="C601">
        <v>1.06</v>
      </c>
      <c r="D601">
        <v>11.46</v>
      </c>
      <c r="E601">
        <v>0.12</v>
      </c>
      <c r="F601">
        <v>11.46</v>
      </c>
      <c r="G601">
        <v>11.47</v>
      </c>
      <c r="H601">
        <v>331529</v>
      </c>
      <c r="I601">
        <v>3872</v>
      </c>
      <c r="J601">
        <v>0</v>
      </c>
      <c r="K601">
        <v>1.88</v>
      </c>
      <c r="L601">
        <v>37409.62</v>
      </c>
      <c r="M601" t="s">
        <v>1347</v>
      </c>
      <c r="N601" t="s">
        <v>390</v>
      </c>
      <c r="O601">
        <v>11.26</v>
      </c>
      <c r="P601">
        <v>11.48</v>
      </c>
      <c r="Q601">
        <v>11.06</v>
      </c>
      <c r="R601">
        <v>11.34</v>
      </c>
      <c r="S601">
        <v>5.75</v>
      </c>
      <c r="T601">
        <v>1.25</v>
      </c>
      <c r="U601" t="s">
        <v>275</v>
      </c>
    </row>
    <row r="602" spans="1:21">
      <c r="A602" t="str">
        <f>"002129"</f>
        <v>002129</v>
      </c>
      <c r="B602" t="s">
        <v>1348</v>
      </c>
      <c r="C602">
        <v>1.42</v>
      </c>
      <c r="D602">
        <v>46.42</v>
      </c>
      <c r="E602">
        <v>0.65</v>
      </c>
      <c r="F602">
        <v>46.42</v>
      </c>
      <c r="G602">
        <v>46.43</v>
      </c>
      <c r="H602">
        <v>470825</v>
      </c>
      <c r="I602">
        <v>4916</v>
      </c>
      <c r="J602">
        <v>0.06</v>
      </c>
      <c r="K602">
        <v>1.55</v>
      </c>
      <c r="L602">
        <v>217571.64</v>
      </c>
      <c r="M602" t="s">
        <v>1349</v>
      </c>
      <c r="N602" t="s">
        <v>47</v>
      </c>
      <c r="O602">
        <v>46.2</v>
      </c>
      <c r="P602">
        <v>46.8</v>
      </c>
      <c r="Q602">
        <v>45.54</v>
      </c>
      <c r="R602">
        <v>45.77</v>
      </c>
      <c r="S602">
        <v>40.74</v>
      </c>
      <c r="T602">
        <v>0.95</v>
      </c>
      <c r="U602" t="s">
        <v>360</v>
      </c>
    </row>
    <row r="603" spans="1:21">
      <c r="A603" t="str">
        <f>"002130"</f>
        <v>002130</v>
      </c>
      <c r="B603" t="s">
        <v>1350</v>
      </c>
      <c r="C603">
        <v>0.84</v>
      </c>
      <c r="D603">
        <v>8.42</v>
      </c>
      <c r="E603">
        <v>0.07</v>
      </c>
      <c r="F603">
        <v>8.42</v>
      </c>
      <c r="G603">
        <v>8.43</v>
      </c>
      <c r="H603">
        <v>250439</v>
      </c>
      <c r="I603">
        <v>2360</v>
      </c>
      <c r="J603">
        <v>0</v>
      </c>
      <c r="K603">
        <v>2.01</v>
      </c>
      <c r="L603">
        <v>21101.35</v>
      </c>
      <c r="M603" t="s">
        <v>1351</v>
      </c>
      <c r="N603" t="s">
        <v>47</v>
      </c>
      <c r="O603">
        <v>8.32</v>
      </c>
      <c r="P603">
        <v>8.55</v>
      </c>
      <c r="Q603">
        <v>8.32</v>
      </c>
      <c r="R603">
        <v>8.35</v>
      </c>
      <c r="S603">
        <v>17.91</v>
      </c>
      <c r="T603">
        <v>0.68</v>
      </c>
      <c r="U603" t="s">
        <v>24</v>
      </c>
    </row>
    <row r="604" spans="1:21">
      <c r="A604" t="str">
        <f>"002131"</f>
        <v>002131</v>
      </c>
      <c r="B604" t="s">
        <v>1352</v>
      </c>
      <c r="C604">
        <v>0.34</v>
      </c>
      <c r="D604">
        <v>2.95</v>
      </c>
      <c r="E604">
        <v>0.01</v>
      </c>
      <c r="F604">
        <v>2.95</v>
      </c>
      <c r="G604">
        <v>2.96</v>
      </c>
      <c r="H604">
        <v>9628467</v>
      </c>
      <c r="I604">
        <v>48308</v>
      </c>
      <c r="J604">
        <v>0</v>
      </c>
      <c r="K604">
        <v>16.59</v>
      </c>
      <c r="L604">
        <v>282312.58</v>
      </c>
      <c r="M604" t="s">
        <v>1353</v>
      </c>
      <c r="N604" t="s">
        <v>479</v>
      </c>
      <c r="O604">
        <v>2.95</v>
      </c>
      <c r="P604">
        <v>3.08</v>
      </c>
      <c r="Q604">
        <v>2.76</v>
      </c>
      <c r="R604">
        <v>2.94</v>
      </c>
      <c r="S604" t="s">
        <v>40</v>
      </c>
      <c r="T604">
        <v>7.72</v>
      </c>
      <c r="U604" t="s">
        <v>200</v>
      </c>
    </row>
    <row r="605" spans="1:21">
      <c r="A605" t="str">
        <f>"002132"</f>
        <v>002132</v>
      </c>
      <c r="B605" t="s">
        <v>1354</v>
      </c>
      <c r="C605">
        <v>6.42</v>
      </c>
      <c r="D605">
        <v>6.13</v>
      </c>
      <c r="E605">
        <v>0.37</v>
      </c>
      <c r="F605">
        <v>6.12</v>
      </c>
      <c r="G605">
        <v>6.13</v>
      </c>
      <c r="H605">
        <v>918262</v>
      </c>
      <c r="I605">
        <v>9505</v>
      </c>
      <c r="J605">
        <v>-0.32</v>
      </c>
      <c r="K605">
        <v>7.33</v>
      </c>
      <c r="L605">
        <v>56059.05</v>
      </c>
      <c r="M605" t="s">
        <v>1355</v>
      </c>
      <c r="N605" t="s">
        <v>724</v>
      </c>
      <c r="O605">
        <v>5.82</v>
      </c>
      <c r="P605">
        <v>6.25</v>
      </c>
      <c r="Q605">
        <v>5.8</v>
      </c>
      <c r="R605">
        <v>5.76</v>
      </c>
      <c r="S605">
        <v>63.52</v>
      </c>
      <c r="T605">
        <v>1.79</v>
      </c>
      <c r="U605" t="s">
        <v>224</v>
      </c>
    </row>
    <row r="606" spans="1:21">
      <c r="A606" t="str">
        <f>"002133"</f>
        <v>002133</v>
      </c>
      <c r="B606" t="s">
        <v>1356</v>
      </c>
      <c r="C606">
        <v>1.8</v>
      </c>
      <c r="D606">
        <v>2.83</v>
      </c>
      <c r="E606">
        <v>0.05</v>
      </c>
      <c r="F606">
        <v>2.82</v>
      </c>
      <c r="G606">
        <v>2.83</v>
      </c>
      <c r="H606">
        <v>40567</v>
      </c>
      <c r="I606">
        <v>545</v>
      </c>
      <c r="J606">
        <v>0</v>
      </c>
      <c r="K606">
        <v>0.53</v>
      </c>
      <c r="L606">
        <v>1140.12</v>
      </c>
      <c r="M606" t="s">
        <v>1357</v>
      </c>
      <c r="N606" t="s">
        <v>27</v>
      </c>
      <c r="O606">
        <v>2.78</v>
      </c>
      <c r="P606">
        <v>2.84</v>
      </c>
      <c r="Q606">
        <v>2.78</v>
      </c>
      <c r="R606">
        <v>2.78</v>
      </c>
      <c r="S606">
        <v>9.03</v>
      </c>
      <c r="T606">
        <v>0.95</v>
      </c>
      <c r="U606" t="s">
        <v>200</v>
      </c>
    </row>
    <row r="607" spans="1:21">
      <c r="A607" t="str">
        <f>"002134"</f>
        <v>002134</v>
      </c>
      <c r="B607" t="s">
        <v>1358</v>
      </c>
      <c r="C607">
        <v>5.68</v>
      </c>
      <c r="D607">
        <v>10.97</v>
      </c>
      <c r="E607">
        <v>0.59</v>
      </c>
      <c r="F607">
        <v>10.96</v>
      </c>
      <c r="G607">
        <v>10.97</v>
      </c>
      <c r="H607">
        <v>85656</v>
      </c>
      <c r="I607">
        <v>541</v>
      </c>
      <c r="J607">
        <v>-0.08</v>
      </c>
      <c r="K607">
        <v>3.48</v>
      </c>
      <c r="L607">
        <v>9189.49</v>
      </c>
      <c r="M607" t="s">
        <v>773</v>
      </c>
      <c r="N607" t="s">
        <v>69</v>
      </c>
      <c r="O607">
        <v>10.35</v>
      </c>
      <c r="P607">
        <v>11.01</v>
      </c>
      <c r="Q607">
        <v>10.29</v>
      </c>
      <c r="R607">
        <v>10.38</v>
      </c>
      <c r="S607">
        <v>112.46</v>
      </c>
      <c r="T607">
        <v>1.35</v>
      </c>
      <c r="U607" t="s">
        <v>360</v>
      </c>
    </row>
    <row r="608" spans="1:21">
      <c r="A608" t="str">
        <f>"002135"</f>
        <v>002135</v>
      </c>
      <c r="B608" t="s">
        <v>1359</v>
      </c>
      <c r="C608">
        <v>0.43</v>
      </c>
      <c r="D608">
        <v>9.4</v>
      </c>
      <c r="E608">
        <v>0.04</v>
      </c>
      <c r="F608">
        <v>9.39</v>
      </c>
      <c r="G608">
        <v>9.4</v>
      </c>
      <c r="H608">
        <v>333100</v>
      </c>
      <c r="I608">
        <v>2913</v>
      </c>
      <c r="J608">
        <v>0.11</v>
      </c>
      <c r="K608">
        <v>3.46</v>
      </c>
      <c r="L608">
        <v>30862.28</v>
      </c>
      <c r="M608" t="s">
        <v>1360</v>
      </c>
      <c r="N608" t="s">
        <v>50</v>
      </c>
      <c r="O608">
        <v>9.35</v>
      </c>
      <c r="P608">
        <v>9.45</v>
      </c>
      <c r="Q608">
        <v>9.12</v>
      </c>
      <c r="R608">
        <v>9.36</v>
      </c>
      <c r="S608">
        <v>13.92</v>
      </c>
      <c r="T608">
        <v>1.01</v>
      </c>
      <c r="U608" t="s">
        <v>200</v>
      </c>
    </row>
    <row r="609" spans="1:21">
      <c r="A609" t="str">
        <f>"002136"</f>
        <v>002136</v>
      </c>
      <c r="B609" t="s">
        <v>1361</v>
      </c>
      <c r="C609">
        <v>-0.12</v>
      </c>
      <c r="D609">
        <v>16.65</v>
      </c>
      <c r="E609">
        <v>-0.02</v>
      </c>
      <c r="F609">
        <v>16.65</v>
      </c>
      <c r="G609">
        <v>16.66</v>
      </c>
      <c r="H609">
        <v>128689</v>
      </c>
      <c r="I609">
        <v>1876</v>
      </c>
      <c r="J609">
        <v>-0.05</v>
      </c>
      <c r="K609">
        <v>6.01</v>
      </c>
      <c r="L609">
        <v>21452.96</v>
      </c>
      <c r="M609" t="s">
        <v>1362</v>
      </c>
      <c r="N609" t="s">
        <v>309</v>
      </c>
      <c r="O609">
        <v>16.59</v>
      </c>
      <c r="P609">
        <v>16.87</v>
      </c>
      <c r="Q609">
        <v>16.42</v>
      </c>
      <c r="R609">
        <v>16.67</v>
      </c>
      <c r="S609">
        <v>20.83</v>
      </c>
      <c r="T609">
        <v>1.1</v>
      </c>
      <c r="U609" t="s">
        <v>193</v>
      </c>
    </row>
    <row r="610" spans="1:21">
      <c r="A610" t="str">
        <f>"002137"</f>
        <v>002137</v>
      </c>
      <c r="B610" t="s">
        <v>1363</v>
      </c>
      <c r="C610">
        <v>0.53</v>
      </c>
      <c r="D610">
        <v>5.7</v>
      </c>
      <c r="E610">
        <v>0.03</v>
      </c>
      <c r="F610">
        <v>5.69</v>
      </c>
      <c r="G610">
        <v>5.7</v>
      </c>
      <c r="H610">
        <v>48045</v>
      </c>
      <c r="I610">
        <v>694</v>
      </c>
      <c r="J610">
        <v>0.53</v>
      </c>
      <c r="K610">
        <v>1.23</v>
      </c>
      <c r="L610">
        <v>2737.53</v>
      </c>
      <c r="M610" t="s">
        <v>1364</v>
      </c>
      <c r="N610" t="s">
        <v>153</v>
      </c>
      <c r="O610">
        <v>5.67</v>
      </c>
      <c r="P610">
        <v>5.76</v>
      </c>
      <c r="Q610">
        <v>5.64</v>
      </c>
      <c r="R610">
        <v>5.67</v>
      </c>
      <c r="S610">
        <v>53.85</v>
      </c>
      <c r="T610">
        <v>0.99</v>
      </c>
      <c r="U610" t="s">
        <v>24</v>
      </c>
    </row>
    <row r="611" spans="1:21">
      <c r="A611" t="str">
        <f>"002138"</f>
        <v>002138</v>
      </c>
      <c r="B611" t="s">
        <v>1365</v>
      </c>
      <c r="C611">
        <v>5.56</v>
      </c>
      <c r="D611">
        <v>38</v>
      </c>
      <c r="E611">
        <v>2</v>
      </c>
      <c r="F611">
        <v>37.99</v>
      </c>
      <c r="G611">
        <v>38</v>
      </c>
      <c r="H611">
        <v>145669</v>
      </c>
      <c r="I611">
        <v>3819</v>
      </c>
      <c r="J611">
        <v>0.26</v>
      </c>
      <c r="K611">
        <v>2.05</v>
      </c>
      <c r="L611">
        <v>54428.63</v>
      </c>
      <c r="M611" t="s">
        <v>1366</v>
      </c>
      <c r="N611" t="s">
        <v>69</v>
      </c>
      <c r="O611">
        <v>35.99</v>
      </c>
      <c r="P611">
        <v>38.37</v>
      </c>
      <c r="Q611">
        <v>35.95</v>
      </c>
      <c r="R611">
        <v>36</v>
      </c>
      <c r="S611">
        <v>38.14</v>
      </c>
      <c r="T611">
        <v>1.62</v>
      </c>
      <c r="U611" t="s">
        <v>24</v>
      </c>
    </row>
    <row r="612" spans="1:21">
      <c r="A612" t="str">
        <f>"002139"</f>
        <v>002139</v>
      </c>
      <c r="B612" t="s">
        <v>1367</v>
      </c>
      <c r="C612">
        <v>-0.59</v>
      </c>
      <c r="D612">
        <v>18.49</v>
      </c>
      <c r="E612">
        <v>-0.11</v>
      </c>
      <c r="F612">
        <v>18.49</v>
      </c>
      <c r="G612">
        <v>18.5</v>
      </c>
      <c r="H612">
        <v>885963</v>
      </c>
      <c r="I612">
        <v>11551</v>
      </c>
      <c r="J612">
        <v>0</v>
      </c>
      <c r="K612">
        <v>9.32</v>
      </c>
      <c r="L612">
        <v>166346.18</v>
      </c>
      <c r="M612" t="s">
        <v>1368</v>
      </c>
      <c r="N612" t="s">
        <v>69</v>
      </c>
      <c r="O612">
        <v>18.79</v>
      </c>
      <c r="P612">
        <v>19.36</v>
      </c>
      <c r="Q612">
        <v>18.18</v>
      </c>
      <c r="R612">
        <v>18.6</v>
      </c>
      <c r="S612">
        <v>30.37</v>
      </c>
      <c r="T612">
        <v>0.94</v>
      </c>
      <c r="U612" t="s">
        <v>24</v>
      </c>
    </row>
    <row r="613" spans="1:21">
      <c r="A613" t="str">
        <f>"002140"</f>
        <v>002140</v>
      </c>
      <c r="B613" t="s">
        <v>1369</v>
      </c>
      <c r="C613">
        <v>-2.98</v>
      </c>
      <c r="D613">
        <v>11.73</v>
      </c>
      <c r="E613">
        <v>-0.36</v>
      </c>
      <c r="F613">
        <v>11.72</v>
      </c>
      <c r="G613">
        <v>11.73</v>
      </c>
      <c r="H613">
        <v>199046</v>
      </c>
      <c r="I613">
        <v>1401</v>
      </c>
      <c r="J613">
        <v>0.17</v>
      </c>
      <c r="K613">
        <v>3.73</v>
      </c>
      <c r="L613">
        <v>23288.64</v>
      </c>
      <c r="M613" t="s">
        <v>1370</v>
      </c>
      <c r="N613" t="s">
        <v>50</v>
      </c>
      <c r="O613">
        <v>11.94</v>
      </c>
      <c r="P613">
        <v>11.96</v>
      </c>
      <c r="Q613">
        <v>11.53</v>
      </c>
      <c r="R613">
        <v>12.09</v>
      </c>
      <c r="S613">
        <v>24.28</v>
      </c>
      <c r="T613">
        <v>1.24</v>
      </c>
      <c r="U613" t="s">
        <v>193</v>
      </c>
    </row>
    <row r="614" spans="1:21">
      <c r="A614" t="str">
        <f>"002141"</f>
        <v>002141</v>
      </c>
      <c r="B614" t="s">
        <v>1371</v>
      </c>
      <c r="C614">
        <v>-1.68</v>
      </c>
      <c r="D614">
        <v>8.2</v>
      </c>
      <c r="E614">
        <v>-0.14</v>
      </c>
      <c r="F614">
        <v>8.2</v>
      </c>
      <c r="G614">
        <v>8.21</v>
      </c>
      <c r="H614">
        <v>219479</v>
      </c>
      <c r="I614">
        <v>3391</v>
      </c>
      <c r="J614">
        <v>-0.11</v>
      </c>
      <c r="K614">
        <v>1.93</v>
      </c>
      <c r="L614">
        <v>18116.98</v>
      </c>
      <c r="M614" t="s">
        <v>1372</v>
      </c>
      <c r="N614" t="s">
        <v>47</v>
      </c>
      <c r="O614">
        <v>8.36</v>
      </c>
      <c r="P614">
        <v>8.53</v>
      </c>
      <c r="Q614">
        <v>8.15</v>
      </c>
      <c r="R614">
        <v>8.34</v>
      </c>
      <c r="S614">
        <v>387.88</v>
      </c>
      <c r="T614">
        <v>0.59</v>
      </c>
      <c r="U614" t="s">
        <v>183</v>
      </c>
    </row>
    <row r="615" spans="1:21">
      <c r="A615" t="str">
        <f>"002142"</f>
        <v>002142</v>
      </c>
      <c r="B615" t="s">
        <v>1373</v>
      </c>
      <c r="C615">
        <v>1.68</v>
      </c>
      <c r="D615">
        <v>38.76</v>
      </c>
      <c r="E615">
        <v>0.64</v>
      </c>
      <c r="F615">
        <v>38.76</v>
      </c>
      <c r="G615">
        <v>38.78</v>
      </c>
      <c r="H615">
        <v>297558</v>
      </c>
      <c r="I615">
        <v>3321</v>
      </c>
      <c r="J615">
        <v>-0.38</v>
      </c>
      <c r="K615">
        <v>0.5</v>
      </c>
      <c r="L615">
        <v>114295.83</v>
      </c>
      <c r="M615" t="s">
        <v>1374</v>
      </c>
      <c r="N615" t="s">
        <v>23</v>
      </c>
      <c r="O615">
        <v>37.88</v>
      </c>
      <c r="P615">
        <v>39.09</v>
      </c>
      <c r="Q615">
        <v>37.62</v>
      </c>
      <c r="R615">
        <v>38.12</v>
      </c>
      <c r="S615">
        <v>12.21</v>
      </c>
      <c r="T615">
        <v>1.93</v>
      </c>
      <c r="U615" t="s">
        <v>200</v>
      </c>
    </row>
    <row r="616" spans="1:21">
      <c r="A616" t="str">
        <f>"002144"</f>
        <v>002144</v>
      </c>
      <c r="B616" t="s">
        <v>1375</v>
      </c>
      <c r="C616">
        <v>1.29</v>
      </c>
      <c r="D616">
        <v>9.45</v>
      </c>
      <c r="E616">
        <v>0.12</v>
      </c>
      <c r="F616">
        <v>9.44</v>
      </c>
      <c r="G616">
        <v>9.45</v>
      </c>
      <c r="H616">
        <v>19461</v>
      </c>
      <c r="I616">
        <v>74</v>
      </c>
      <c r="J616">
        <v>0.11</v>
      </c>
      <c r="K616">
        <v>1.4</v>
      </c>
      <c r="L616">
        <v>1828.61</v>
      </c>
      <c r="M616" t="s">
        <v>1376</v>
      </c>
      <c r="N616" t="s">
        <v>664</v>
      </c>
      <c r="O616">
        <v>9.38</v>
      </c>
      <c r="P616">
        <v>9.48</v>
      </c>
      <c r="Q616">
        <v>9.29</v>
      </c>
      <c r="R616">
        <v>9.33</v>
      </c>
      <c r="S616">
        <v>12.77</v>
      </c>
      <c r="T616">
        <v>0.99</v>
      </c>
      <c r="U616" t="s">
        <v>200</v>
      </c>
    </row>
    <row r="617" spans="1:21">
      <c r="A617" t="str">
        <f>"002145"</f>
        <v>002145</v>
      </c>
      <c r="B617" t="s">
        <v>1377</v>
      </c>
      <c r="C617">
        <v>-0.51</v>
      </c>
      <c r="D617">
        <v>13.57</v>
      </c>
      <c r="E617">
        <v>-0.07</v>
      </c>
      <c r="F617">
        <v>13.56</v>
      </c>
      <c r="G617">
        <v>13.57</v>
      </c>
      <c r="H617">
        <v>592814</v>
      </c>
      <c r="I617">
        <v>3842</v>
      </c>
      <c r="J617">
        <v>0.07</v>
      </c>
      <c r="K617">
        <v>3.73</v>
      </c>
      <c r="L617">
        <v>78643.08</v>
      </c>
      <c r="M617" t="s">
        <v>1378</v>
      </c>
      <c r="N617" t="s">
        <v>309</v>
      </c>
      <c r="O617">
        <v>13.41</v>
      </c>
      <c r="P617">
        <v>13.65</v>
      </c>
      <c r="Q617">
        <v>12.96</v>
      </c>
      <c r="R617">
        <v>13.64</v>
      </c>
      <c r="S617">
        <v>20.87</v>
      </c>
      <c r="T617">
        <v>1.34</v>
      </c>
      <c r="U617" t="s">
        <v>391</v>
      </c>
    </row>
    <row r="618" spans="1:21">
      <c r="A618" t="str">
        <f>"002146"</f>
        <v>002146</v>
      </c>
      <c r="B618" t="s">
        <v>1379</v>
      </c>
      <c r="C618">
        <v>3.1</v>
      </c>
      <c r="D618">
        <v>4.32</v>
      </c>
      <c r="E618">
        <v>0.13</v>
      </c>
      <c r="F618">
        <v>4.32</v>
      </c>
      <c r="G618">
        <v>4.33</v>
      </c>
      <c r="H618">
        <v>271992</v>
      </c>
      <c r="I618">
        <v>2783</v>
      </c>
      <c r="J618">
        <v>0</v>
      </c>
      <c r="K618">
        <v>0.7</v>
      </c>
      <c r="L618">
        <v>11591.04</v>
      </c>
      <c r="M618" t="s">
        <v>1380</v>
      </c>
      <c r="N618" t="s">
        <v>27</v>
      </c>
      <c r="O618">
        <v>4.18</v>
      </c>
      <c r="P618">
        <v>4.34</v>
      </c>
      <c r="Q618">
        <v>4.17</v>
      </c>
      <c r="R618">
        <v>4.19</v>
      </c>
      <c r="S618">
        <v>4.54</v>
      </c>
      <c r="T618">
        <v>1.23</v>
      </c>
      <c r="U618" t="s">
        <v>207</v>
      </c>
    </row>
    <row r="619" spans="1:21">
      <c r="A619" t="str">
        <f>"002147"</f>
        <v>002147</v>
      </c>
      <c r="B619" t="s">
        <v>1381</v>
      </c>
      <c r="C619">
        <v>5.1</v>
      </c>
      <c r="D619">
        <v>5.15</v>
      </c>
      <c r="E619">
        <v>0.25</v>
      </c>
      <c r="F619">
        <v>5.14</v>
      </c>
      <c r="G619">
        <v>5.15</v>
      </c>
      <c r="H619">
        <v>132211</v>
      </c>
      <c r="I619">
        <v>1919</v>
      </c>
      <c r="J619">
        <v>0</v>
      </c>
      <c r="K619">
        <v>2.47</v>
      </c>
      <c r="L619">
        <v>6670.15</v>
      </c>
      <c r="M619" t="s">
        <v>1382</v>
      </c>
      <c r="N619" t="s">
        <v>36</v>
      </c>
      <c r="O619">
        <v>4.96</v>
      </c>
      <c r="P619">
        <v>5.15</v>
      </c>
      <c r="Q619">
        <v>4.82</v>
      </c>
      <c r="R619">
        <v>4.9</v>
      </c>
      <c r="S619">
        <v>7.32</v>
      </c>
      <c r="T619">
        <v>0.86</v>
      </c>
      <c r="U619" t="s">
        <v>193</v>
      </c>
    </row>
    <row r="620" spans="1:21">
      <c r="A620" t="str">
        <f>"002148"</f>
        <v>002148</v>
      </c>
      <c r="B620" t="s">
        <v>1383</v>
      </c>
      <c r="C620">
        <v>2.52</v>
      </c>
      <c r="D620">
        <v>5.29</v>
      </c>
      <c r="E620">
        <v>0.13</v>
      </c>
      <c r="F620">
        <v>5.29</v>
      </c>
      <c r="G620">
        <v>5.3</v>
      </c>
      <c r="H620">
        <v>335699</v>
      </c>
      <c r="I620">
        <v>2605</v>
      </c>
      <c r="J620">
        <v>0</v>
      </c>
      <c r="K620">
        <v>7.3</v>
      </c>
      <c r="L620">
        <v>17869.59</v>
      </c>
      <c r="M620" t="s">
        <v>1384</v>
      </c>
      <c r="N620" t="s">
        <v>479</v>
      </c>
      <c r="O620">
        <v>5.24</v>
      </c>
      <c r="P620">
        <v>5.41</v>
      </c>
      <c r="Q620">
        <v>5.18</v>
      </c>
      <c r="R620">
        <v>5.16</v>
      </c>
      <c r="S620">
        <v>45.84</v>
      </c>
      <c r="T620">
        <v>1.16</v>
      </c>
      <c r="U620" t="s">
        <v>44</v>
      </c>
    </row>
    <row r="621" spans="1:21">
      <c r="A621" t="str">
        <f>"002149"</f>
        <v>002149</v>
      </c>
      <c r="B621" t="s">
        <v>1385</v>
      </c>
      <c r="C621">
        <v>1.96</v>
      </c>
      <c r="D621">
        <v>20.28</v>
      </c>
      <c r="E621">
        <v>0.39</v>
      </c>
      <c r="F621">
        <v>20.28</v>
      </c>
      <c r="G621">
        <v>20.29</v>
      </c>
      <c r="H621">
        <v>242555</v>
      </c>
      <c r="I621">
        <v>1886</v>
      </c>
      <c r="J621">
        <v>0</v>
      </c>
      <c r="K621">
        <v>4.97</v>
      </c>
      <c r="L621">
        <v>48987.79</v>
      </c>
      <c r="M621" t="s">
        <v>1386</v>
      </c>
      <c r="N621" t="s">
        <v>523</v>
      </c>
      <c r="O621">
        <v>19.79</v>
      </c>
      <c r="P621">
        <v>20.5</v>
      </c>
      <c r="Q621">
        <v>19.57</v>
      </c>
      <c r="R621">
        <v>19.89</v>
      </c>
      <c r="S621">
        <v>71.87</v>
      </c>
      <c r="T621">
        <v>1.08</v>
      </c>
      <c r="U621" t="s">
        <v>317</v>
      </c>
    </row>
    <row r="622" spans="1:21">
      <c r="A622" t="str">
        <f>"002150"</f>
        <v>002150</v>
      </c>
      <c r="B622" t="s">
        <v>1387</v>
      </c>
      <c r="C622">
        <v>0.97</v>
      </c>
      <c r="D622">
        <v>6.23</v>
      </c>
      <c r="E622">
        <v>0.06</v>
      </c>
      <c r="F622">
        <v>6.23</v>
      </c>
      <c r="G622">
        <v>6.24</v>
      </c>
      <c r="H622">
        <v>18907</v>
      </c>
      <c r="I622">
        <v>632</v>
      </c>
      <c r="J622">
        <v>0</v>
      </c>
      <c r="K622">
        <v>0.53</v>
      </c>
      <c r="L622">
        <v>1177.04</v>
      </c>
      <c r="M622" t="s">
        <v>1388</v>
      </c>
      <c r="N622" t="s">
        <v>347</v>
      </c>
      <c r="O622">
        <v>6.17</v>
      </c>
      <c r="P622">
        <v>6.26</v>
      </c>
      <c r="Q622">
        <v>6.08</v>
      </c>
      <c r="R622">
        <v>6.17</v>
      </c>
      <c r="S622">
        <v>17.07</v>
      </c>
      <c r="T622">
        <v>0.69</v>
      </c>
      <c r="U622" t="s">
        <v>102</v>
      </c>
    </row>
    <row r="623" spans="1:21">
      <c r="A623" t="str">
        <f>"002151"</f>
        <v>002151</v>
      </c>
      <c r="B623" t="s">
        <v>1389</v>
      </c>
      <c r="C623">
        <v>0.08</v>
      </c>
      <c r="D623">
        <v>39.61</v>
      </c>
      <c r="E623">
        <v>0.03</v>
      </c>
      <c r="F623">
        <v>39.6</v>
      </c>
      <c r="G623">
        <v>39.61</v>
      </c>
      <c r="H623">
        <v>37642</v>
      </c>
      <c r="I623">
        <v>664</v>
      </c>
      <c r="J623">
        <v>0.05</v>
      </c>
      <c r="K623">
        <v>0.92</v>
      </c>
      <c r="L623">
        <v>14871</v>
      </c>
      <c r="M623" t="s">
        <v>1390</v>
      </c>
      <c r="N623" t="s">
        <v>153</v>
      </c>
      <c r="O623">
        <v>39.51</v>
      </c>
      <c r="P623">
        <v>39.65</v>
      </c>
      <c r="Q623">
        <v>39.3</v>
      </c>
      <c r="R623">
        <v>39.58</v>
      </c>
      <c r="S623">
        <v>97.61</v>
      </c>
      <c r="T623">
        <v>0.54</v>
      </c>
      <c r="U623" t="s">
        <v>44</v>
      </c>
    </row>
    <row r="624" spans="1:21">
      <c r="A624" t="str">
        <f>"002152"</f>
        <v>002152</v>
      </c>
      <c r="B624" t="s">
        <v>1391</v>
      </c>
      <c r="C624">
        <v>1.9</v>
      </c>
      <c r="D624">
        <v>10.72</v>
      </c>
      <c r="E624">
        <v>0.2</v>
      </c>
      <c r="F624">
        <v>10.72</v>
      </c>
      <c r="G624">
        <v>10.73</v>
      </c>
      <c r="H624">
        <v>167126</v>
      </c>
      <c r="I624">
        <v>3060</v>
      </c>
      <c r="J624">
        <v>0</v>
      </c>
      <c r="K624">
        <v>0.69</v>
      </c>
      <c r="L624">
        <v>17831.68</v>
      </c>
      <c r="M624" t="s">
        <v>1392</v>
      </c>
      <c r="N624" t="s">
        <v>72</v>
      </c>
      <c r="O624">
        <v>10.58</v>
      </c>
      <c r="P624">
        <v>10.75</v>
      </c>
      <c r="Q624">
        <v>10.55</v>
      </c>
      <c r="R624">
        <v>10.52</v>
      </c>
      <c r="S624">
        <v>32.98</v>
      </c>
      <c r="T624">
        <v>0.73</v>
      </c>
      <c r="U624" t="s">
        <v>183</v>
      </c>
    </row>
    <row r="625" spans="1:21">
      <c r="A625" t="str">
        <f>"002153"</f>
        <v>002153</v>
      </c>
      <c r="B625" t="s">
        <v>1393</v>
      </c>
      <c r="C625">
        <v>6.56</v>
      </c>
      <c r="D625">
        <v>28.77</v>
      </c>
      <c r="E625">
        <v>1.77</v>
      </c>
      <c r="F625">
        <v>28.76</v>
      </c>
      <c r="G625">
        <v>28.77</v>
      </c>
      <c r="H625">
        <v>88321</v>
      </c>
      <c r="I625">
        <v>920</v>
      </c>
      <c r="J625">
        <v>0.03</v>
      </c>
      <c r="K625">
        <v>1.01</v>
      </c>
      <c r="L625">
        <v>24938.65</v>
      </c>
      <c r="M625" t="s">
        <v>1394</v>
      </c>
      <c r="N625" t="s">
        <v>30</v>
      </c>
      <c r="O625">
        <v>26.74</v>
      </c>
      <c r="P625">
        <v>29.22</v>
      </c>
      <c r="Q625">
        <v>26.61</v>
      </c>
      <c r="R625">
        <v>27</v>
      </c>
      <c r="S625">
        <v>407.46</v>
      </c>
      <c r="T625">
        <v>1.44</v>
      </c>
      <c r="U625" t="s">
        <v>44</v>
      </c>
    </row>
    <row r="626" spans="1:21">
      <c r="A626" t="str">
        <f>"002154"</f>
        <v>002154</v>
      </c>
      <c r="B626" t="s">
        <v>1395</v>
      </c>
      <c r="C626">
        <v>5.39</v>
      </c>
      <c r="D626">
        <v>4.69</v>
      </c>
      <c r="E626">
        <v>0.24</v>
      </c>
      <c r="F626">
        <v>4.69</v>
      </c>
      <c r="G626">
        <v>4.7</v>
      </c>
      <c r="H626">
        <v>320769</v>
      </c>
      <c r="I626">
        <v>4887</v>
      </c>
      <c r="J626">
        <v>0</v>
      </c>
      <c r="K626">
        <v>2.88</v>
      </c>
      <c r="L626">
        <v>14770.47</v>
      </c>
      <c r="M626" t="s">
        <v>1396</v>
      </c>
      <c r="N626" t="s">
        <v>1061</v>
      </c>
      <c r="O626">
        <v>4.46</v>
      </c>
      <c r="P626">
        <v>4.71</v>
      </c>
      <c r="Q626">
        <v>4.4</v>
      </c>
      <c r="R626">
        <v>4.45</v>
      </c>
      <c r="S626">
        <v>11.67</v>
      </c>
      <c r="T626">
        <v>2.07</v>
      </c>
      <c r="U626" t="s">
        <v>200</v>
      </c>
    </row>
    <row r="627" spans="1:21">
      <c r="A627" t="str">
        <f>"002155"</f>
        <v>002155</v>
      </c>
      <c r="B627" t="s">
        <v>1397</v>
      </c>
      <c r="C627">
        <v>0.97</v>
      </c>
      <c r="D627">
        <v>10.37</v>
      </c>
      <c r="E627">
        <v>0.1</v>
      </c>
      <c r="F627">
        <v>10.36</v>
      </c>
      <c r="G627">
        <v>10.37</v>
      </c>
      <c r="H627">
        <v>250755</v>
      </c>
      <c r="I627">
        <v>2787</v>
      </c>
      <c r="J627">
        <v>0.1</v>
      </c>
      <c r="K627">
        <v>2.09</v>
      </c>
      <c r="L627">
        <v>25782.05</v>
      </c>
      <c r="M627" t="s">
        <v>1398</v>
      </c>
      <c r="N627" t="s">
        <v>302</v>
      </c>
      <c r="O627">
        <v>10.17</v>
      </c>
      <c r="P627">
        <v>10.4</v>
      </c>
      <c r="Q627">
        <v>10.13</v>
      </c>
      <c r="R627">
        <v>10.27</v>
      </c>
      <c r="S627">
        <v>33.8</v>
      </c>
      <c r="T627">
        <v>0.74</v>
      </c>
      <c r="U627" t="s">
        <v>204</v>
      </c>
    </row>
    <row r="628" spans="1:21">
      <c r="A628" t="str">
        <f>"002156"</f>
        <v>002156</v>
      </c>
      <c r="B628" t="s">
        <v>1399</v>
      </c>
      <c r="C628">
        <v>0.82</v>
      </c>
      <c r="D628">
        <v>20.79</v>
      </c>
      <c r="E628">
        <v>0.17</v>
      </c>
      <c r="F628">
        <v>20.78</v>
      </c>
      <c r="G628">
        <v>20.79</v>
      </c>
      <c r="H628">
        <v>247721</v>
      </c>
      <c r="I628">
        <v>1535</v>
      </c>
      <c r="J628">
        <v>0</v>
      </c>
      <c r="K628">
        <v>1.86</v>
      </c>
      <c r="L628">
        <v>50932.52</v>
      </c>
      <c r="M628" t="s">
        <v>1400</v>
      </c>
      <c r="N628" t="s">
        <v>1246</v>
      </c>
      <c r="O628">
        <v>20.62</v>
      </c>
      <c r="P628">
        <v>20.86</v>
      </c>
      <c r="Q628">
        <v>20.21</v>
      </c>
      <c r="R628">
        <v>20.62</v>
      </c>
      <c r="S628">
        <v>29.47</v>
      </c>
      <c r="T628">
        <v>1.04</v>
      </c>
      <c r="U628" t="s">
        <v>102</v>
      </c>
    </row>
    <row r="629" spans="1:21">
      <c r="A629" t="str">
        <f>"002157"</f>
        <v>002157</v>
      </c>
      <c r="B629" t="s">
        <v>1401</v>
      </c>
      <c r="C629">
        <v>-2.47</v>
      </c>
      <c r="D629">
        <v>10.68</v>
      </c>
      <c r="E629">
        <v>-0.27</v>
      </c>
      <c r="F629">
        <v>10.68</v>
      </c>
      <c r="G629">
        <v>10.69</v>
      </c>
      <c r="H629">
        <v>504418</v>
      </c>
      <c r="I629">
        <v>3917</v>
      </c>
      <c r="J629">
        <v>-0.08</v>
      </c>
      <c r="K629">
        <v>2.19</v>
      </c>
      <c r="L629">
        <v>53653.19</v>
      </c>
      <c r="M629" t="s">
        <v>1402</v>
      </c>
      <c r="N629" t="s">
        <v>124</v>
      </c>
      <c r="O629">
        <v>10.86</v>
      </c>
      <c r="P629">
        <v>10.88</v>
      </c>
      <c r="Q629">
        <v>10.5</v>
      </c>
      <c r="R629">
        <v>10.95</v>
      </c>
      <c r="S629" t="s">
        <v>40</v>
      </c>
      <c r="T629">
        <v>1.24</v>
      </c>
      <c r="U629" t="s">
        <v>235</v>
      </c>
    </row>
    <row r="630" spans="1:21">
      <c r="A630" t="str">
        <f>"002158"</f>
        <v>002158</v>
      </c>
      <c r="B630" t="s">
        <v>1403</v>
      </c>
      <c r="C630">
        <v>0.18</v>
      </c>
      <c r="D630">
        <v>28.19</v>
      </c>
      <c r="E630">
        <v>0.05</v>
      </c>
      <c r="F630">
        <v>28.19</v>
      </c>
      <c r="G630">
        <v>28.2</v>
      </c>
      <c r="H630">
        <v>49120</v>
      </c>
      <c r="I630">
        <v>843</v>
      </c>
      <c r="J630">
        <v>0.04</v>
      </c>
      <c r="K630">
        <v>0.92</v>
      </c>
      <c r="L630">
        <v>13784.62</v>
      </c>
      <c r="M630" t="s">
        <v>1404</v>
      </c>
      <c r="N630" t="s">
        <v>203</v>
      </c>
      <c r="O630">
        <v>28.26</v>
      </c>
      <c r="P630">
        <v>28.53</v>
      </c>
      <c r="Q630">
        <v>27.6</v>
      </c>
      <c r="R630">
        <v>28.14</v>
      </c>
      <c r="S630">
        <v>31.1</v>
      </c>
      <c r="T630">
        <v>0.82</v>
      </c>
      <c r="U630" t="s">
        <v>848</v>
      </c>
    </row>
    <row r="631" spans="1:21">
      <c r="A631" t="str">
        <f>"002159"</f>
        <v>002159</v>
      </c>
      <c r="B631" t="s">
        <v>1405</v>
      </c>
      <c r="C631">
        <v>0.47</v>
      </c>
      <c r="D631">
        <v>10.69</v>
      </c>
      <c r="E631">
        <v>0.05</v>
      </c>
      <c r="F631">
        <v>10.69</v>
      </c>
      <c r="G631">
        <v>10.7</v>
      </c>
      <c r="H631">
        <v>8665</v>
      </c>
      <c r="I631">
        <v>64</v>
      </c>
      <c r="J631">
        <v>0</v>
      </c>
      <c r="K631">
        <v>0.63</v>
      </c>
      <c r="L631">
        <v>921.33</v>
      </c>
      <c r="M631" t="s">
        <v>1406</v>
      </c>
      <c r="N631" t="s">
        <v>489</v>
      </c>
      <c r="O631">
        <v>10.64</v>
      </c>
      <c r="P631">
        <v>10.73</v>
      </c>
      <c r="Q631">
        <v>10.55</v>
      </c>
      <c r="R631">
        <v>10.64</v>
      </c>
      <c r="S631" t="s">
        <v>40</v>
      </c>
      <c r="T631">
        <v>0.68</v>
      </c>
      <c r="U631" t="s">
        <v>267</v>
      </c>
    </row>
    <row r="632" spans="1:21">
      <c r="A632" t="str">
        <f>"002160"</f>
        <v>002160</v>
      </c>
      <c r="B632" t="s">
        <v>1407</v>
      </c>
      <c r="C632">
        <v>0.66</v>
      </c>
      <c r="D632">
        <v>4.59</v>
      </c>
      <c r="E632">
        <v>0.03</v>
      </c>
      <c r="F632">
        <v>4.59</v>
      </c>
      <c r="G632">
        <v>4.6</v>
      </c>
      <c r="H632">
        <v>191584</v>
      </c>
      <c r="I632">
        <v>1573</v>
      </c>
      <c r="J632">
        <v>0</v>
      </c>
      <c r="K632">
        <v>2.63</v>
      </c>
      <c r="L632">
        <v>8737.83</v>
      </c>
      <c r="M632" t="s">
        <v>1408</v>
      </c>
      <c r="N632" t="s">
        <v>494</v>
      </c>
      <c r="O632">
        <v>4.53</v>
      </c>
      <c r="P632">
        <v>4.62</v>
      </c>
      <c r="Q632">
        <v>4.49</v>
      </c>
      <c r="R632">
        <v>4.56</v>
      </c>
      <c r="S632">
        <v>31.17</v>
      </c>
      <c r="T632">
        <v>0.63</v>
      </c>
      <c r="U632" t="s">
        <v>102</v>
      </c>
    </row>
    <row r="633" spans="1:21">
      <c r="A633" t="str">
        <f>"002161"</f>
        <v>002161</v>
      </c>
      <c r="B633" t="s">
        <v>1409</v>
      </c>
      <c r="C633">
        <v>1.71</v>
      </c>
      <c r="D633">
        <v>4.75</v>
      </c>
      <c r="E633">
        <v>0.08</v>
      </c>
      <c r="F633">
        <v>4.74</v>
      </c>
      <c r="G633">
        <v>4.75</v>
      </c>
      <c r="H633">
        <v>60399</v>
      </c>
      <c r="I633">
        <v>463</v>
      </c>
      <c r="J633">
        <v>0</v>
      </c>
      <c r="K633">
        <v>0.85</v>
      </c>
      <c r="L633">
        <v>2869.92</v>
      </c>
      <c r="M633" t="s">
        <v>1410</v>
      </c>
      <c r="N633" t="s">
        <v>153</v>
      </c>
      <c r="O633">
        <v>4.66</v>
      </c>
      <c r="P633">
        <v>4.78</v>
      </c>
      <c r="Q633">
        <v>4.66</v>
      </c>
      <c r="R633">
        <v>4.67</v>
      </c>
      <c r="S633" t="s">
        <v>40</v>
      </c>
      <c r="T633">
        <v>1.17</v>
      </c>
      <c r="U633" t="s">
        <v>24</v>
      </c>
    </row>
    <row r="634" spans="1:21">
      <c r="A634" t="str">
        <f>"002162"</f>
        <v>002162</v>
      </c>
      <c r="B634" t="s">
        <v>1411</v>
      </c>
      <c r="C634">
        <v>0.45</v>
      </c>
      <c r="D634">
        <v>4.42</v>
      </c>
      <c r="E634">
        <v>0.02</v>
      </c>
      <c r="F634">
        <v>4.42</v>
      </c>
      <c r="G634">
        <v>4.43</v>
      </c>
      <c r="H634">
        <v>72153</v>
      </c>
      <c r="I634">
        <v>1057</v>
      </c>
      <c r="J634">
        <v>0</v>
      </c>
      <c r="K634">
        <v>0.85</v>
      </c>
      <c r="L634">
        <v>3169.05</v>
      </c>
      <c r="M634" t="s">
        <v>1412</v>
      </c>
      <c r="N634" t="s">
        <v>1413</v>
      </c>
      <c r="O634">
        <v>4.39</v>
      </c>
      <c r="P634">
        <v>4.43</v>
      </c>
      <c r="Q634">
        <v>4.36</v>
      </c>
      <c r="R634">
        <v>4.4</v>
      </c>
      <c r="S634">
        <v>70.68</v>
      </c>
      <c r="T634">
        <v>0.74</v>
      </c>
      <c r="U634" t="s">
        <v>848</v>
      </c>
    </row>
    <row r="635" spans="1:21">
      <c r="A635" t="str">
        <f>"002163"</f>
        <v>002163</v>
      </c>
      <c r="B635" t="s">
        <v>1414</v>
      </c>
      <c r="C635">
        <v>-1.88</v>
      </c>
      <c r="D635">
        <v>13.59</v>
      </c>
      <c r="E635">
        <v>-0.26</v>
      </c>
      <c r="F635">
        <v>13.58</v>
      </c>
      <c r="G635">
        <v>13.59</v>
      </c>
      <c r="H635">
        <v>247430</v>
      </c>
      <c r="I635">
        <v>2156</v>
      </c>
      <c r="J635">
        <v>-0.14</v>
      </c>
      <c r="K635">
        <v>3.08</v>
      </c>
      <c r="L635">
        <v>33527.11</v>
      </c>
      <c r="M635" t="s">
        <v>1415</v>
      </c>
      <c r="N635" t="s">
        <v>1189</v>
      </c>
      <c r="O635">
        <v>13.88</v>
      </c>
      <c r="P635">
        <v>14</v>
      </c>
      <c r="Q635">
        <v>13.31</v>
      </c>
      <c r="R635">
        <v>13.85</v>
      </c>
      <c r="S635">
        <v>96.84</v>
      </c>
      <c r="T635">
        <v>2.22</v>
      </c>
      <c r="U635" t="s">
        <v>24</v>
      </c>
    </row>
    <row r="636" spans="1:21">
      <c r="A636" t="str">
        <f>"002164"</f>
        <v>002164</v>
      </c>
      <c r="B636" t="s">
        <v>1416</v>
      </c>
      <c r="C636">
        <v>1.4</v>
      </c>
      <c r="D636">
        <v>5.78</v>
      </c>
      <c r="E636">
        <v>0.08</v>
      </c>
      <c r="F636">
        <v>5.77</v>
      </c>
      <c r="G636">
        <v>5.78</v>
      </c>
      <c r="H636">
        <v>539250</v>
      </c>
      <c r="I636">
        <v>5064</v>
      </c>
      <c r="J636">
        <v>-0.33</v>
      </c>
      <c r="K636">
        <v>11.38</v>
      </c>
      <c r="L636">
        <v>32607.31</v>
      </c>
      <c r="M636" t="s">
        <v>1417</v>
      </c>
      <c r="N636" t="s">
        <v>47</v>
      </c>
      <c r="O636">
        <v>5.95</v>
      </c>
      <c r="P636">
        <v>6.27</v>
      </c>
      <c r="Q636">
        <v>5.75</v>
      </c>
      <c r="R636">
        <v>5.7</v>
      </c>
      <c r="S636" t="s">
        <v>40</v>
      </c>
      <c r="T636">
        <v>2.18</v>
      </c>
      <c r="U636" t="s">
        <v>200</v>
      </c>
    </row>
    <row r="637" spans="1:21">
      <c r="A637" t="str">
        <f>"002165"</f>
        <v>002165</v>
      </c>
      <c r="B637" t="s">
        <v>1418</v>
      </c>
      <c r="C637">
        <v>1.11</v>
      </c>
      <c r="D637">
        <v>6.37</v>
      </c>
      <c r="E637">
        <v>0.07</v>
      </c>
      <c r="F637">
        <v>6.36</v>
      </c>
      <c r="G637">
        <v>6.37</v>
      </c>
      <c r="H637">
        <v>478491</v>
      </c>
      <c r="I637">
        <v>8584</v>
      </c>
      <c r="J637">
        <v>-0.15</v>
      </c>
      <c r="K637">
        <v>8.05</v>
      </c>
      <c r="L637">
        <v>30182.96</v>
      </c>
      <c r="M637" t="s">
        <v>1419</v>
      </c>
      <c r="N637" t="s">
        <v>309</v>
      </c>
      <c r="O637">
        <v>6.24</v>
      </c>
      <c r="P637">
        <v>6.48</v>
      </c>
      <c r="Q637">
        <v>6.13</v>
      </c>
      <c r="R637">
        <v>6.3</v>
      </c>
      <c r="S637">
        <v>82.28</v>
      </c>
      <c r="T637">
        <v>0.99</v>
      </c>
      <c r="U637" t="s">
        <v>102</v>
      </c>
    </row>
    <row r="638" spans="1:21">
      <c r="A638" t="str">
        <f>"002166"</f>
        <v>002166</v>
      </c>
      <c r="B638" t="s">
        <v>1420</v>
      </c>
      <c r="C638">
        <v>1.91</v>
      </c>
      <c r="D638">
        <v>9.05</v>
      </c>
      <c r="E638">
        <v>0.17</v>
      </c>
      <c r="F638">
        <v>9.04</v>
      </c>
      <c r="G638">
        <v>9.05</v>
      </c>
      <c r="H638">
        <v>228572</v>
      </c>
      <c r="I638">
        <v>3386</v>
      </c>
      <c r="J638">
        <v>0</v>
      </c>
      <c r="K638">
        <v>4.97</v>
      </c>
      <c r="L638">
        <v>20404.09</v>
      </c>
      <c r="M638" t="s">
        <v>721</v>
      </c>
      <c r="N638" t="s">
        <v>270</v>
      </c>
      <c r="O638">
        <v>8.95</v>
      </c>
      <c r="P638">
        <v>9.08</v>
      </c>
      <c r="Q638">
        <v>8.75</v>
      </c>
      <c r="R638">
        <v>8.88</v>
      </c>
      <c r="S638">
        <v>43.8</v>
      </c>
      <c r="T638">
        <v>1.54</v>
      </c>
      <c r="U638" t="s">
        <v>342</v>
      </c>
    </row>
    <row r="639" spans="1:21">
      <c r="A639" t="str">
        <f>"002167"</f>
        <v>002167</v>
      </c>
      <c r="B639" t="s">
        <v>1421</v>
      </c>
      <c r="C639">
        <v>1.67</v>
      </c>
      <c r="D639">
        <v>7.93</v>
      </c>
      <c r="E639">
        <v>0.13</v>
      </c>
      <c r="F639">
        <v>7.92</v>
      </c>
      <c r="G639">
        <v>7.93</v>
      </c>
      <c r="H639">
        <v>144175</v>
      </c>
      <c r="I639">
        <v>1056</v>
      </c>
      <c r="J639">
        <v>0.25</v>
      </c>
      <c r="K639">
        <v>2.54</v>
      </c>
      <c r="L639">
        <v>11319.1</v>
      </c>
      <c r="M639" t="s">
        <v>893</v>
      </c>
      <c r="N639" t="s">
        <v>523</v>
      </c>
      <c r="O639">
        <v>7.83</v>
      </c>
      <c r="P639">
        <v>7.94</v>
      </c>
      <c r="Q639">
        <v>7.72</v>
      </c>
      <c r="R639">
        <v>7.8</v>
      </c>
      <c r="S639">
        <v>37.29</v>
      </c>
      <c r="T639">
        <v>0.93</v>
      </c>
      <c r="U639" t="s">
        <v>183</v>
      </c>
    </row>
    <row r="640" spans="1:21">
      <c r="A640" t="str">
        <f>"002168"</f>
        <v>002168</v>
      </c>
      <c r="B640" t="s">
        <v>1422</v>
      </c>
      <c r="C640">
        <v>0.48</v>
      </c>
      <c r="D640">
        <v>4.19</v>
      </c>
      <c r="E640">
        <v>0.02</v>
      </c>
      <c r="F640">
        <v>4.18</v>
      </c>
      <c r="G640">
        <v>4.19</v>
      </c>
      <c r="H640">
        <v>136275</v>
      </c>
      <c r="I640">
        <v>4111</v>
      </c>
      <c r="J640">
        <v>0</v>
      </c>
      <c r="K640">
        <v>1.72</v>
      </c>
      <c r="L640">
        <v>5701.68</v>
      </c>
      <c r="M640" t="s">
        <v>1423</v>
      </c>
      <c r="N640" t="s">
        <v>479</v>
      </c>
      <c r="O640">
        <v>4.15</v>
      </c>
      <c r="P640">
        <v>4.24</v>
      </c>
      <c r="Q640">
        <v>4.14</v>
      </c>
      <c r="R640">
        <v>4.17</v>
      </c>
      <c r="S640" t="s">
        <v>40</v>
      </c>
      <c r="T640">
        <v>0.72</v>
      </c>
      <c r="U640" t="s">
        <v>24</v>
      </c>
    </row>
    <row r="641" spans="1:21">
      <c r="A641" t="str">
        <f>"002169"</f>
        <v>002169</v>
      </c>
      <c r="B641" t="s">
        <v>1424</v>
      </c>
      <c r="C641">
        <v>0.61</v>
      </c>
      <c r="D641">
        <v>13.16</v>
      </c>
      <c r="E641">
        <v>0.08</v>
      </c>
      <c r="F641">
        <v>13.15</v>
      </c>
      <c r="G641">
        <v>13.16</v>
      </c>
      <c r="H641">
        <v>431766</v>
      </c>
      <c r="I641">
        <v>9389</v>
      </c>
      <c r="J641">
        <v>-0.14</v>
      </c>
      <c r="K641">
        <v>5.66</v>
      </c>
      <c r="L641">
        <v>55773.75</v>
      </c>
      <c r="M641" t="s">
        <v>1425</v>
      </c>
      <c r="N641" t="s">
        <v>47</v>
      </c>
      <c r="O641">
        <v>12.98</v>
      </c>
      <c r="P641">
        <v>13.2</v>
      </c>
      <c r="Q641">
        <v>12.66</v>
      </c>
      <c r="R641">
        <v>13.08</v>
      </c>
      <c r="S641">
        <v>12</v>
      </c>
      <c r="T641">
        <v>0.54</v>
      </c>
      <c r="U641" t="s">
        <v>183</v>
      </c>
    </row>
    <row r="642" spans="1:21">
      <c r="A642" t="str">
        <f>"002170"</f>
        <v>002170</v>
      </c>
      <c r="B642" t="s">
        <v>1426</v>
      </c>
      <c r="C642">
        <v>-0.97</v>
      </c>
      <c r="D642">
        <v>7.11</v>
      </c>
      <c r="E642">
        <v>-0.07</v>
      </c>
      <c r="F642">
        <v>7.1</v>
      </c>
      <c r="G642">
        <v>7.11</v>
      </c>
      <c r="H642">
        <v>310008</v>
      </c>
      <c r="I642">
        <v>3637</v>
      </c>
      <c r="J642">
        <v>0.14</v>
      </c>
      <c r="K642">
        <v>4.47</v>
      </c>
      <c r="L642">
        <v>21984.84</v>
      </c>
      <c r="M642" t="s">
        <v>1427</v>
      </c>
      <c r="N642" t="s">
        <v>241</v>
      </c>
      <c r="O642">
        <v>7.11</v>
      </c>
      <c r="P642">
        <v>7.21</v>
      </c>
      <c r="Q642">
        <v>6.98</v>
      </c>
      <c r="R642">
        <v>7.18</v>
      </c>
      <c r="S642">
        <v>80.91</v>
      </c>
      <c r="T642">
        <v>0.67</v>
      </c>
      <c r="U642" t="s">
        <v>24</v>
      </c>
    </row>
    <row r="643" spans="1:21">
      <c r="A643" t="str">
        <f>"002171"</f>
        <v>002171</v>
      </c>
      <c r="B643" t="s">
        <v>1428</v>
      </c>
      <c r="C643">
        <v>0.17</v>
      </c>
      <c r="D643">
        <v>11.7</v>
      </c>
      <c r="E643">
        <v>0.02</v>
      </c>
      <c r="F643">
        <v>11.7</v>
      </c>
      <c r="G643">
        <v>11.71</v>
      </c>
      <c r="H643">
        <v>221069</v>
      </c>
      <c r="I643">
        <v>2026</v>
      </c>
      <c r="J643">
        <v>-0.08</v>
      </c>
      <c r="K643">
        <v>1.78</v>
      </c>
      <c r="L643">
        <v>25701.76</v>
      </c>
      <c r="M643" t="s">
        <v>1429</v>
      </c>
      <c r="N643" t="s">
        <v>526</v>
      </c>
      <c r="O643">
        <v>11.65</v>
      </c>
      <c r="P643">
        <v>11.77</v>
      </c>
      <c r="Q643">
        <v>11.49</v>
      </c>
      <c r="R643">
        <v>11.68</v>
      </c>
      <c r="S643">
        <v>28.74</v>
      </c>
      <c r="T643">
        <v>0.78</v>
      </c>
      <c r="U643" t="s">
        <v>193</v>
      </c>
    </row>
    <row r="644" spans="1:21">
      <c r="A644" t="str">
        <f>"002172"</f>
        <v>002172</v>
      </c>
      <c r="B644" t="s">
        <v>1430</v>
      </c>
      <c r="C644">
        <v>-0.26</v>
      </c>
      <c r="D644">
        <v>3.86</v>
      </c>
      <c r="E644">
        <v>-0.01</v>
      </c>
      <c r="F644">
        <v>3.86</v>
      </c>
      <c r="G644">
        <v>3.87</v>
      </c>
      <c r="H644">
        <v>97700</v>
      </c>
      <c r="I644">
        <v>2006</v>
      </c>
      <c r="J644">
        <v>-0.25</v>
      </c>
      <c r="K644">
        <v>1.26</v>
      </c>
      <c r="L644">
        <v>3749.11</v>
      </c>
      <c r="M644" t="s">
        <v>1431</v>
      </c>
      <c r="N644" t="s">
        <v>216</v>
      </c>
      <c r="O644">
        <v>3.85</v>
      </c>
      <c r="P644">
        <v>3.9</v>
      </c>
      <c r="Q644">
        <v>3.8</v>
      </c>
      <c r="R644">
        <v>3.87</v>
      </c>
      <c r="S644" t="s">
        <v>40</v>
      </c>
      <c r="T644">
        <v>0.62</v>
      </c>
      <c r="U644" t="s">
        <v>102</v>
      </c>
    </row>
    <row r="645" spans="1:21">
      <c r="A645" t="str">
        <f>"002173"</f>
        <v>002173</v>
      </c>
      <c r="B645" t="s">
        <v>1432</v>
      </c>
      <c r="C645">
        <v>0.16</v>
      </c>
      <c r="D645">
        <v>6.19</v>
      </c>
      <c r="E645">
        <v>0.01</v>
      </c>
      <c r="F645">
        <v>6.19</v>
      </c>
      <c r="G645">
        <v>6.2</v>
      </c>
      <c r="H645">
        <v>8948</v>
      </c>
      <c r="I645">
        <v>71</v>
      </c>
      <c r="J645">
        <v>0</v>
      </c>
      <c r="K645">
        <v>0.24</v>
      </c>
      <c r="L645">
        <v>552.13</v>
      </c>
      <c r="M645" t="s">
        <v>1433</v>
      </c>
      <c r="N645" t="s">
        <v>186</v>
      </c>
      <c r="O645">
        <v>6.15</v>
      </c>
      <c r="P645">
        <v>6.21</v>
      </c>
      <c r="Q645">
        <v>6.12</v>
      </c>
      <c r="R645">
        <v>6.18</v>
      </c>
      <c r="S645" t="s">
        <v>40</v>
      </c>
      <c r="T645">
        <v>0.41</v>
      </c>
      <c r="U645" t="s">
        <v>200</v>
      </c>
    </row>
    <row r="646" spans="1:21">
      <c r="A646" t="str">
        <f>"002174"</f>
        <v>002174</v>
      </c>
      <c r="B646" t="s">
        <v>1434</v>
      </c>
      <c r="C646">
        <v>3.4</v>
      </c>
      <c r="D646">
        <v>15.5</v>
      </c>
      <c r="E646">
        <v>0.51</v>
      </c>
      <c r="F646">
        <v>15.49</v>
      </c>
      <c r="G646">
        <v>15.5</v>
      </c>
      <c r="H646">
        <v>289884</v>
      </c>
      <c r="I646">
        <v>4672</v>
      </c>
      <c r="J646">
        <v>0</v>
      </c>
      <c r="K646">
        <v>3.17</v>
      </c>
      <c r="L646">
        <v>44099.76</v>
      </c>
      <c r="M646" t="s">
        <v>1435</v>
      </c>
      <c r="N646" t="s">
        <v>479</v>
      </c>
      <c r="O646">
        <v>14.6</v>
      </c>
      <c r="P646">
        <v>15.56</v>
      </c>
      <c r="Q646">
        <v>14.59</v>
      </c>
      <c r="R646">
        <v>14.99</v>
      </c>
      <c r="S646">
        <v>30.05</v>
      </c>
      <c r="T646">
        <v>0.68</v>
      </c>
      <c r="U646" t="s">
        <v>339</v>
      </c>
    </row>
    <row r="647" spans="1:21">
      <c r="A647" t="str">
        <f>"002175"</f>
        <v>002175</v>
      </c>
      <c r="B647" t="s">
        <v>1436</v>
      </c>
      <c r="C647">
        <v>2.6</v>
      </c>
      <c r="D647">
        <v>2.76</v>
      </c>
      <c r="E647">
        <v>0.07</v>
      </c>
      <c r="F647">
        <v>2.75</v>
      </c>
      <c r="G647">
        <v>2.76</v>
      </c>
      <c r="H647">
        <v>121956</v>
      </c>
      <c r="I647">
        <v>572</v>
      </c>
      <c r="J647">
        <v>0.36</v>
      </c>
      <c r="K647">
        <v>1.62</v>
      </c>
      <c r="L647">
        <v>3354.24</v>
      </c>
      <c r="M647" t="s">
        <v>1437</v>
      </c>
      <c r="N647" t="s">
        <v>1028</v>
      </c>
      <c r="O647">
        <v>2.72</v>
      </c>
      <c r="P647">
        <v>2.8</v>
      </c>
      <c r="Q647">
        <v>2.69</v>
      </c>
      <c r="R647">
        <v>2.69</v>
      </c>
      <c r="S647" t="s">
        <v>40</v>
      </c>
      <c r="T647">
        <v>1.26</v>
      </c>
      <c r="U647" t="s">
        <v>342</v>
      </c>
    </row>
    <row r="648" spans="1:21">
      <c r="A648" t="str">
        <f>"002176"</f>
        <v>002176</v>
      </c>
      <c r="B648" t="s">
        <v>1438</v>
      </c>
      <c r="C648">
        <v>-1.92</v>
      </c>
      <c r="D648">
        <v>22.02</v>
      </c>
      <c r="E648">
        <v>-0.43</v>
      </c>
      <c r="F648">
        <v>22.02</v>
      </c>
      <c r="G648">
        <v>22.03</v>
      </c>
      <c r="H648">
        <v>1712181</v>
      </c>
      <c r="I648">
        <v>10737</v>
      </c>
      <c r="J648">
        <v>0.05</v>
      </c>
      <c r="K648">
        <v>10.04</v>
      </c>
      <c r="L648">
        <v>379186.69</v>
      </c>
      <c r="M648" t="s">
        <v>1439</v>
      </c>
      <c r="N648" t="s">
        <v>47</v>
      </c>
      <c r="O648">
        <v>22.05</v>
      </c>
      <c r="P648">
        <v>22.99</v>
      </c>
      <c r="Q648">
        <v>21.6</v>
      </c>
      <c r="R648">
        <v>22.45</v>
      </c>
      <c r="S648">
        <v>112.98</v>
      </c>
      <c r="T648">
        <v>1.15</v>
      </c>
      <c r="U648" t="s">
        <v>235</v>
      </c>
    </row>
    <row r="649" spans="1:21">
      <c r="A649" t="str">
        <f>"002177"</f>
        <v>002177</v>
      </c>
      <c r="B649" t="s">
        <v>1440</v>
      </c>
      <c r="C649">
        <v>0.54</v>
      </c>
      <c r="D649">
        <v>5.62</v>
      </c>
      <c r="E649">
        <v>0.03</v>
      </c>
      <c r="F649">
        <v>5.62</v>
      </c>
      <c r="G649">
        <v>5.63</v>
      </c>
      <c r="H649">
        <v>118254</v>
      </c>
      <c r="I649">
        <v>2082</v>
      </c>
      <c r="J649">
        <v>0</v>
      </c>
      <c r="K649">
        <v>1.55</v>
      </c>
      <c r="L649">
        <v>6630.57</v>
      </c>
      <c r="M649" t="s">
        <v>1441</v>
      </c>
      <c r="N649" t="s">
        <v>72</v>
      </c>
      <c r="O649">
        <v>5.55</v>
      </c>
      <c r="P649">
        <v>5.64</v>
      </c>
      <c r="Q649">
        <v>5.54</v>
      </c>
      <c r="R649">
        <v>5.59</v>
      </c>
      <c r="S649" t="s">
        <v>40</v>
      </c>
      <c r="T649">
        <v>0.66</v>
      </c>
      <c r="U649" t="s">
        <v>183</v>
      </c>
    </row>
    <row r="650" spans="1:21">
      <c r="A650" t="str">
        <f>"002178"</f>
        <v>002178</v>
      </c>
      <c r="B650" t="s">
        <v>1442</v>
      </c>
      <c r="C650">
        <v>0.84</v>
      </c>
      <c r="D650">
        <v>3.62</v>
      </c>
      <c r="E650">
        <v>0.03</v>
      </c>
      <c r="F650">
        <v>3.61</v>
      </c>
      <c r="G650">
        <v>3.62</v>
      </c>
      <c r="H650">
        <v>70620</v>
      </c>
      <c r="I650">
        <v>2066</v>
      </c>
      <c r="J650">
        <v>0.28</v>
      </c>
      <c r="K650">
        <v>0.99</v>
      </c>
      <c r="L650">
        <v>2539.88</v>
      </c>
      <c r="M650" t="s">
        <v>1443</v>
      </c>
      <c r="N650" t="s">
        <v>50</v>
      </c>
      <c r="O650">
        <v>3.59</v>
      </c>
      <c r="P650">
        <v>3.63</v>
      </c>
      <c r="Q650">
        <v>3.55</v>
      </c>
      <c r="R650">
        <v>3.59</v>
      </c>
      <c r="S650">
        <v>706.66</v>
      </c>
      <c r="T650">
        <v>0.79</v>
      </c>
      <c r="U650" t="s">
        <v>848</v>
      </c>
    </row>
    <row r="651" spans="1:21">
      <c r="A651" t="str">
        <f>"002179"</f>
        <v>002179</v>
      </c>
      <c r="B651" t="s">
        <v>1444</v>
      </c>
      <c r="C651">
        <v>-2.3</v>
      </c>
      <c r="D651">
        <v>100.2</v>
      </c>
      <c r="E651">
        <v>-2.36</v>
      </c>
      <c r="F651">
        <v>100.18</v>
      </c>
      <c r="G651">
        <v>100.2</v>
      </c>
      <c r="H651">
        <v>89662</v>
      </c>
      <c r="I651">
        <v>370</v>
      </c>
      <c r="J651">
        <v>-0.12</v>
      </c>
      <c r="K651">
        <v>0.84</v>
      </c>
      <c r="L651">
        <v>90326.97</v>
      </c>
      <c r="M651" t="s">
        <v>1445</v>
      </c>
      <c r="N651" t="s">
        <v>69</v>
      </c>
      <c r="O651">
        <v>102.58</v>
      </c>
      <c r="P651">
        <v>103</v>
      </c>
      <c r="Q651">
        <v>99.09</v>
      </c>
      <c r="R651">
        <v>102.56</v>
      </c>
      <c r="S651">
        <v>50.93</v>
      </c>
      <c r="T651">
        <v>0.92</v>
      </c>
      <c r="U651" t="s">
        <v>224</v>
      </c>
    </row>
    <row r="652" spans="1:21">
      <c r="A652" t="str">
        <f>"002180"</f>
        <v>002180</v>
      </c>
      <c r="B652" t="s">
        <v>1446</v>
      </c>
      <c r="C652">
        <v>5.21</v>
      </c>
      <c r="D652">
        <v>38.19</v>
      </c>
      <c r="E652">
        <v>1.89</v>
      </c>
      <c r="F652">
        <v>38.19</v>
      </c>
      <c r="G652">
        <v>38.2</v>
      </c>
      <c r="H652">
        <v>255263</v>
      </c>
      <c r="I652">
        <v>779</v>
      </c>
      <c r="J652">
        <v>0</v>
      </c>
      <c r="K652">
        <v>2.53</v>
      </c>
      <c r="L652">
        <v>97245.97</v>
      </c>
      <c r="M652" t="s">
        <v>1447</v>
      </c>
      <c r="N652" t="s">
        <v>72</v>
      </c>
      <c r="O652">
        <v>36.62</v>
      </c>
      <c r="P652">
        <v>39.14</v>
      </c>
      <c r="Q652">
        <v>36.59</v>
      </c>
      <c r="R652">
        <v>36.3</v>
      </c>
      <c r="S652">
        <v>53.28</v>
      </c>
      <c r="T652">
        <v>2.49</v>
      </c>
      <c r="U652" t="s">
        <v>183</v>
      </c>
    </row>
    <row r="653" spans="1:21">
      <c r="A653" t="str">
        <f>"002181"</f>
        <v>002181</v>
      </c>
      <c r="B653" t="s">
        <v>1448</v>
      </c>
      <c r="C653">
        <v>-0.97</v>
      </c>
      <c r="D653">
        <v>4.1</v>
      </c>
      <c r="E653">
        <v>-0.04</v>
      </c>
      <c r="F653">
        <v>4.1</v>
      </c>
      <c r="G653">
        <v>4.11</v>
      </c>
      <c r="H653">
        <v>83422</v>
      </c>
      <c r="I653">
        <v>470</v>
      </c>
      <c r="J653">
        <v>0</v>
      </c>
      <c r="K653">
        <v>0.74</v>
      </c>
      <c r="L653">
        <v>3412.33</v>
      </c>
      <c r="M653" t="s">
        <v>1449</v>
      </c>
      <c r="N653" t="s">
        <v>650</v>
      </c>
      <c r="O653">
        <v>4.11</v>
      </c>
      <c r="P653">
        <v>4.13</v>
      </c>
      <c r="Q653">
        <v>4.05</v>
      </c>
      <c r="R653">
        <v>4.14</v>
      </c>
      <c r="S653">
        <v>56.8</v>
      </c>
      <c r="T653">
        <v>0.62</v>
      </c>
      <c r="U653" t="s">
        <v>183</v>
      </c>
    </row>
    <row r="654" spans="1:21">
      <c r="A654" t="str">
        <f>"002182"</f>
        <v>002182</v>
      </c>
      <c r="B654" t="s">
        <v>1450</v>
      </c>
      <c r="C654">
        <v>5.44</v>
      </c>
      <c r="D654">
        <v>21.69</v>
      </c>
      <c r="E654">
        <v>1.12</v>
      </c>
      <c r="F654">
        <v>21.68</v>
      </c>
      <c r="G654">
        <v>21.69</v>
      </c>
      <c r="H654">
        <v>847670</v>
      </c>
      <c r="I654">
        <v>6561</v>
      </c>
      <c r="J654">
        <v>0.05</v>
      </c>
      <c r="K654">
        <v>15.21</v>
      </c>
      <c r="L654">
        <v>178564.56</v>
      </c>
      <c r="M654" t="s">
        <v>1451</v>
      </c>
      <c r="N654" t="s">
        <v>523</v>
      </c>
      <c r="O654">
        <v>20.86</v>
      </c>
      <c r="P654">
        <v>22.28</v>
      </c>
      <c r="Q654">
        <v>19.88</v>
      </c>
      <c r="R654">
        <v>20.57</v>
      </c>
      <c r="S654">
        <v>39.88</v>
      </c>
      <c r="T654">
        <v>1.97</v>
      </c>
      <c r="U654" t="s">
        <v>102</v>
      </c>
    </row>
    <row r="655" spans="1:21">
      <c r="A655" t="str">
        <f>"002183"</f>
        <v>002183</v>
      </c>
      <c r="B655" t="s">
        <v>1452</v>
      </c>
      <c r="C655">
        <v>2.17</v>
      </c>
      <c r="D655">
        <v>6.12</v>
      </c>
      <c r="E655">
        <v>0.13</v>
      </c>
      <c r="F655">
        <v>6.11</v>
      </c>
      <c r="G655">
        <v>6.12</v>
      </c>
      <c r="H655">
        <v>534642</v>
      </c>
      <c r="I655">
        <v>6132</v>
      </c>
      <c r="J655">
        <v>0.16</v>
      </c>
      <c r="K655">
        <v>2.52</v>
      </c>
      <c r="L655">
        <v>32347.47</v>
      </c>
      <c r="M655" t="s">
        <v>1453</v>
      </c>
      <c r="N655" t="s">
        <v>1049</v>
      </c>
      <c r="O655">
        <v>6.03</v>
      </c>
      <c r="P655">
        <v>6.14</v>
      </c>
      <c r="Q655">
        <v>5.93</v>
      </c>
      <c r="R655">
        <v>5.99</v>
      </c>
      <c r="S655">
        <v>28.7</v>
      </c>
      <c r="T655">
        <v>1.32</v>
      </c>
      <c r="U655" t="s">
        <v>24</v>
      </c>
    </row>
    <row r="656" spans="1:21">
      <c r="A656" t="str">
        <f>"002184"</f>
        <v>002184</v>
      </c>
      <c r="B656" t="s">
        <v>1454</v>
      </c>
      <c r="C656">
        <v>1.42</v>
      </c>
      <c r="D656">
        <v>15.05</v>
      </c>
      <c r="E656">
        <v>0.21</v>
      </c>
      <c r="F656">
        <v>15.05</v>
      </c>
      <c r="G656">
        <v>15.06</v>
      </c>
      <c r="H656">
        <v>105206</v>
      </c>
      <c r="I656">
        <v>1729</v>
      </c>
      <c r="J656">
        <v>0.07</v>
      </c>
      <c r="K656">
        <v>4.58</v>
      </c>
      <c r="L656">
        <v>15740.86</v>
      </c>
      <c r="M656" t="s">
        <v>1455</v>
      </c>
      <c r="N656" t="s">
        <v>30</v>
      </c>
      <c r="O656">
        <v>14.81</v>
      </c>
      <c r="P656">
        <v>15.16</v>
      </c>
      <c r="Q656">
        <v>14.62</v>
      </c>
      <c r="R656">
        <v>14.84</v>
      </c>
      <c r="S656">
        <v>46.6</v>
      </c>
      <c r="T656">
        <v>0.97</v>
      </c>
      <c r="U656" t="s">
        <v>848</v>
      </c>
    </row>
    <row r="657" spans="1:21">
      <c r="A657" t="str">
        <f>"002185"</f>
        <v>002185</v>
      </c>
      <c r="B657" t="s">
        <v>1456</v>
      </c>
      <c r="C657">
        <v>2.03</v>
      </c>
      <c r="D657">
        <v>14.09</v>
      </c>
      <c r="E657">
        <v>0.28</v>
      </c>
      <c r="F657">
        <v>14.09</v>
      </c>
      <c r="G657">
        <v>14.1</v>
      </c>
      <c r="H657">
        <v>832116</v>
      </c>
      <c r="I657">
        <v>10261</v>
      </c>
      <c r="J657">
        <v>0</v>
      </c>
      <c r="K657">
        <v>3.04</v>
      </c>
      <c r="L657">
        <v>116853</v>
      </c>
      <c r="M657" t="s">
        <v>1457</v>
      </c>
      <c r="N657" t="s">
        <v>1246</v>
      </c>
      <c r="O657">
        <v>13.76</v>
      </c>
      <c r="P657">
        <v>14.25</v>
      </c>
      <c r="Q657">
        <v>13.71</v>
      </c>
      <c r="R657">
        <v>13.81</v>
      </c>
      <c r="S657">
        <v>32.94</v>
      </c>
      <c r="T657">
        <v>0.89</v>
      </c>
      <c r="U657" t="s">
        <v>391</v>
      </c>
    </row>
    <row r="658" spans="1:21">
      <c r="A658" t="str">
        <f>"002186"</f>
        <v>002186</v>
      </c>
      <c r="B658" t="s">
        <v>1458</v>
      </c>
      <c r="C658">
        <v>0.44</v>
      </c>
      <c r="D658">
        <v>9.03</v>
      </c>
      <c r="E658">
        <v>0.04</v>
      </c>
      <c r="F658">
        <v>9.03</v>
      </c>
      <c r="G658">
        <v>9.04</v>
      </c>
      <c r="H658">
        <v>11701</v>
      </c>
      <c r="I658">
        <v>272</v>
      </c>
      <c r="J658">
        <v>0.22</v>
      </c>
      <c r="K658">
        <v>0.38</v>
      </c>
      <c r="L658">
        <v>1052.82</v>
      </c>
      <c r="M658" t="s">
        <v>1266</v>
      </c>
      <c r="N658" t="s">
        <v>39</v>
      </c>
      <c r="O658">
        <v>9</v>
      </c>
      <c r="P658">
        <v>9.04</v>
      </c>
      <c r="Q658">
        <v>8.95</v>
      </c>
      <c r="R658">
        <v>8.99</v>
      </c>
      <c r="S658" t="s">
        <v>40</v>
      </c>
      <c r="T658">
        <v>0.79</v>
      </c>
      <c r="U658" t="s">
        <v>44</v>
      </c>
    </row>
    <row r="659" spans="1:21">
      <c r="A659" t="str">
        <f>"002187"</f>
        <v>002187</v>
      </c>
      <c r="B659" t="s">
        <v>1459</v>
      </c>
      <c r="C659">
        <v>0.62</v>
      </c>
      <c r="D659">
        <v>8.14</v>
      </c>
      <c r="E659">
        <v>0.05</v>
      </c>
      <c r="F659">
        <v>8.14</v>
      </c>
      <c r="G659">
        <v>8.15</v>
      </c>
      <c r="H659">
        <v>18976</v>
      </c>
      <c r="I659">
        <v>324</v>
      </c>
      <c r="J659">
        <v>-0.11</v>
      </c>
      <c r="K659">
        <v>0.55</v>
      </c>
      <c r="L659">
        <v>1539.78</v>
      </c>
      <c r="M659" t="s">
        <v>1460</v>
      </c>
      <c r="N659" t="s">
        <v>258</v>
      </c>
      <c r="O659">
        <v>8.12</v>
      </c>
      <c r="P659">
        <v>8.16</v>
      </c>
      <c r="Q659">
        <v>8.06</v>
      </c>
      <c r="R659">
        <v>8.09</v>
      </c>
      <c r="S659">
        <v>21.73</v>
      </c>
      <c r="T659">
        <v>0.95</v>
      </c>
      <c r="U659" t="s">
        <v>183</v>
      </c>
    </row>
    <row r="660" spans="1:21">
      <c r="A660" t="str">
        <f>"002188"</f>
        <v>002188</v>
      </c>
      <c r="B660" t="s">
        <v>1461</v>
      </c>
      <c r="C660">
        <v>-1.42</v>
      </c>
      <c r="D660">
        <v>3.48</v>
      </c>
      <c r="E660">
        <v>-0.05</v>
      </c>
      <c r="F660">
        <v>3.48</v>
      </c>
      <c r="G660">
        <v>3.49</v>
      </c>
      <c r="H660">
        <v>12892</v>
      </c>
      <c r="I660">
        <v>322</v>
      </c>
      <c r="J660">
        <v>0</v>
      </c>
      <c r="K660">
        <v>0.54</v>
      </c>
      <c r="L660">
        <v>448.63</v>
      </c>
      <c r="M660" t="s">
        <v>1462</v>
      </c>
      <c r="N660" t="s">
        <v>482</v>
      </c>
      <c r="O660">
        <v>3.52</v>
      </c>
      <c r="P660">
        <v>3.54</v>
      </c>
      <c r="Q660">
        <v>3.45</v>
      </c>
      <c r="R660">
        <v>3.53</v>
      </c>
      <c r="S660">
        <v>103.16</v>
      </c>
      <c r="T660">
        <v>1.31</v>
      </c>
      <c r="U660" t="s">
        <v>200</v>
      </c>
    </row>
    <row r="661" spans="1:21">
      <c r="A661" t="str">
        <f>"002189"</f>
        <v>002189</v>
      </c>
      <c r="B661" t="s">
        <v>1463</v>
      </c>
      <c r="C661">
        <v>-1.16</v>
      </c>
      <c r="D661">
        <v>20.5</v>
      </c>
      <c r="E661">
        <v>-0.24</v>
      </c>
      <c r="F661">
        <v>20.49</v>
      </c>
      <c r="G661">
        <v>20.5</v>
      </c>
      <c r="H661">
        <v>136401</v>
      </c>
      <c r="I661">
        <v>1673</v>
      </c>
      <c r="J661">
        <v>0.24</v>
      </c>
      <c r="K661">
        <v>6.13</v>
      </c>
      <c r="L661">
        <v>28323.84</v>
      </c>
      <c r="M661" t="s">
        <v>1464</v>
      </c>
      <c r="N661" t="s">
        <v>69</v>
      </c>
      <c r="O661">
        <v>20.76</v>
      </c>
      <c r="P661">
        <v>21.18</v>
      </c>
      <c r="Q661">
        <v>20.39</v>
      </c>
      <c r="R661">
        <v>20.74</v>
      </c>
      <c r="S661">
        <v>38.04</v>
      </c>
      <c r="T661">
        <v>0.87</v>
      </c>
      <c r="U661" t="s">
        <v>224</v>
      </c>
    </row>
    <row r="662" spans="1:21">
      <c r="A662" t="str">
        <f>"002190"</f>
        <v>002190</v>
      </c>
      <c r="B662" t="s">
        <v>1465</v>
      </c>
      <c r="C662">
        <v>-0.56</v>
      </c>
      <c r="D662">
        <v>30.19</v>
      </c>
      <c r="E662">
        <v>-0.17</v>
      </c>
      <c r="F662">
        <v>30.19</v>
      </c>
      <c r="G662">
        <v>30.2</v>
      </c>
      <c r="H662">
        <v>58779</v>
      </c>
      <c r="I662">
        <v>939</v>
      </c>
      <c r="J662">
        <v>0.1</v>
      </c>
      <c r="K662">
        <v>1.64</v>
      </c>
      <c r="L662">
        <v>17797.59</v>
      </c>
      <c r="M662" t="s">
        <v>1466</v>
      </c>
      <c r="N662" t="s">
        <v>91</v>
      </c>
      <c r="O662">
        <v>30.35</v>
      </c>
      <c r="P662">
        <v>30.7</v>
      </c>
      <c r="Q662">
        <v>30</v>
      </c>
      <c r="R662">
        <v>30.36</v>
      </c>
      <c r="S662">
        <v>198.44</v>
      </c>
      <c r="T662">
        <v>0.8</v>
      </c>
      <c r="U662" t="s">
        <v>196</v>
      </c>
    </row>
    <row r="663" spans="1:21">
      <c r="A663" t="str">
        <f>"002191"</f>
        <v>002191</v>
      </c>
      <c r="B663" t="s">
        <v>1467</v>
      </c>
      <c r="C663">
        <v>-3.27</v>
      </c>
      <c r="D663">
        <v>13.3</v>
      </c>
      <c r="E663">
        <v>-0.45</v>
      </c>
      <c r="F663">
        <v>13.3</v>
      </c>
      <c r="G663">
        <v>13.31</v>
      </c>
      <c r="H663">
        <v>500269</v>
      </c>
      <c r="I663">
        <v>7544</v>
      </c>
      <c r="J663">
        <v>0.23</v>
      </c>
      <c r="K663">
        <v>3.47</v>
      </c>
      <c r="L663">
        <v>67265.2</v>
      </c>
      <c r="M663" t="s">
        <v>1468</v>
      </c>
      <c r="N663" t="s">
        <v>482</v>
      </c>
      <c r="O663">
        <v>13.81</v>
      </c>
      <c r="P663">
        <v>13.88</v>
      </c>
      <c r="Q663">
        <v>13.22</v>
      </c>
      <c r="R663">
        <v>13.75</v>
      </c>
      <c r="S663">
        <v>17.89</v>
      </c>
      <c r="T663">
        <v>0.6</v>
      </c>
      <c r="U663" t="s">
        <v>24</v>
      </c>
    </row>
    <row r="664" spans="1:21">
      <c r="A664" t="str">
        <f>"002192"</f>
        <v>002192</v>
      </c>
      <c r="B664" t="s">
        <v>1469</v>
      </c>
      <c r="C664">
        <v>-0.41</v>
      </c>
      <c r="D664">
        <v>121.5</v>
      </c>
      <c r="E664">
        <v>-0.5</v>
      </c>
      <c r="F664">
        <v>121.5</v>
      </c>
      <c r="G664">
        <v>121.51</v>
      </c>
      <c r="H664">
        <v>109333</v>
      </c>
      <c r="I664">
        <v>1231</v>
      </c>
      <c r="J664">
        <v>0.14</v>
      </c>
      <c r="K664">
        <v>4.22</v>
      </c>
      <c r="L664">
        <v>132960.68</v>
      </c>
      <c r="M664" t="s">
        <v>1470</v>
      </c>
      <c r="N664" t="s">
        <v>523</v>
      </c>
      <c r="O664">
        <v>120.11</v>
      </c>
      <c r="P664">
        <v>126.1</v>
      </c>
      <c r="Q664">
        <v>118.22</v>
      </c>
      <c r="R664">
        <v>122</v>
      </c>
      <c r="S664">
        <v>873.69</v>
      </c>
      <c r="T664">
        <v>1.19</v>
      </c>
      <c r="U664" t="s">
        <v>183</v>
      </c>
    </row>
    <row r="665" spans="1:21">
      <c r="A665" t="str">
        <f>"002193"</f>
        <v>002193</v>
      </c>
      <c r="B665" t="s">
        <v>1471</v>
      </c>
      <c r="C665">
        <v>-0.15</v>
      </c>
      <c r="D665">
        <v>6.7</v>
      </c>
      <c r="E665">
        <v>-0.01</v>
      </c>
      <c r="F665">
        <v>6.69</v>
      </c>
      <c r="G665">
        <v>6.7</v>
      </c>
      <c r="H665">
        <v>60291</v>
      </c>
      <c r="I665">
        <v>457</v>
      </c>
      <c r="J665">
        <v>0.45</v>
      </c>
      <c r="K665">
        <v>2.31</v>
      </c>
      <c r="L665">
        <v>4059.02</v>
      </c>
      <c r="M665" t="s">
        <v>1472</v>
      </c>
      <c r="N665" t="s">
        <v>664</v>
      </c>
      <c r="O665">
        <v>6.68</v>
      </c>
      <c r="P665">
        <v>6.92</v>
      </c>
      <c r="Q665">
        <v>6.61</v>
      </c>
      <c r="R665">
        <v>6.71</v>
      </c>
      <c r="S665" t="s">
        <v>40</v>
      </c>
      <c r="T665">
        <v>1.16</v>
      </c>
      <c r="U665" t="s">
        <v>221</v>
      </c>
    </row>
    <row r="666" spans="1:21">
      <c r="A666" t="str">
        <f>"002194"</f>
        <v>002194</v>
      </c>
      <c r="B666" t="s">
        <v>1473</v>
      </c>
      <c r="C666">
        <v>0.57</v>
      </c>
      <c r="D666">
        <v>10.58</v>
      </c>
      <c r="E666">
        <v>0.06</v>
      </c>
      <c r="F666">
        <v>10.58</v>
      </c>
      <c r="G666">
        <v>10.59</v>
      </c>
      <c r="H666">
        <v>53046</v>
      </c>
      <c r="I666">
        <v>670</v>
      </c>
      <c r="J666">
        <v>0</v>
      </c>
      <c r="K666">
        <v>0.83</v>
      </c>
      <c r="L666">
        <v>5604.54</v>
      </c>
      <c r="M666" t="s">
        <v>1474</v>
      </c>
      <c r="N666" t="s">
        <v>153</v>
      </c>
      <c r="O666">
        <v>10.51</v>
      </c>
      <c r="P666">
        <v>10.64</v>
      </c>
      <c r="Q666">
        <v>10.47</v>
      </c>
      <c r="R666">
        <v>10.52</v>
      </c>
      <c r="S666">
        <v>31.23</v>
      </c>
      <c r="T666">
        <v>0.66</v>
      </c>
      <c r="U666" t="s">
        <v>267</v>
      </c>
    </row>
    <row r="667" spans="1:21">
      <c r="A667" t="str">
        <f>"002195"</f>
        <v>002195</v>
      </c>
      <c r="B667" t="s">
        <v>1475</v>
      </c>
      <c r="C667">
        <v>-0.85</v>
      </c>
      <c r="D667">
        <v>2.34</v>
      </c>
      <c r="E667">
        <v>-0.02</v>
      </c>
      <c r="F667">
        <v>2.34</v>
      </c>
      <c r="G667">
        <v>2.35</v>
      </c>
      <c r="H667">
        <v>1871993</v>
      </c>
      <c r="I667">
        <v>12138</v>
      </c>
      <c r="J667">
        <v>0</v>
      </c>
      <c r="K667">
        <v>3.32</v>
      </c>
      <c r="L667">
        <v>44141</v>
      </c>
      <c r="M667" t="s">
        <v>1476</v>
      </c>
      <c r="N667" t="s">
        <v>30</v>
      </c>
      <c r="O667">
        <v>2.37</v>
      </c>
      <c r="P667">
        <v>2.41</v>
      </c>
      <c r="Q667">
        <v>2.32</v>
      </c>
      <c r="R667">
        <v>2.36</v>
      </c>
      <c r="S667">
        <v>31.3</v>
      </c>
      <c r="T667">
        <v>0.59</v>
      </c>
      <c r="U667" t="s">
        <v>848</v>
      </c>
    </row>
    <row r="668" spans="1:21">
      <c r="A668" t="str">
        <f>"002196"</f>
        <v>002196</v>
      </c>
      <c r="B668" t="s">
        <v>1477</v>
      </c>
      <c r="C668">
        <v>-4.93</v>
      </c>
      <c r="D668">
        <v>10.03</v>
      </c>
      <c r="E668">
        <v>-0.52</v>
      </c>
      <c r="F668">
        <v>10.02</v>
      </c>
      <c r="G668">
        <v>10.03</v>
      </c>
      <c r="H668">
        <v>468929</v>
      </c>
      <c r="I668">
        <v>13024</v>
      </c>
      <c r="J668">
        <v>-0.09</v>
      </c>
      <c r="K668">
        <v>10.01</v>
      </c>
      <c r="L668">
        <v>47208.96</v>
      </c>
      <c r="M668" t="s">
        <v>1478</v>
      </c>
      <c r="N668" t="s">
        <v>1135</v>
      </c>
      <c r="O668">
        <v>10.34</v>
      </c>
      <c r="P668">
        <v>10.5</v>
      </c>
      <c r="Q668">
        <v>9.91</v>
      </c>
      <c r="R668">
        <v>10.55</v>
      </c>
      <c r="S668" t="s">
        <v>40</v>
      </c>
      <c r="T668">
        <v>1.49</v>
      </c>
      <c r="U668" t="s">
        <v>200</v>
      </c>
    </row>
    <row r="669" spans="1:21">
      <c r="A669" t="str">
        <f>"002197"</f>
        <v>002197</v>
      </c>
      <c r="B669" t="s">
        <v>1479</v>
      </c>
      <c r="C669">
        <v>1.37</v>
      </c>
      <c r="D669">
        <v>7.38</v>
      </c>
      <c r="E669">
        <v>0.1</v>
      </c>
      <c r="F669">
        <v>7.37</v>
      </c>
      <c r="G669">
        <v>7.38</v>
      </c>
      <c r="H669">
        <v>62794</v>
      </c>
      <c r="I669">
        <v>353</v>
      </c>
      <c r="J669">
        <v>0</v>
      </c>
      <c r="K669">
        <v>1.44</v>
      </c>
      <c r="L669">
        <v>4614.99</v>
      </c>
      <c r="M669" t="s">
        <v>1480</v>
      </c>
      <c r="N669" t="s">
        <v>1028</v>
      </c>
      <c r="O669">
        <v>7.35</v>
      </c>
      <c r="P669">
        <v>7.4</v>
      </c>
      <c r="Q669">
        <v>7.26</v>
      </c>
      <c r="R669">
        <v>7.28</v>
      </c>
      <c r="S669">
        <v>143.98</v>
      </c>
      <c r="T669">
        <v>1.01</v>
      </c>
      <c r="U669" t="s">
        <v>24</v>
      </c>
    </row>
    <row r="670" spans="1:21">
      <c r="A670" t="str">
        <f>"002198"</f>
        <v>002198</v>
      </c>
      <c r="B670" t="s">
        <v>1481</v>
      </c>
      <c r="C670">
        <v>1.19</v>
      </c>
      <c r="D670">
        <v>8.48</v>
      </c>
      <c r="E670">
        <v>0.1</v>
      </c>
      <c r="F670">
        <v>8.46</v>
      </c>
      <c r="G670">
        <v>8.48</v>
      </c>
      <c r="H670">
        <v>118225</v>
      </c>
      <c r="I670">
        <v>2597</v>
      </c>
      <c r="J670">
        <v>0.36</v>
      </c>
      <c r="K670">
        <v>2.33</v>
      </c>
      <c r="L670">
        <v>9954.47</v>
      </c>
      <c r="M670" t="s">
        <v>1482</v>
      </c>
      <c r="N670" t="s">
        <v>270</v>
      </c>
      <c r="O670">
        <v>8.39</v>
      </c>
      <c r="P670">
        <v>8.53</v>
      </c>
      <c r="Q670">
        <v>8.3</v>
      </c>
      <c r="R670">
        <v>8.38</v>
      </c>
      <c r="S670">
        <v>718.16</v>
      </c>
      <c r="T670">
        <v>0.72</v>
      </c>
      <c r="U670" t="s">
        <v>183</v>
      </c>
    </row>
    <row r="671" spans="1:21">
      <c r="A671" t="str">
        <f>"002199"</f>
        <v>002199</v>
      </c>
      <c r="B671" t="s">
        <v>1483</v>
      </c>
      <c r="C671">
        <v>1.76</v>
      </c>
      <c r="D671">
        <v>8.68</v>
      </c>
      <c r="E671">
        <v>0.15</v>
      </c>
      <c r="F671">
        <v>8.67</v>
      </c>
      <c r="G671">
        <v>8.68</v>
      </c>
      <c r="H671">
        <v>80837</v>
      </c>
      <c r="I671">
        <v>880</v>
      </c>
      <c r="J671">
        <v>0.12</v>
      </c>
      <c r="K671">
        <v>3.32</v>
      </c>
      <c r="L671">
        <v>6954.24</v>
      </c>
      <c r="M671" t="s">
        <v>1484</v>
      </c>
      <c r="N671" t="s">
        <v>69</v>
      </c>
      <c r="O671">
        <v>8.42</v>
      </c>
      <c r="P671">
        <v>8.74</v>
      </c>
      <c r="Q671">
        <v>8.39</v>
      </c>
      <c r="R671">
        <v>8.53</v>
      </c>
      <c r="S671">
        <v>49.48</v>
      </c>
      <c r="T671">
        <v>1.01</v>
      </c>
      <c r="U671" t="s">
        <v>200</v>
      </c>
    </row>
    <row r="672" spans="1:21">
      <c r="A672" t="str">
        <f>"002200"</f>
        <v>002200</v>
      </c>
      <c r="B672" t="s">
        <v>1485</v>
      </c>
      <c r="C672">
        <v>-1.54</v>
      </c>
      <c r="D672">
        <v>7.67</v>
      </c>
      <c r="E672">
        <v>-0.12</v>
      </c>
      <c r="F672">
        <v>7.67</v>
      </c>
      <c r="G672">
        <v>7.68</v>
      </c>
      <c r="H672">
        <v>16566</v>
      </c>
      <c r="I672">
        <v>123</v>
      </c>
      <c r="J672">
        <v>-0.12</v>
      </c>
      <c r="K672">
        <v>0.9</v>
      </c>
      <c r="L672">
        <v>1269.62</v>
      </c>
      <c r="M672" t="s">
        <v>1486</v>
      </c>
      <c r="N672" t="s">
        <v>33</v>
      </c>
      <c r="O672">
        <v>8</v>
      </c>
      <c r="P672">
        <v>8</v>
      </c>
      <c r="Q672">
        <v>7.5</v>
      </c>
      <c r="R672">
        <v>7.79</v>
      </c>
      <c r="S672">
        <v>173.9</v>
      </c>
      <c r="T672">
        <v>1.23</v>
      </c>
      <c r="U672" t="s">
        <v>363</v>
      </c>
    </row>
    <row r="673" spans="1:21">
      <c r="A673" t="str">
        <f>"002201"</f>
        <v>002201</v>
      </c>
      <c r="B673" t="s">
        <v>1487</v>
      </c>
      <c r="C673">
        <v>-0.94</v>
      </c>
      <c r="D673">
        <v>25.17</v>
      </c>
      <c r="E673">
        <v>-0.24</v>
      </c>
      <c r="F673">
        <v>25.16</v>
      </c>
      <c r="G673">
        <v>25.17</v>
      </c>
      <c r="H673">
        <v>90794</v>
      </c>
      <c r="I673">
        <v>1069</v>
      </c>
      <c r="J673">
        <v>-0.03</v>
      </c>
      <c r="K673">
        <v>1.96</v>
      </c>
      <c r="L673">
        <v>23040.13</v>
      </c>
      <c r="M673" t="s">
        <v>1488</v>
      </c>
      <c r="N673" t="s">
        <v>55</v>
      </c>
      <c r="O673">
        <v>25.41</v>
      </c>
      <c r="P673">
        <v>25.88</v>
      </c>
      <c r="Q673">
        <v>25</v>
      </c>
      <c r="R673">
        <v>25.41</v>
      </c>
      <c r="S673">
        <v>270.87</v>
      </c>
      <c r="T673">
        <v>0.66</v>
      </c>
      <c r="U673" t="s">
        <v>102</v>
      </c>
    </row>
    <row r="674" spans="1:21">
      <c r="A674" t="str">
        <f>"002202"</f>
        <v>002202</v>
      </c>
      <c r="B674" t="s">
        <v>1489</v>
      </c>
      <c r="C674">
        <v>1.17</v>
      </c>
      <c r="D674">
        <v>19.01</v>
      </c>
      <c r="E674">
        <v>0.22</v>
      </c>
      <c r="F674">
        <v>19</v>
      </c>
      <c r="G674">
        <v>19.01</v>
      </c>
      <c r="H674">
        <v>1302375</v>
      </c>
      <c r="I674">
        <v>15386</v>
      </c>
      <c r="J674">
        <v>0.05</v>
      </c>
      <c r="K674">
        <v>3.84</v>
      </c>
      <c r="L674">
        <v>243861.22</v>
      </c>
      <c r="M674" t="s">
        <v>1490</v>
      </c>
      <c r="N674" t="s">
        <v>47</v>
      </c>
      <c r="O674">
        <v>18.69</v>
      </c>
      <c r="P674">
        <v>19.1</v>
      </c>
      <c r="Q674">
        <v>18.4</v>
      </c>
      <c r="R674">
        <v>18.79</v>
      </c>
      <c r="S674">
        <v>19.99</v>
      </c>
      <c r="T674">
        <v>0.92</v>
      </c>
      <c r="U674" t="s">
        <v>210</v>
      </c>
    </row>
    <row r="675" spans="1:21">
      <c r="A675" t="str">
        <f>"002203"</f>
        <v>002203</v>
      </c>
      <c r="B675" t="s">
        <v>1491</v>
      </c>
      <c r="C675">
        <v>2.81</v>
      </c>
      <c r="D675">
        <v>12.46</v>
      </c>
      <c r="E675">
        <v>0.34</v>
      </c>
      <c r="F675">
        <v>12.45</v>
      </c>
      <c r="G675">
        <v>12.46</v>
      </c>
      <c r="H675">
        <v>128277</v>
      </c>
      <c r="I675">
        <v>673</v>
      </c>
      <c r="J675">
        <v>0.16</v>
      </c>
      <c r="K675">
        <v>0.67</v>
      </c>
      <c r="L675">
        <v>15852.2</v>
      </c>
      <c r="M675" t="s">
        <v>1492</v>
      </c>
      <c r="N675" t="s">
        <v>526</v>
      </c>
      <c r="O675">
        <v>12.2</v>
      </c>
      <c r="P675">
        <v>12.5</v>
      </c>
      <c r="Q675">
        <v>12.18</v>
      </c>
      <c r="R675">
        <v>12.12</v>
      </c>
      <c r="S675">
        <v>19.92</v>
      </c>
      <c r="T675">
        <v>0.92</v>
      </c>
      <c r="U675" t="s">
        <v>200</v>
      </c>
    </row>
    <row r="676" spans="1:21">
      <c r="A676" t="str">
        <f>"002204"</f>
        <v>002204</v>
      </c>
      <c r="B676" t="s">
        <v>1493</v>
      </c>
      <c r="C676">
        <v>0.9</v>
      </c>
      <c r="D676">
        <v>4.46</v>
      </c>
      <c r="E676">
        <v>0.04</v>
      </c>
      <c r="F676">
        <v>4.45</v>
      </c>
      <c r="G676">
        <v>4.46</v>
      </c>
      <c r="H676">
        <v>310082</v>
      </c>
      <c r="I676">
        <v>1177</v>
      </c>
      <c r="J676">
        <v>0</v>
      </c>
      <c r="K676">
        <v>1.61</v>
      </c>
      <c r="L676">
        <v>13624.41</v>
      </c>
      <c r="M676" t="s">
        <v>1494</v>
      </c>
      <c r="N676" t="s">
        <v>324</v>
      </c>
      <c r="O676">
        <v>4.44</v>
      </c>
      <c r="P676">
        <v>4.47</v>
      </c>
      <c r="Q676">
        <v>4.3</v>
      </c>
      <c r="R676">
        <v>4.42</v>
      </c>
      <c r="S676">
        <v>70.02</v>
      </c>
      <c r="T676">
        <v>0.97</v>
      </c>
      <c r="U676" t="s">
        <v>141</v>
      </c>
    </row>
    <row r="677" spans="1:21">
      <c r="A677" t="str">
        <f>"002205"</f>
        <v>002205</v>
      </c>
      <c r="B677" t="s">
        <v>1495</v>
      </c>
      <c r="C677">
        <v>0.86</v>
      </c>
      <c r="D677">
        <v>7.01</v>
      </c>
      <c r="E677">
        <v>0.06</v>
      </c>
      <c r="F677">
        <v>7.01</v>
      </c>
      <c r="G677">
        <v>7.02</v>
      </c>
      <c r="H677">
        <v>17880</v>
      </c>
      <c r="I677">
        <v>152</v>
      </c>
      <c r="J677">
        <v>-0.13</v>
      </c>
      <c r="K677">
        <v>0.96</v>
      </c>
      <c r="L677">
        <v>1249.81</v>
      </c>
      <c r="M677" t="s">
        <v>1496</v>
      </c>
      <c r="N677" t="s">
        <v>131</v>
      </c>
      <c r="O677">
        <v>6.95</v>
      </c>
      <c r="P677">
        <v>7.03</v>
      </c>
      <c r="Q677">
        <v>6.93</v>
      </c>
      <c r="R677">
        <v>6.95</v>
      </c>
      <c r="S677" t="s">
        <v>40</v>
      </c>
      <c r="T677">
        <v>0.84</v>
      </c>
      <c r="U677" t="s">
        <v>210</v>
      </c>
    </row>
    <row r="678" spans="1:21">
      <c r="A678" t="str">
        <f>"002206"</f>
        <v>002206</v>
      </c>
      <c r="B678" t="s">
        <v>1497</v>
      </c>
      <c r="C678">
        <v>1.7</v>
      </c>
      <c r="D678">
        <v>8.39</v>
      </c>
      <c r="E678">
        <v>0.14</v>
      </c>
      <c r="F678">
        <v>8.39</v>
      </c>
      <c r="G678">
        <v>8.4</v>
      </c>
      <c r="H678">
        <v>408498</v>
      </c>
      <c r="I678">
        <v>3392</v>
      </c>
      <c r="J678">
        <v>0.12</v>
      </c>
      <c r="K678">
        <v>4.28</v>
      </c>
      <c r="L678">
        <v>33344.54</v>
      </c>
      <c r="M678" t="s">
        <v>1498</v>
      </c>
      <c r="N678" t="s">
        <v>216</v>
      </c>
      <c r="O678">
        <v>8.3</v>
      </c>
      <c r="P678">
        <v>8.44</v>
      </c>
      <c r="Q678">
        <v>7.9</v>
      </c>
      <c r="R678">
        <v>8.25</v>
      </c>
      <c r="S678">
        <v>17.27</v>
      </c>
      <c r="T678">
        <v>1.21</v>
      </c>
      <c r="U678" t="s">
        <v>200</v>
      </c>
    </row>
    <row r="679" spans="1:21">
      <c r="A679" t="str">
        <f>"002207"</f>
        <v>002207</v>
      </c>
      <c r="B679" t="s">
        <v>1499</v>
      </c>
      <c r="C679">
        <v>1.63</v>
      </c>
      <c r="D679">
        <v>5.62</v>
      </c>
      <c r="E679">
        <v>0.09</v>
      </c>
      <c r="F679">
        <v>5.62</v>
      </c>
      <c r="G679">
        <v>5.63</v>
      </c>
      <c r="H679">
        <v>31616</v>
      </c>
      <c r="I679">
        <v>325</v>
      </c>
      <c r="J679">
        <v>-0.17</v>
      </c>
      <c r="K679">
        <v>1.33</v>
      </c>
      <c r="L679">
        <v>1759.3</v>
      </c>
      <c r="M679" t="s">
        <v>1500</v>
      </c>
      <c r="N679" t="s">
        <v>996</v>
      </c>
      <c r="O679">
        <v>5.52</v>
      </c>
      <c r="P679">
        <v>5.67</v>
      </c>
      <c r="Q679">
        <v>5.46</v>
      </c>
      <c r="R679">
        <v>5.53</v>
      </c>
      <c r="S679" t="s">
        <v>40</v>
      </c>
      <c r="T679">
        <v>1.22</v>
      </c>
      <c r="U679" t="s">
        <v>210</v>
      </c>
    </row>
    <row r="680" spans="1:21">
      <c r="A680" t="str">
        <f>"002208"</f>
        <v>002208</v>
      </c>
      <c r="B680" t="s">
        <v>1501</v>
      </c>
      <c r="C680">
        <v>0.95</v>
      </c>
      <c r="D680">
        <v>7.47</v>
      </c>
      <c r="E680">
        <v>0.07</v>
      </c>
      <c r="F680">
        <v>7.46</v>
      </c>
      <c r="G680">
        <v>7.47</v>
      </c>
      <c r="H680">
        <v>72339</v>
      </c>
      <c r="I680">
        <v>1264</v>
      </c>
      <c r="J680">
        <v>0</v>
      </c>
      <c r="K680">
        <v>1.16</v>
      </c>
      <c r="L680">
        <v>5358.64</v>
      </c>
      <c r="M680" t="s">
        <v>1502</v>
      </c>
      <c r="N680" t="s">
        <v>36</v>
      </c>
      <c r="O680">
        <v>7.37</v>
      </c>
      <c r="P680">
        <v>7.52</v>
      </c>
      <c r="Q680">
        <v>7.32</v>
      </c>
      <c r="R680">
        <v>7.4</v>
      </c>
      <c r="S680">
        <v>6.54</v>
      </c>
      <c r="T680">
        <v>0.85</v>
      </c>
      <c r="U680" t="s">
        <v>193</v>
      </c>
    </row>
    <row r="681" spans="1:21">
      <c r="A681" t="str">
        <f>"002209"</f>
        <v>002209</v>
      </c>
      <c r="B681" t="s">
        <v>1503</v>
      </c>
      <c r="C681">
        <v>1.94</v>
      </c>
      <c r="D681">
        <v>6.31</v>
      </c>
      <c r="E681">
        <v>0.12</v>
      </c>
      <c r="F681">
        <v>6.3</v>
      </c>
      <c r="G681">
        <v>6.31</v>
      </c>
      <c r="H681">
        <v>18705</v>
      </c>
      <c r="I681">
        <v>387</v>
      </c>
      <c r="J681">
        <v>0.16</v>
      </c>
      <c r="K681">
        <v>1.21</v>
      </c>
      <c r="L681">
        <v>1171.4</v>
      </c>
      <c r="M681" t="s">
        <v>1504</v>
      </c>
      <c r="N681" t="s">
        <v>111</v>
      </c>
      <c r="O681">
        <v>6.2</v>
      </c>
      <c r="P681">
        <v>6.32</v>
      </c>
      <c r="Q681">
        <v>6.14</v>
      </c>
      <c r="R681">
        <v>6.19</v>
      </c>
      <c r="S681" t="s">
        <v>40</v>
      </c>
      <c r="T681">
        <v>1.01</v>
      </c>
      <c r="U681" t="s">
        <v>183</v>
      </c>
    </row>
    <row r="682" spans="1:21">
      <c r="A682" t="str">
        <f>"002210"</f>
        <v>002210</v>
      </c>
      <c r="B682" t="s">
        <v>1505</v>
      </c>
      <c r="C682">
        <v>-3.72</v>
      </c>
      <c r="D682">
        <v>3.36</v>
      </c>
      <c r="E682">
        <v>-0.13</v>
      </c>
      <c r="F682">
        <v>3.35</v>
      </c>
      <c r="G682">
        <v>3.36</v>
      </c>
      <c r="H682">
        <v>775237</v>
      </c>
      <c r="I682">
        <v>7966</v>
      </c>
      <c r="J682">
        <v>0.3</v>
      </c>
      <c r="K682">
        <v>2.92</v>
      </c>
      <c r="L682">
        <v>27252.35</v>
      </c>
      <c r="M682" t="s">
        <v>1506</v>
      </c>
      <c r="N682" t="s">
        <v>1049</v>
      </c>
      <c r="O682">
        <v>3.66</v>
      </c>
      <c r="P682">
        <v>3.66</v>
      </c>
      <c r="Q682">
        <v>3.33</v>
      </c>
      <c r="R682">
        <v>3.49</v>
      </c>
      <c r="S682">
        <v>1748.98</v>
      </c>
      <c r="T682">
        <v>4.04</v>
      </c>
      <c r="U682" t="s">
        <v>24</v>
      </c>
    </row>
    <row r="683" spans="1:21">
      <c r="A683" t="str">
        <f>"002211"</f>
        <v>002211</v>
      </c>
      <c r="B683" t="s">
        <v>1507</v>
      </c>
      <c r="C683">
        <v>1.83</v>
      </c>
      <c r="D683">
        <v>3.9</v>
      </c>
      <c r="E683">
        <v>0.07</v>
      </c>
      <c r="F683">
        <v>3.9</v>
      </c>
      <c r="G683">
        <v>3.91</v>
      </c>
      <c r="H683">
        <v>81331</v>
      </c>
      <c r="I683">
        <v>1038</v>
      </c>
      <c r="J683">
        <v>0</v>
      </c>
      <c r="K683">
        <v>2.04</v>
      </c>
      <c r="L683">
        <v>3124.52</v>
      </c>
      <c r="M683" t="s">
        <v>1508</v>
      </c>
      <c r="N683" t="s">
        <v>1509</v>
      </c>
      <c r="O683">
        <v>3.83</v>
      </c>
      <c r="P683">
        <v>3.91</v>
      </c>
      <c r="Q683">
        <v>3.75</v>
      </c>
      <c r="R683">
        <v>3.83</v>
      </c>
      <c r="S683" t="s">
        <v>40</v>
      </c>
      <c r="T683">
        <v>1.21</v>
      </c>
      <c r="U683" t="s">
        <v>848</v>
      </c>
    </row>
    <row r="684" spans="1:21">
      <c r="A684" t="str">
        <f>"002212"</f>
        <v>002212</v>
      </c>
      <c r="B684" t="s">
        <v>1510</v>
      </c>
      <c r="C684">
        <v>3.59</v>
      </c>
      <c r="D684">
        <v>18.2</v>
      </c>
      <c r="E684">
        <v>0.63</v>
      </c>
      <c r="F684">
        <v>18.19</v>
      </c>
      <c r="G684">
        <v>18.2</v>
      </c>
      <c r="H684">
        <v>100623</v>
      </c>
      <c r="I684">
        <v>2763</v>
      </c>
      <c r="J684">
        <v>0.28</v>
      </c>
      <c r="K684">
        <v>0.87</v>
      </c>
      <c r="L684">
        <v>18171.84</v>
      </c>
      <c r="M684" t="s">
        <v>1511</v>
      </c>
      <c r="N684" t="s">
        <v>30</v>
      </c>
      <c r="O684">
        <v>17.65</v>
      </c>
      <c r="P684">
        <v>18.26</v>
      </c>
      <c r="Q684">
        <v>17.6</v>
      </c>
      <c r="R684">
        <v>17.57</v>
      </c>
      <c r="S684" t="s">
        <v>40</v>
      </c>
      <c r="T684">
        <v>0.89</v>
      </c>
      <c r="U684" t="s">
        <v>183</v>
      </c>
    </row>
    <row r="685" spans="1:21">
      <c r="A685" t="str">
        <f>"002213"</f>
        <v>002213</v>
      </c>
      <c r="B685" t="s">
        <v>1512</v>
      </c>
      <c r="C685">
        <v>-2.1</v>
      </c>
      <c r="D685">
        <v>15.37</v>
      </c>
      <c r="E685">
        <v>-0.33</v>
      </c>
      <c r="F685">
        <v>15.36</v>
      </c>
      <c r="G685">
        <v>15.37</v>
      </c>
      <c r="H685">
        <v>32816</v>
      </c>
      <c r="I685">
        <v>842</v>
      </c>
      <c r="J685">
        <v>0.07</v>
      </c>
      <c r="K685">
        <v>1.59</v>
      </c>
      <c r="L685">
        <v>5088.04</v>
      </c>
      <c r="M685" t="s">
        <v>1513</v>
      </c>
      <c r="N685" t="s">
        <v>91</v>
      </c>
      <c r="O685">
        <v>15.77</v>
      </c>
      <c r="P685">
        <v>15.96</v>
      </c>
      <c r="Q685">
        <v>15.34</v>
      </c>
      <c r="R685">
        <v>15.7</v>
      </c>
      <c r="S685">
        <v>299.84</v>
      </c>
      <c r="T685">
        <v>0.55</v>
      </c>
      <c r="U685" t="s">
        <v>24</v>
      </c>
    </row>
    <row r="686" spans="1:21">
      <c r="A686" t="str">
        <f>"002214"</f>
        <v>002214</v>
      </c>
      <c r="B686" t="s">
        <v>1514</v>
      </c>
      <c r="C686">
        <v>1.4</v>
      </c>
      <c r="D686">
        <v>20.24</v>
      </c>
      <c r="E686">
        <v>0.28</v>
      </c>
      <c r="F686">
        <v>20.23</v>
      </c>
      <c r="G686">
        <v>20.24</v>
      </c>
      <c r="H686">
        <v>53021</v>
      </c>
      <c r="I686">
        <v>636</v>
      </c>
      <c r="J686">
        <v>-0.09</v>
      </c>
      <c r="K686">
        <v>1.11</v>
      </c>
      <c r="L686">
        <v>10771.07</v>
      </c>
      <c r="M686" t="s">
        <v>1515</v>
      </c>
      <c r="N686" t="s">
        <v>1028</v>
      </c>
      <c r="O686">
        <v>19.9</v>
      </c>
      <c r="P686">
        <v>20.57</v>
      </c>
      <c r="Q686">
        <v>19.87</v>
      </c>
      <c r="R686">
        <v>19.96</v>
      </c>
      <c r="S686">
        <v>36.26</v>
      </c>
      <c r="T686">
        <v>0.83</v>
      </c>
      <c r="U686" t="s">
        <v>200</v>
      </c>
    </row>
    <row r="687" spans="1:21">
      <c r="A687" t="str">
        <f>"002215"</f>
        <v>002215</v>
      </c>
      <c r="B687" t="s">
        <v>1516</v>
      </c>
      <c r="C687">
        <v>0.18</v>
      </c>
      <c r="D687">
        <v>5.71</v>
      </c>
      <c r="E687">
        <v>0.01</v>
      </c>
      <c r="F687">
        <v>5.71</v>
      </c>
      <c r="G687">
        <v>5.72</v>
      </c>
      <c r="H687">
        <v>88478</v>
      </c>
      <c r="I687">
        <v>727</v>
      </c>
      <c r="J687">
        <v>-0.16</v>
      </c>
      <c r="K687">
        <v>1.24</v>
      </c>
      <c r="L687">
        <v>5013.34</v>
      </c>
      <c r="M687" t="s">
        <v>1517</v>
      </c>
      <c r="N687" t="s">
        <v>241</v>
      </c>
      <c r="O687">
        <v>5.7</v>
      </c>
      <c r="P687">
        <v>5.73</v>
      </c>
      <c r="Q687">
        <v>5.59</v>
      </c>
      <c r="R687">
        <v>5.7</v>
      </c>
      <c r="S687">
        <v>11.84</v>
      </c>
      <c r="T687">
        <v>0.98</v>
      </c>
      <c r="U687" t="s">
        <v>24</v>
      </c>
    </row>
    <row r="688" spans="1:21">
      <c r="A688" t="str">
        <f>"002216"</f>
        <v>002216</v>
      </c>
      <c r="B688" t="s">
        <v>1518</v>
      </c>
      <c r="C688">
        <v>0.93</v>
      </c>
      <c r="D688">
        <v>20.57</v>
      </c>
      <c r="E688">
        <v>0.19</v>
      </c>
      <c r="F688">
        <v>20.56</v>
      </c>
      <c r="G688">
        <v>20.57</v>
      </c>
      <c r="H688">
        <v>248611</v>
      </c>
      <c r="I688">
        <v>2098</v>
      </c>
      <c r="J688">
        <v>-0.04</v>
      </c>
      <c r="K688">
        <v>3.95</v>
      </c>
      <c r="L688">
        <v>52394.18</v>
      </c>
      <c r="M688" t="s">
        <v>1519</v>
      </c>
      <c r="N688" t="s">
        <v>299</v>
      </c>
      <c r="O688">
        <v>21.12</v>
      </c>
      <c r="P688">
        <v>21.79</v>
      </c>
      <c r="Q688">
        <v>20.52</v>
      </c>
      <c r="R688">
        <v>20.38</v>
      </c>
      <c r="S688">
        <v>35.18</v>
      </c>
      <c r="T688">
        <v>1.53</v>
      </c>
      <c r="U688" t="s">
        <v>224</v>
      </c>
    </row>
    <row r="689" spans="1:21">
      <c r="A689" t="str">
        <f>"002217"</f>
        <v>002217</v>
      </c>
      <c r="B689" t="s">
        <v>1520</v>
      </c>
      <c r="C689">
        <v>0.59</v>
      </c>
      <c r="D689">
        <v>3.4</v>
      </c>
      <c r="E689">
        <v>0.02</v>
      </c>
      <c r="F689">
        <v>3.39</v>
      </c>
      <c r="G689">
        <v>3.4</v>
      </c>
      <c r="H689">
        <v>154142</v>
      </c>
      <c r="I689">
        <v>1243</v>
      </c>
      <c r="J689">
        <v>0</v>
      </c>
      <c r="K689">
        <v>0.5</v>
      </c>
      <c r="L689">
        <v>5217.17</v>
      </c>
      <c r="M689" t="s">
        <v>1521</v>
      </c>
      <c r="N689" t="s">
        <v>69</v>
      </c>
      <c r="O689">
        <v>3.37</v>
      </c>
      <c r="P689">
        <v>3.41</v>
      </c>
      <c r="Q689">
        <v>3.35</v>
      </c>
      <c r="R689">
        <v>3.38</v>
      </c>
      <c r="S689">
        <v>114.78</v>
      </c>
      <c r="T689">
        <v>0.89</v>
      </c>
      <c r="U689" t="s">
        <v>339</v>
      </c>
    </row>
    <row r="690" spans="1:21">
      <c r="A690" t="str">
        <f>"002218"</f>
        <v>002218</v>
      </c>
      <c r="B690" t="s">
        <v>1522</v>
      </c>
      <c r="C690">
        <v>2.53</v>
      </c>
      <c r="D690">
        <v>7.29</v>
      </c>
      <c r="E690">
        <v>0.18</v>
      </c>
      <c r="F690">
        <v>7.28</v>
      </c>
      <c r="G690">
        <v>7.29</v>
      </c>
      <c r="H690">
        <v>518537</v>
      </c>
      <c r="I690">
        <v>6344</v>
      </c>
      <c r="J690">
        <v>0</v>
      </c>
      <c r="K690">
        <v>4.27</v>
      </c>
      <c r="L690">
        <v>37147.95</v>
      </c>
      <c r="M690" t="s">
        <v>1523</v>
      </c>
      <c r="N690" t="s">
        <v>47</v>
      </c>
      <c r="O690">
        <v>7.09</v>
      </c>
      <c r="P690">
        <v>7.36</v>
      </c>
      <c r="Q690">
        <v>6.95</v>
      </c>
      <c r="R690">
        <v>7.11</v>
      </c>
      <c r="S690">
        <v>45.44</v>
      </c>
      <c r="T690">
        <v>1.68</v>
      </c>
      <c r="U690" t="s">
        <v>24</v>
      </c>
    </row>
    <row r="691" spans="1:21">
      <c r="A691" t="str">
        <f>"002219"</f>
        <v>002219</v>
      </c>
      <c r="B691" t="s">
        <v>1524</v>
      </c>
      <c r="C691">
        <v>3.75</v>
      </c>
      <c r="D691">
        <v>3.6</v>
      </c>
      <c r="E691">
        <v>0.13</v>
      </c>
      <c r="F691">
        <v>3.59</v>
      </c>
      <c r="G691">
        <v>3.6</v>
      </c>
      <c r="H691">
        <v>127278</v>
      </c>
      <c r="I691">
        <v>1549</v>
      </c>
      <c r="J691">
        <v>0</v>
      </c>
      <c r="K691">
        <v>0.69</v>
      </c>
      <c r="L691">
        <v>4522.11</v>
      </c>
      <c r="M691" t="s">
        <v>1525</v>
      </c>
      <c r="N691" t="s">
        <v>186</v>
      </c>
      <c r="O691">
        <v>3.47</v>
      </c>
      <c r="P691">
        <v>3.63</v>
      </c>
      <c r="Q691">
        <v>3.42</v>
      </c>
      <c r="R691">
        <v>3.47</v>
      </c>
      <c r="S691" t="s">
        <v>40</v>
      </c>
      <c r="T691">
        <v>1.13</v>
      </c>
      <c r="U691" t="s">
        <v>391</v>
      </c>
    </row>
    <row r="692" spans="1:21">
      <c r="A692" t="str">
        <f>"002221"</f>
        <v>002221</v>
      </c>
      <c r="B692" t="s">
        <v>1526</v>
      </c>
      <c r="C692">
        <v>2.23</v>
      </c>
      <c r="D692">
        <v>12.39</v>
      </c>
      <c r="E692">
        <v>0.27</v>
      </c>
      <c r="F692">
        <v>12.38</v>
      </c>
      <c r="G692">
        <v>12.39</v>
      </c>
      <c r="H692">
        <v>267179</v>
      </c>
      <c r="I692">
        <v>8435</v>
      </c>
      <c r="J692">
        <v>0.24</v>
      </c>
      <c r="K692">
        <v>1.74</v>
      </c>
      <c r="L692">
        <v>32716.66</v>
      </c>
      <c r="M692" t="s">
        <v>1527</v>
      </c>
      <c r="N692" t="s">
        <v>177</v>
      </c>
      <c r="O692">
        <v>12.13</v>
      </c>
      <c r="P692">
        <v>12.44</v>
      </c>
      <c r="Q692">
        <v>11.88</v>
      </c>
      <c r="R692">
        <v>12.12</v>
      </c>
      <c r="S692">
        <v>15.99</v>
      </c>
      <c r="T692">
        <v>1.42</v>
      </c>
      <c r="U692" t="s">
        <v>102</v>
      </c>
    </row>
    <row r="693" spans="1:21">
      <c r="A693" t="str">
        <f>"002222"</f>
        <v>002222</v>
      </c>
      <c r="B693" t="s">
        <v>1528</v>
      </c>
      <c r="C693">
        <v>0.98</v>
      </c>
      <c r="D693">
        <v>17.46</v>
      </c>
      <c r="E693">
        <v>0.17</v>
      </c>
      <c r="F693">
        <v>17.46</v>
      </c>
      <c r="G693">
        <v>17.47</v>
      </c>
      <c r="H693">
        <v>186469</v>
      </c>
      <c r="I693">
        <v>1733</v>
      </c>
      <c r="J693">
        <v>-0.1</v>
      </c>
      <c r="K693">
        <v>4.4</v>
      </c>
      <c r="L693">
        <v>32443.01</v>
      </c>
      <c r="M693" t="s">
        <v>1529</v>
      </c>
      <c r="N693" t="s">
        <v>69</v>
      </c>
      <c r="O693">
        <v>17.12</v>
      </c>
      <c r="P693">
        <v>17.67</v>
      </c>
      <c r="Q693">
        <v>17.06</v>
      </c>
      <c r="R693">
        <v>17.29</v>
      </c>
      <c r="S693">
        <v>34.84</v>
      </c>
      <c r="T693">
        <v>0.89</v>
      </c>
      <c r="U693" t="s">
        <v>339</v>
      </c>
    </row>
    <row r="694" spans="1:21">
      <c r="A694" t="str">
        <f>"002223"</f>
        <v>002223</v>
      </c>
      <c r="B694" t="s">
        <v>1530</v>
      </c>
      <c r="C694">
        <v>-0.25</v>
      </c>
      <c r="D694">
        <v>35.24</v>
      </c>
      <c r="E694">
        <v>-0.09</v>
      </c>
      <c r="F694">
        <v>35.24</v>
      </c>
      <c r="G694">
        <v>35.25</v>
      </c>
      <c r="H694">
        <v>77349</v>
      </c>
      <c r="I694">
        <v>700</v>
      </c>
      <c r="J694">
        <v>0.11</v>
      </c>
      <c r="K694">
        <v>0.82</v>
      </c>
      <c r="L694">
        <v>27033.8</v>
      </c>
      <c r="M694" t="s">
        <v>1531</v>
      </c>
      <c r="N694" t="s">
        <v>186</v>
      </c>
      <c r="O694">
        <v>35.33</v>
      </c>
      <c r="P694">
        <v>35.44</v>
      </c>
      <c r="Q694">
        <v>34.44</v>
      </c>
      <c r="R694">
        <v>35.33</v>
      </c>
      <c r="S694">
        <v>19.6</v>
      </c>
      <c r="T694">
        <v>0.71</v>
      </c>
      <c r="U694" t="s">
        <v>102</v>
      </c>
    </row>
    <row r="695" spans="1:21">
      <c r="A695" t="str">
        <f>"002224"</f>
        <v>002224</v>
      </c>
      <c r="B695" t="s">
        <v>1532</v>
      </c>
      <c r="C695">
        <v>0.8</v>
      </c>
      <c r="D695">
        <v>5.06</v>
      </c>
      <c r="E695">
        <v>0.04</v>
      </c>
      <c r="F695">
        <v>5.05</v>
      </c>
      <c r="G695">
        <v>5.06</v>
      </c>
      <c r="H695">
        <v>34637</v>
      </c>
      <c r="I695">
        <v>608</v>
      </c>
      <c r="J695">
        <v>0.4</v>
      </c>
      <c r="K695">
        <v>0.64</v>
      </c>
      <c r="L695">
        <v>1736.22</v>
      </c>
      <c r="M695" t="s">
        <v>1533</v>
      </c>
      <c r="N695" t="s">
        <v>1509</v>
      </c>
      <c r="O695">
        <v>4.98</v>
      </c>
      <c r="P695">
        <v>5.06</v>
      </c>
      <c r="Q695">
        <v>4.95</v>
      </c>
      <c r="R695">
        <v>5.02</v>
      </c>
      <c r="S695">
        <v>24.43</v>
      </c>
      <c r="T695">
        <v>0.8</v>
      </c>
      <c r="U695" t="s">
        <v>200</v>
      </c>
    </row>
    <row r="696" spans="1:21">
      <c r="A696" t="str">
        <f>"002225"</f>
        <v>002225</v>
      </c>
      <c r="B696" t="s">
        <v>1534</v>
      </c>
      <c r="C696">
        <v>1.82</v>
      </c>
      <c r="D696">
        <v>4.48</v>
      </c>
      <c r="E696">
        <v>0.08</v>
      </c>
      <c r="F696">
        <v>4.47</v>
      </c>
      <c r="G696">
        <v>4.48</v>
      </c>
      <c r="H696">
        <v>174178</v>
      </c>
      <c r="I696">
        <v>1773</v>
      </c>
      <c r="J696">
        <v>0.22</v>
      </c>
      <c r="K696">
        <v>2.14</v>
      </c>
      <c r="L696">
        <v>7740.29</v>
      </c>
      <c r="M696" t="s">
        <v>1535</v>
      </c>
      <c r="N696" t="s">
        <v>131</v>
      </c>
      <c r="O696">
        <v>4.38</v>
      </c>
      <c r="P696">
        <v>4.49</v>
      </c>
      <c r="Q696">
        <v>4.36</v>
      </c>
      <c r="R696">
        <v>4.4</v>
      </c>
      <c r="S696">
        <v>21.81</v>
      </c>
      <c r="T696">
        <v>1.86</v>
      </c>
      <c r="U696" t="s">
        <v>224</v>
      </c>
    </row>
    <row r="697" spans="1:21">
      <c r="A697" t="str">
        <f>"002226"</f>
        <v>002226</v>
      </c>
      <c r="B697" t="s">
        <v>1536</v>
      </c>
      <c r="C697">
        <v>1.07</v>
      </c>
      <c r="D697">
        <v>5.69</v>
      </c>
      <c r="E697">
        <v>0.06</v>
      </c>
      <c r="F697">
        <v>5.68</v>
      </c>
      <c r="G697">
        <v>5.69</v>
      </c>
      <c r="H697">
        <v>220457</v>
      </c>
      <c r="I697">
        <v>2568</v>
      </c>
      <c r="J697">
        <v>0</v>
      </c>
      <c r="K697">
        <v>1.64</v>
      </c>
      <c r="L697">
        <v>12477.34</v>
      </c>
      <c r="M697" t="s">
        <v>1537</v>
      </c>
      <c r="N697" t="s">
        <v>309</v>
      </c>
      <c r="O697">
        <v>5.6</v>
      </c>
      <c r="P697">
        <v>5.72</v>
      </c>
      <c r="Q697">
        <v>5.53</v>
      </c>
      <c r="R697">
        <v>5.63</v>
      </c>
      <c r="S697">
        <v>21.68</v>
      </c>
      <c r="T697">
        <v>1.19</v>
      </c>
      <c r="U697" t="s">
        <v>193</v>
      </c>
    </row>
    <row r="698" spans="1:21">
      <c r="A698" t="str">
        <f>"002227"</f>
        <v>002227</v>
      </c>
      <c r="B698" t="s">
        <v>1538</v>
      </c>
      <c r="C698">
        <v>-1.22</v>
      </c>
      <c r="D698">
        <v>17.74</v>
      </c>
      <c r="E698">
        <v>-0.22</v>
      </c>
      <c r="F698">
        <v>17.73</v>
      </c>
      <c r="G698">
        <v>17.74</v>
      </c>
      <c r="H698">
        <v>55654</v>
      </c>
      <c r="I698">
        <v>802</v>
      </c>
      <c r="J698">
        <v>0.23</v>
      </c>
      <c r="K698">
        <v>2.53</v>
      </c>
      <c r="L698">
        <v>9888.38</v>
      </c>
      <c r="M698" t="s">
        <v>1539</v>
      </c>
      <c r="N698" t="s">
        <v>47</v>
      </c>
      <c r="O698">
        <v>17.71</v>
      </c>
      <c r="P698">
        <v>18</v>
      </c>
      <c r="Q698">
        <v>17.58</v>
      </c>
      <c r="R698">
        <v>17.96</v>
      </c>
      <c r="S698" t="s">
        <v>40</v>
      </c>
      <c r="T698">
        <v>0.7</v>
      </c>
      <c r="U698" t="s">
        <v>24</v>
      </c>
    </row>
    <row r="699" spans="1:21">
      <c r="A699" t="str">
        <f>"002228"</f>
        <v>002228</v>
      </c>
      <c r="B699" t="s">
        <v>1540</v>
      </c>
      <c r="C699">
        <v>0.58</v>
      </c>
      <c r="D699">
        <v>3.47</v>
      </c>
      <c r="E699">
        <v>0.02</v>
      </c>
      <c r="F699">
        <v>3.46</v>
      </c>
      <c r="G699">
        <v>3.47</v>
      </c>
      <c r="H699">
        <v>36725</v>
      </c>
      <c r="I699">
        <v>815</v>
      </c>
      <c r="J699">
        <v>0</v>
      </c>
      <c r="K699">
        <v>0.3</v>
      </c>
      <c r="L699">
        <v>1266.73</v>
      </c>
      <c r="M699" t="s">
        <v>1541</v>
      </c>
      <c r="N699" t="s">
        <v>482</v>
      </c>
      <c r="O699">
        <v>3.45</v>
      </c>
      <c r="P699">
        <v>3.47</v>
      </c>
      <c r="Q699">
        <v>3.43</v>
      </c>
      <c r="R699">
        <v>3.45</v>
      </c>
      <c r="S699">
        <v>15.74</v>
      </c>
      <c r="T699">
        <v>0.92</v>
      </c>
      <c r="U699" t="s">
        <v>339</v>
      </c>
    </row>
    <row r="700" spans="1:21">
      <c r="A700" t="str">
        <f>"002229"</f>
        <v>002229</v>
      </c>
      <c r="B700" t="s">
        <v>1542</v>
      </c>
      <c r="C700">
        <v>0.67</v>
      </c>
      <c r="D700">
        <v>6.02</v>
      </c>
      <c r="E700">
        <v>0.04</v>
      </c>
      <c r="F700">
        <v>6.02</v>
      </c>
      <c r="G700">
        <v>6.03</v>
      </c>
      <c r="H700">
        <v>27915</v>
      </c>
      <c r="I700">
        <v>440</v>
      </c>
      <c r="J700">
        <v>0</v>
      </c>
      <c r="K700">
        <v>0.56</v>
      </c>
      <c r="L700">
        <v>1672.83</v>
      </c>
      <c r="M700" t="s">
        <v>1543</v>
      </c>
      <c r="N700" t="s">
        <v>482</v>
      </c>
      <c r="O700">
        <v>5.95</v>
      </c>
      <c r="P700">
        <v>6.03</v>
      </c>
      <c r="Q700">
        <v>5.94</v>
      </c>
      <c r="R700">
        <v>5.98</v>
      </c>
      <c r="S700">
        <v>212.15</v>
      </c>
      <c r="T700">
        <v>1.03</v>
      </c>
      <c r="U700" t="s">
        <v>339</v>
      </c>
    </row>
    <row r="701" spans="1:21">
      <c r="A701" t="str">
        <f>"002230"</f>
        <v>002230</v>
      </c>
      <c r="B701" t="s">
        <v>1544</v>
      </c>
      <c r="C701">
        <v>0.64</v>
      </c>
      <c r="D701">
        <v>56.87</v>
      </c>
      <c r="E701">
        <v>0.36</v>
      </c>
      <c r="F701">
        <v>56.86</v>
      </c>
      <c r="G701">
        <v>56.87</v>
      </c>
      <c r="H701">
        <v>136863</v>
      </c>
      <c r="I701">
        <v>1660</v>
      </c>
      <c r="J701">
        <v>0.18</v>
      </c>
      <c r="K701">
        <v>0.66</v>
      </c>
      <c r="L701">
        <v>78080.36</v>
      </c>
      <c r="M701" t="s">
        <v>1545</v>
      </c>
      <c r="N701" t="s">
        <v>30</v>
      </c>
      <c r="O701">
        <v>56.7</v>
      </c>
      <c r="P701">
        <v>57.78</v>
      </c>
      <c r="Q701">
        <v>56.33</v>
      </c>
      <c r="R701">
        <v>56.51</v>
      </c>
      <c r="S701">
        <v>134.64</v>
      </c>
      <c r="T701">
        <v>0.79</v>
      </c>
      <c r="U701" t="s">
        <v>193</v>
      </c>
    </row>
    <row r="702" spans="1:21">
      <c r="A702" t="str">
        <f>"002231"</f>
        <v>002231</v>
      </c>
      <c r="B702" t="s">
        <v>1546</v>
      </c>
      <c r="C702">
        <v>1.24</v>
      </c>
      <c r="D702">
        <v>5.73</v>
      </c>
      <c r="E702">
        <v>0.07</v>
      </c>
      <c r="F702">
        <v>5.73</v>
      </c>
      <c r="G702">
        <v>5.74</v>
      </c>
      <c r="H702">
        <v>56360</v>
      </c>
      <c r="I702">
        <v>501</v>
      </c>
      <c r="J702">
        <v>0</v>
      </c>
      <c r="K702">
        <v>1.91</v>
      </c>
      <c r="L702">
        <v>3220.9</v>
      </c>
      <c r="M702" t="s">
        <v>1547</v>
      </c>
      <c r="N702" t="s">
        <v>153</v>
      </c>
      <c r="O702">
        <v>5.66</v>
      </c>
      <c r="P702">
        <v>5.78</v>
      </c>
      <c r="Q702">
        <v>5.62</v>
      </c>
      <c r="R702">
        <v>5.66</v>
      </c>
      <c r="S702">
        <v>100.43</v>
      </c>
      <c r="T702">
        <v>0.71</v>
      </c>
      <c r="U702" t="s">
        <v>141</v>
      </c>
    </row>
    <row r="703" spans="1:21">
      <c r="A703" t="str">
        <f>"002232"</f>
        <v>002232</v>
      </c>
      <c r="B703" t="s">
        <v>1548</v>
      </c>
      <c r="C703">
        <v>2.69</v>
      </c>
      <c r="D703">
        <v>11.84</v>
      </c>
      <c r="E703">
        <v>0.31</v>
      </c>
      <c r="F703">
        <v>11.83</v>
      </c>
      <c r="G703">
        <v>11.84</v>
      </c>
      <c r="H703">
        <v>224711</v>
      </c>
      <c r="I703">
        <v>2028</v>
      </c>
      <c r="J703">
        <v>0</v>
      </c>
      <c r="K703">
        <v>5.5</v>
      </c>
      <c r="L703">
        <v>26399.54</v>
      </c>
      <c r="M703" t="s">
        <v>1549</v>
      </c>
      <c r="N703" t="s">
        <v>30</v>
      </c>
      <c r="O703">
        <v>11.53</v>
      </c>
      <c r="P703">
        <v>12.09</v>
      </c>
      <c r="Q703">
        <v>11.41</v>
      </c>
      <c r="R703">
        <v>11.53</v>
      </c>
      <c r="S703">
        <v>81.56</v>
      </c>
      <c r="T703">
        <v>1.23</v>
      </c>
      <c r="U703" t="s">
        <v>92</v>
      </c>
    </row>
    <row r="704" spans="1:21">
      <c r="A704" t="str">
        <f>"002233"</f>
        <v>002233</v>
      </c>
      <c r="B704" t="s">
        <v>1550</v>
      </c>
      <c r="C704">
        <v>0.69</v>
      </c>
      <c r="D704">
        <v>10.19</v>
      </c>
      <c r="E704">
        <v>0.07</v>
      </c>
      <c r="F704">
        <v>10.19</v>
      </c>
      <c r="G704">
        <v>10.2</v>
      </c>
      <c r="H704">
        <v>134617</v>
      </c>
      <c r="I704">
        <v>2403</v>
      </c>
      <c r="J704">
        <v>-0.09</v>
      </c>
      <c r="K704">
        <v>1.13</v>
      </c>
      <c r="L704">
        <v>13628.52</v>
      </c>
      <c r="M704" t="s">
        <v>1551</v>
      </c>
      <c r="N704" t="s">
        <v>75</v>
      </c>
      <c r="O704">
        <v>10.1</v>
      </c>
      <c r="P704">
        <v>10.21</v>
      </c>
      <c r="Q704">
        <v>10.04</v>
      </c>
      <c r="R704">
        <v>10.12</v>
      </c>
      <c r="S704">
        <v>6.94</v>
      </c>
      <c r="T704">
        <v>0.86</v>
      </c>
      <c r="U704" t="s">
        <v>183</v>
      </c>
    </row>
    <row r="705" spans="1:21">
      <c r="A705" t="str">
        <f>"002234"</f>
        <v>002234</v>
      </c>
      <c r="B705" t="s">
        <v>1552</v>
      </c>
      <c r="C705">
        <v>-1.29</v>
      </c>
      <c r="D705">
        <v>16.13</v>
      </c>
      <c r="E705">
        <v>-0.21</v>
      </c>
      <c r="F705">
        <v>16.13</v>
      </c>
      <c r="G705">
        <v>16.14</v>
      </c>
      <c r="H705">
        <v>101817</v>
      </c>
      <c r="I705">
        <v>2516</v>
      </c>
      <c r="J705">
        <v>0.25</v>
      </c>
      <c r="K705">
        <v>4.02</v>
      </c>
      <c r="L705">
        <v>16313.33</v>
      </c>
      <c r="M705" t="s">
        <v>1553</v>
      </c>
      <c r="N705" t="s">
        <v>147</v>
      </c>
      <c r="O705">
        <v>16.15</v>
      </c>
      <c r="P705">
        <v>16.33</v>
      </c>
      <c r="Q705">
        <v>15.85</v>
      </c>
      <c r="R705">
        <v>16.34</v>
      </c>
      <c r="S705">
        <v>25.37</v>
      </c>
      <c r="T705">
        <v>0.87</v>
      </c>
      <c r="U705" t="s">
        <v>221</v>
      </c>
    </row>
    <row r="706" spans="1:21">
      <c r="A706" t="str">
        <f>"002235"</f>
        <v>002235</v>
      </c>
      <c r="B706" t="s">
        <v>1554</v>
      </c>
      <c r="C706">
        <v>0</v>
      </c>
      <c r="D706">
        <v>4.7</v>
      </c>
      <c r="E706">
        <v>0</v>
      </c>
      <c r="F706">
        <v>4.69</v>
      </c>
      <c r="G706">
        <v>4.7</v>
      </c>
      <c r="H706">
        <v>108480</v>
      </c>
      <c r="I706">
        <v>1438</v>
      </c>
      <c r="J706">
        <v>0.21</v>
      </c>
      <c r="K706">
        <v>1.98</v>
      </c>
      <c r="L706">
        <v>5084.78</v>
      </c>
      <c r="M706" t="s">
        <v>1555</v>
      </c>
      <c r="N706" t="s">
        <v>285</v>
      </c>
      <c r="O706">
        <v>4.75</v>
      </c>
      <c r="P706">
        <v>4.75</v>
      </c>
      <c r="Q706">
        <v>4.63</v>
      </c>
      <c r="R706">
        <v>4.7</v>
      </c>
      <c r="S706">
        <v>121.48</v>
      </c>
      <c r="T706">
        <v>0.56</v>
      </c>
      <c r="U706" t="s">
        <v>339</v>
      </c>
    </row>
    <row r="707" spans="1:21">
      <c r="A707" t="str">
        <f>"002236"</f>
        <v>002236</v>
      </c>
      <c r="B707" t="s">
        <v>1556</v>
      </c>
      <c r="C707">
        <v>4.8</v>
      </c>
      <c r="D707">
        <v>25.76</v>
      </c>
      <c r="E707">
        <v>1.18</v>
      </c>
      <c r="F707">
        <v>25.75</v>
      </c>
      <c r="G707">
        <v>25.76</v>
      </c>
      <c r="H707">
        <v>725439</v>
      </c>
      <c r="I707">
        <v>6333</v>
      </c>
      <c r="J707">
        <v>0.12</v>
      </c>
      <c r="K707">
        <v>3.7</v>
      </c>
      <c r="L707">
        <v>185433.72</v>
      </c>
      <c r="M707" t="s">
        <v>1557</v>
      </c>
      <c r="N707" t="s">
        <v>1028</v>
      </c>
      <c r="O707">
        <v>24.58</v>
      </c>
      <c r="P707">
        <v>26.15</v>
      </c>
      <c r="Q707">
        <v>24.33</v>
      </c>
      <c r="R707">
        <v>24.58</v>
      </c>
      <c r="S707">
        <v>24.12</v>
      </c>
      <c r="T707">
        <v>2.38</v>
      </c>
      <c r="U707" t="s">
        <v>200</v>
      </c>
    </row>
    <row r="708" spans="1:21">
      <c r="A708" t="str">
        <f>"002237"</f>
        <v>002237</v>
      </c>
      <c r="B708" t="s">
        <v>1558</v>
      </c>
      <c r="C708">
        <v>0.34</v>
      </c>
      <c r="D708">
        <v>11.81</v>
      </c>
      <c r="E708">
        <v>0.04</v>
      </c>
      <c r="F708">
        <v>11.8</v>
      </c>
      <c r="G708">
        <v>11.81</v>
      </c>
      <c r="H708">
        <v>69211</v>
      </c>
      <c r="I708">
        <v>1307</v>
      </c>
      <c r="J708">
        <v>0.08</v>
      </c>
      <c r="K708">
        <v>0.76</v>
      </c>
      <c r="L708">
        <v>8122.63</v>
      </c>
      <c r="M708" t="s">
        <v>1559</v>
      </c>
      <c r="N708" t="s">
        <v>302</v>
      </c>
      <c r="O708">
        <v>11.77</v>
      </c>
      <c r="P708">
        <v>11.82</v>
      </c>
      <c r="Q708">
        <v>11.66</v>
      </c>
      <c r="R708">
        <v>11.77</v>
      </c>
      <c r="S708">
        <v>29.14</v>
      </c>
      <c r="T708">
        <v>0.81</v>
      </c>
      <c r="U708" t="s">
        <v>221</v>
      </c>
    </row>
    <row r="709" spans="1:21">
      <c r="A709" t="str">
        <f>"002238"</f>
        <v>002238</v>
      </c>
      <c r="B709" t="s">
        <v>1560</v>
      </c>
      <c r="C709">
        <v>2.79</v>
      </c>
      <c r="D709">
        <v>5.9</v>
      </c>
      <c r="E709">
        <v>0.16</v>
      </c>
      <c r="F709">
        <v>5.89</v>
      </c>
      <c r="G709">
        <v>5.9</v>
      </c>
      <c r="H709">
        <v>41656</v>
      </c>
      <c r="I709">
        <v>603</v>
      </c>
      <c r="J709">
        <v>0.17</v>
      </c>
      <c r="K709">
        <v>0.52</v>
      </c>
      <c r="L709">
        <v>2424.2</v>
      </c>
      <c r="M709" t="s">
        <v>1561</v>
      </c>
      <c r="N709" t="s">
        <v>199</v>
      </c>
      <c r="O709">
        <v>5.83</v>
      </c>
      <c r="P709">
        <v>5.9</v>
      </c>
      <c r="Q709">
        <v>5.73</v>
      </c>
      <c r="R709">
        <v>5.74</v>
      </c>
      <c r="S709">
        <v>38.66</v>
      </c>
      <c r="T709">
        <v>1.21</v>
      </c>
      <c r="U709" t="s">
        <v>24</v>
      </c>
    </row>
    <row r="710" spans="1:21">
      <c r="A710" t="str">
        <f>"002239"</f>
        <v>002239</v>
      </c>
      <c r="B710" t="s">
        <v>1562</v>
      </c>
      <c r="C710">
        <v>-2.36</v>
      </c>
      <c r="D710">
        <v>3.72</v>
      </c>
      <c r="E710">
        <v>-0.09</v>
      </c>
      <c r="F710">
        <v>3.72</v>
      </c>
      <c r="G710">
        <v>3.73</v>
      </c>
      <c r="H710">
        <v>1027737</v>
      </c>
      <c r="I710">
        <v>9255</v>
      </c>
      <c r="J710">
        <v>-0.52</v>
      </c>
      <c r="K710">
        <v>3.17</v>
      </c>
      <c r="L710">
        <v>38420.88</v>
      </c>
      <c r="M710" t="s">
        <v>1563</v>
      </c>
      <c r="N710" t="s">
        <v>91</v>
      </c>
      <c r="O710">
        <v>3.75</v>
      </c>
      <c r="P710">
        <v>3.83</v>
      </c>
      <c r="Q710">
        <v>3.7</v>
      </c>
      <c r="R710">
        <v>3.81</v>
      </c>
      <c r="S710">
        <v>323.26</v>
      </c>
      <c r="T710">
        <v>1.18</v>
      </c>
      <c r="U710" t="s">
        <v>102</v>
      </c>
    </row>
    <row r="711" spans="1:21">
      <c r="A711" t="str">
        <f>"002240"</f>
        <v>002240</v>
      </c>
      <c r="B711" t="s">
        <v>1564</v>
      </c>
      <c r="C711">
        <v>-4.57</v>
      </c>
      <c r="D711">
        <v>56.4</v>
      </c>
      <c r="E711">
        <v>-2.7</v>
      </c>
      <c r="F711">
        <v>56.4</v>
      </c>
      <c r="G711">
        <v>56.41</v>
      </c>
      <c r="H711">
        <v>483455</v>
      </c>
      <c r="I711">
        <v>3502</v>
      </c>
      <c r="J711">
        <v>0.05</v>
      </c>
      <c r="K711">
        <v>6.94</v>
      </c>
      <c r="L711">
        <v>275882.55</v>
      </c>
      <c r="M711" t="s">
        <v>1565</v>
      </c>
      <c r="N711" t="s">
        <v>523</v>
      </c>
      <c r="O711">
        <v>58.87</v>
      </c>
      <c r="P711">
        <v>58.99</v>
      </c>
      <c r="Q711">
        <v>55.62</v>
      </c>
      <c r="R711">
        <v>59.1</v>
      </c>
      <c r="S711">
        <v>67.99</v>
      </c>
      <c r="T711">
        <v>1.22</v>
      </c>
      <c r="U711" t="s">
        <v>24</v>
      </c>
    </row>
    <row r="712" spans="1:21">
      <c r="A712" t="str">
        <f>"002241"</f>
        <v>002241</v>
      </c>
      <c r="B712" t="s">
        <v>1566</v>
      </c>
      <c r="C712">
        <v>5.77</v>
      </c>
      <c r="D712">
        <v>52.78</v>
      </c>
      <c r="E712">
        <v>2.88</v>
      </c>
      <c r="F712">
        <v>52.78</v>
      </c>
      <c r="G712">
        <v>52.79</v>
      </c>
      <c r="H712">
        <v>1118742</v>
      </c>
      <c r="I712">
        <v>7825</v>
      </c>
      <c r="J712">
        <v>0.02</v>
      </c>
      <c r="K712">
        <v>3.76</v>
      </c>
      <c r="L712">
        <v>592373.66</v>
      </c>
      <c r="M712" t="s">
        <v>1567</v>
      </c>
      <c r="N712" t="s">
        <v>69</v>
      </c>
      <c r="O712">
        <v>50.85</v>
      </c>
      <c r="P712">
        <v>54.7</v>
      </c>
      <c r="Q712">
        <v>50.4</v>
      </c>
      <c r="R712">
        <v>49.9</v>
      </c>
      <c r="S712">
        <v>40.58</v>
      </c>
      <c r="T712">
        <v>1.4</v>
      </c>
      <c r="U712" t="s">
        <v>221</v>
      </c>
    </row>
    <row r="713" spans="1:21">
      <c r="A713" t="str">
        <f>"002242"</f>
        <v>002242</v>
      </c>
      <c r="B713" t="s">
        <v>1568</v>
      </c>
      <c r="C713">
        <v>1.33</v>
      </c>
      <c r="D713">
        <v>24.34</v>
      </c>
      <c r="E713">
        <v>0.32</v>
      </c>
      <c r="F713">
        <v>24.34</v>
      </c>
      <c r="G713">
        <v>24.35</v>
      </c>
      <c r="H713">
        <v>38802</v>
      </c>
      <c r="I713">
        <v>933</v>
      </c>
      <c r="J713">
        <v>0.12</v>
      </c>
      <c r="K713">
        <v>0.51</v>
      </c>
      <c r="L713">
        <v>9414.72</v>
      </c>
      <c r="M713" t="s">
        <v>1569</v>
      </c>
      <c r="N713" t="s">
        <v>60</v>
      </c>
      <c r="O713">
        <v>24.3</v>
      </c>
      <c r="P713">
        <v>24.57</v>
      </c>
      <c r="Q713">
        <v>24</v>
      </c>
      <c r="R713">
        <v>24.02</v>
      </c>
      <c r="S713">
        <v>21.11</v>
      </c>
      <c r="T713">
        <v>0.51</v>
      </c>
      <c r="U713" t="s">
        <v>221</v>
      </c>
    </row>
    <row r="714" spans="1:21">
      <c r="A714" t="str">
        <f>"002243"</f>
        <v>002243</v>
      </c>
      <c r="B714" t="s">
        <v>1570</v>
      </c>
      <c r="C714">
        <v>0.59</v>
      </c>
      <c r="D714">
        <v>10.18</v>
      </c>
      <c r="E714">
        <v>0.06</v>
      </c>
      <c r="F714">
        <v>10.17</v>
      </c>
      <c r="G714">
        <v>10.18</v>
      </c>
      <c r="H714">
        <v>36878</v>
      </c>
      <c r="I714">
        <v>389</v>
      </c>
      <c r="J714">
        <v>0.1</v>
      </c>
      <c r="K714">
        <v>0.67</v>
      </c>
      <c r="L714">
        <v>3750.03</v>
      </c>
      <c r="M714" t="s">
        <v>1571</v>
      </c>
      <c r="N714" t="s">
        <v>839</v>
      </c>
      <c r="O714">
        <v>10.13</v>
      </c>
      <c r="P714">
        <v>10.23</v>
      </c>
      <c r="Q714">
        <v>10.06</v>
      </c>
      <c r="R714">
        <v>10.12</v>
      </c>
      <c r="S714">
        <v>25.01</v>
      </c>
      <c r="T714">
        <v>0.39</v>
      </c>
      <c r="U714" t="s">
        <v>24</v>
      </c>
    </row>
    <row r="715" spans="1:21">
      <c r="A715" t="str">
        <f>"002244"</f>
        <v>002244</v>
      </c>
      <c r="B715" t="s">
        <v>1572</v>
      </c>
      <c r="C715">
        <v>2.51</v>
      </c>
      <c r="D715">
        <v>4.09</v>
      </c>
      <c r="E715">
        <v>0.1</v>
      </c>
      <c r="F715">
        <v>4.08</v>
      </c>
      <c r="G715">
        <v>4.09</v>
      </c>
      <c r="H715">
        <v>118636</v>
      </c>
      <c r="I715">
        <v>768</v>
      </c>
      <c r="J715">
        <v>0</v>
      </c>
      <c r="K715">
        <v>0.44</v>
      </c>
      <c r="L715">
        <v>4783.48</v>
      </c>
      <c r="M715" t="s">
        <v>1573</v>
      </c>
      <c r="N715" t="s">
        <v>36</v>
      </c>
      <c r="O715">
        <v>3.98</v>
      </c>
      <c r="P715">
        <v>4.1</v>
      </c>
      <c r="Q715">
        <v>3.98</v>
      </c>
      <c r="R715">
        <v>3.99</v>
      </c>
      <c r="S715">
        <v>7.2</v>
      </c>
      <c r="T715">
        <v>0.88</v>
      </c>
      <c r="U715" t="s">
        <v>200</v>
      </c>
    </row>
    <row r="716" spans="1:21">
      <c r="A716" t="str">
        <f>"002245"</f>
        <v>002245</v>
      </c>
      <c r="B716" t="s">
        <v>1574</v>
      </c>
      <c r="C716">
        <v>6.24</v>
      </c>
      <c r="D716">
        <v>27.94</v>
      </c>
      <c r="E716">
        <v>1.64</v>
      </c>
      <c r="F716">
        <v>27.93</v>
      </c>
      <c r="G716">
        <v>27.94</v>
      </c>
      <c r="H716">
        <v>402476</v>
      </c>
      <c r="I716">
        <v>3640</v>
      </c>
      <c r="J716">
        <v>-0.03</v>
      </c>
      <c r="K716">
        <v>4.15</v>
      </c>
      <c r="L716">
        <v>112204.25</v>
      </c>
      <c r="M716" t="s">
        <v>1575</v>
      </c>
      <c r="N716" t="s">
        <v>47</v>
      </c>
      <c r="O716">
        <v>26.4</v>
      </c>
      <c r="P716">
        <v>28.35</v>
      </c>
      <c r="Q716">
        <v>26.11</v>
      </c>
      <c r="R716">
        <v>26.3</v>
      </c>
      <c r="S716">
        <v>42.97</v>
      </c>
      <c r="T716">
        <v>1.25</v>
      </c>
      <c r="U716" t="s">
        <v>102</v>
      </c>
    </row>
    <row r="717" spans="1:21">
      <c r="A717" t="str">
        <f>"002246"</f>
        <v>002246</v>
      </c>
      <c r="B717" t="s">
        <v>1576</v>
      </c>
      <c r="C717">
        <v>0.86</v>
      </c>
      <c r="D717">
        <v>7.01</v>
      </c>
      <c r="E717">
        <v>0.06</v>
      </c>
      <c r="F717">
        <v>7</v>
      </c>
      <c r="G717">
        <v>7.01</v>
      </c>
      <c r="H717">
        <v>27037</v>
      </c>
      <c r="I717">
        <v>251</v>
      </c>
      <c r="J717">
        <v>0.14</v>
      </c>
      <c r="K717">
        <v>0.49</v>
      </c>
      <c r="L717">
        <v>1893.22</v>
      </c>
      <c r="M717" t="s">
        <v>376</v>
      </c>
      <c r="N717" t="s">
        <v>309</v>
      </c>
      <c r="O717">
        <v>6.91</v>
      </c>
      <c r="P717">
        <v>7.04</v>
      </c>
      <c r="Q717">
        <v>6.91</v>
      </c>
      <c r="R717">
        <v>6.95</v>
      </c>
      <c r="S717">
        <v>38.5</v>
      </c>
      <c r="T717">
        <v>0.94</v>
      </c>
      <c r="U717" t="s">
        <v>196</v>
      </c>
    </row>
    <row r="718" spans="1:21">
      <c r="A718" t="str">
        <f>"002247"</f>
        <v>002247</v>
      </c>
      <c r="B718" t="s">
        <v>1577</v>
      </c>
      <c r="C718">
        <v>1.45</v>
      </c>
      <c r="D718">
        <v>2.79</v>
      </c>
      <c r="E718">
        <v>0.04</v>
      </c>
      <c r="F718">
        <v>2.79</v>
      </c>
      <c r="G718">
        <v>2.8</v>
      </c>
      <c r="H718">
        <v>97949</v>
      </c>
      <c r="I718">
        <v>1155</v>
      </c>
      <c r="J718">
        <v>0.36</v>
      </c>
      <c r="K718">
        <v>1.52</v>
      </c>
      <c r="L718">
        <v>2727.23</v>
      </c>
      <c r="M718" t="s">
        <v>1578</v>
      </c>
      <c r="N718" t="s">
        <v>285</v>
      </c>
      <c r="O718">
        <v>2.75</v>
      </c>
      <c r="P718">
        <v>2.82</v>
      </c>
      <c r="Q718">
        <v>2.74</v>
      </c>
      <c r="R718">
        <v>2.75</v>
      </c>
      <c r="S718">
        <v>26.49</v>
      </c>
      <c r="T718">
        <v>0.96</v>
      </c>
      <c r="U718" t="s">
        <v>200</v>
      </c>
    </row>
    <row r="719" spans="1:21">
      <c r="A719" t="str">
        <f>"002248"</f>
        <v>002248</v>
      </c>
      <c r="B719" t="s">
        <v>1579</v>
      </c>
      <c r="C719">
        <v>4.12</v>
      </c>
      <c r="D719">
        <v>11.11</v>
      </c>
      <c r="E719">
        <v>0.44</v>
      </c>
      <c r="F719">
        <v>11.11</v>
      </c>
      <c r="G719">
        <v>11.12</v>
      </c>
      <c r="H719">
        <v>526737</v>
      </c>
      <c r="I719">
        <v>5758</v>
      </c>
      <c r="J719">
        <v>0.18</v>
      </c>
      <c r="K719">
        <v>17.69</v>
      </c>
      <c r="L719">
        <v>57411.7</v>
      </c>
      <c r="M719" t="s">
        <v>1580</v>
      </c>
      <c r="N719" t="s">
        <v>247</v>
      </c>
      <c r="O719">
        <v>10.84</v>
      </c>
      <c r="P719">
        <v>11.28</v>
      </c>
      <c r="Q719">
        <v>10.35</v>
      </c>
      <c r="R719">
        <v>10.67</v>
      </c>
      <c r="S719">
        <v>279.2</v>
      </c>
      <c r="T719">
        <v>1.34</v>
      </c>
      <c r="U719" t="s">
        <v>221</v>
      </c>
    </row>
    <row r="720" spans="1:21">
      <c r="A720" t="str">
        <f>"002249"</f>
        <v>002249</v>
      </c>
      <c r="B720" t="s">
        <v>1581</v>
      </c>
      <c r="C720">
        <v>4.85</v>
      </c>
      <c r="D720">
        <v>8.21</v>
      </c>
      <c r="E720">
        <v>0.38</v>
      </c>
      <c r="F720">
        <v>8.21</v>
      </c>
      <c r="G720">
        <v>8.22</v>
      </c>
      <c r="H720">
        <v>1855680</v>
      </c>
      <c r="I720">
        <v>16821</v>
      </c>
      <c r="J720">
        <v>0.12</v>
      </c>
      <c r="K720">
        <v>10.79</v>
      </c>
      <c r="L720">
        <v>151700.79</v>
      </c>
      <c r="M720" t="s">
        <v>1582</v>
      </c>
      <c r="N720" t="s">
        <v>47</v>
      </c>
      <c r="O720">
        <v>7.84</v>
      </c>
      <c r="P720">
        <v>8.4</v>
      </c>
      <c r="Q720">
        <v>7.75</v>
      </c>
      <c r="R720">
        <v>7.83</v>
      </c>
      <c r="S720">
        <v>39.04</v>
      </c>
      <c r="T720">
        <v>1.7</v>
      </c>
      <c r="U720" t="s">
        <v>183</v>
      </c>
    </row>
    <row r="721" spans="1:21">
      <c r="A721" t="str">
        <f>"002250"</f>
        <v>002250</v>
      </c>
      <c r="B721" t="s">
        <v>1583</v>
      </c>
      <c r="C721">
        <v>-1.89</v>
      </c>
      <c r="D721">
        <v>19.23</v>
      </c>
      <c r="E721">
        <v>-0.37</v>
      </c>
      <c r="F721">
        <v>19.23</v>
      </c>
      <c r="G721">
        <v>19.24</v>
      </c>
      <c r="H721">
        <v>63170</v>
      </c>
      <c r="I721">
        <v>520</v>
      </c>
      <c r="J721">
        <v>-0.09</v>
      </c>
      <c r="K721">
        <v>0.69</v>
      </c>
      <c r="L721">
        <v>12228.34</v>
      </c>
      <c r="M721" t="s">
        <v>1584</v>
      </c>
      <c r="N721" t="s">
        <v>309</v>
      </c>
      <c r="O721">
        <v>19.4</v>
      </c>
      <c r="P721">
        <v>19.95</v>
      </c>
      <c r="Q721">
        <v>19.01</v>
      </c>
      <c r="R721">
        <v>19.6</v>
      </c>
      <c r="S721">
        <v>47.98</v>
      </c>
      <c r="T721">
        <v>0.93</v>
      </c>
      <c r="U721" t="s">
        <v>200</v>
      </c>
    </row>
    <row r="722" spans="1:21">
      <c r="A722" t="str">
        <f>"002251"</f>
        <v>002251</v>
      </c>
      <c r="B722" t="s">
        <v>1585</v>
      </c>
      <c r="C722">
        <v>0.3</v>
      </c>
      <c r="D722">
        <v>6.78</v>
      </c>
      <c r="E722">
        <v>0.02</v>
      </c>
      <c r="F722">
        <v>6.78</v>
      </c>
      <c r="G722">
        <v>6.79</v>
      </c>
      <c r="H722">
        <v>24962</v>
      </c>
      <c r="I722">
        <v>173</v>
      </c>
      <c r="J722">
        <v>0</v>
      </c>
      <c r="K722">
        <v>0.29</v>
      </c>
      <c r="L722">
        <v>1693.34</v>
      </c>
      <c r="M722" t="s">
        <v>1586</v>
      </c>
      <c r="N722" t="s">
        <v>707</v>
      </c>
      <c r="O722">
        <v>6.74</v>
      </c>
      <c r="P722">
        <v>6.82</v>
      </c>
      <c r="Q722">
        <v>6.74</v>
      </c>
      <c r="R722">
        <v>6.76</v>
      </c>
      <c r="S722">
        <v>25.49</v>
      </c>
      <c r="T722">
        <v>0.75</v>
      </c>
      <c r="U722" t="s">
        <v>204</v>
      </c>
    </row>
    <row r="723" spans="1:21">
      <c r="A723" t="str">
        <f>"002252"</f>
        <v>002252</v>
      </c>
      <c r="B723" t="s">
        <v>1587</v>
      </c>
      <c r="C723">
        <v>0.31</v>
      </c>
      <c r="D723">
        <v>6.56</v>
      </c>
      <c r="E723">
        <v>0.02</v>
      </c>
      <c r="F723">
        <v>6.56</v>
      </c>
      <c r="G723">
        <v>6.57</v>
      </c>
      <c r="H723">
        <v>227406</v>
      </c>
      <c r="I723">
        <v>2497</v>
      </c>
      <c r="J723">
        <v>0</v>
      </c>
      <c r="K723">
        <v>0.46</v>
      </c>
      <c r="L723">
        <v>14813.33</v>
      </c>
      <c r="M723" t="s">
        <v>1588</v>
      </c>
      <c r="N723" t="s">
        <v>231</v>
      </c>
      <c r="O723">
        <v>6.52</v>
      </c>
      <c r="P723">
        <v>6.57</v>
      </c>
      <c r="Q723">
        <v>6.46</v>
      </c>
      <c r="R723">
        <v>6.54</v>
      </c>
      <c r="S723">
        <v>23.75</v>
      </c>
      <c r="T723">
        <v>0.9</v>
      </c>
      <c r="U723" t="s">
        <v>848</v>
      </c>
    </row>
    <row r="724" spans="1:21">
      <c r="A724" t="str">
        <f>"002253"</f>
        <v>002253</v>
      </c>
      <c r="B724" t="s">
        <v>1589</v>
      </c>
      <c r="C724">
        <v>0.48</v>
      </c>
      <c r="D724">
        <v>14.51</v>
      </c>
      <c r="E724">
        <v>0.07</v>
      </c>
      <c r="F724">
        <v>14.5</v>
      </c>
      <c r="G724">
        <v>14.52</v>
      </c>
      <c r="H724">
        <v>37268</v>
      </c>
      <c r="I724">
        <v>374</v>
      </c>
      <c r="J724">
        <v>0.21</v>
      </c>
      <c r="K724">
        <v>1.8</v>
      </c>
      <c r="L724">
        <v>5433.59</v>
      </c>
      <c r="M724" t="s">
        <v>1590</v>
      </c>
      <c r="N724" t="s">
        <v>30</v>
      </c>
      <c r="O724">
        <v>14.44</v>
      </c>
      <c r="P724">
        <v>14.75</v>
      </c>
      <c r="Q724">
        <v>14.38</v>
      </c>
      <c r="R724">
        <v>14.44</v>
      </c>
      <c r="S724">
        <v>72.08</v>
      </c>
      <c r="T724">
        <v>0.68</v>
      </c>
      <c r="U724" t="s">
        <v>196</v>
      </c>
    </row>
    <row r="725" spans="1:21">
      <c r="A725" t="str">
        <f>"002254"</f>
        <v>002254</v>
      </c>
      <c r="B725" t="s">
        <v>1591</v>
      </c>
      <c r="C725">
        <v>0.74</v>
      </c>
      <c r="D725">
        <v>20.44</v>
      </c>
      <c r="E725">
        <v>0.15</v>
      </c>
      <c r="F725">
        <v>20.43</v>
      </c>
      <c r="G725">
        <v>20.44</v>
      </c>
      <c r="H725">
        <v>153611</v>
      </c>
      <c r="I725">
        <v>1157</v>
      </c>
      <c r="J725">
        <v>0</v>
      </c>
      <c r="K725">
        <v>3.6</v>
      </c>
      <c r="L725">
        <v>31246.84</v>
      </c>
      <c r="M725" t="s">
        <v>1592</v>
      </c>
      <c r="N725" t="s">
        <v>216</v>
      </c>
      <c r="O725">
        <v>20.28</v>
      </c>
      <c r="P725">
        <v>20.56</v>
      </c>
      <c r="Q725">
        <v>20.16</v>
      </c>
      <c r="R725">
        <v>20.29</v>
      </c>
      <c r="S725">
        <v>14.35</v>
      </c>
      <c r="T725">
        <v>0.56</v>
      </c>
      <c r="U725" t="s">
        <v>221</v>
      </c>
    </row>
    <row r="726" spans="1:21">
      <c r="A726" t="str">
        <f>"002255"</f>
        <v>002255</v>
      </c>
      <c r="B726" t="s">
        <v>1593</v>
      </c>
      <c r="C726">
        <v>-0.15</v>
      </c>
      <c r="D726">
        <v>6.54</v>
      </c>
      <c r="E726">
        <v>-0.01</v>
      </c>
      <c r="F726">
        <v>6.53</v>
      </c>
      <c r="G726">
        <v>6.54</v>
      </c>
      <c r="H726">
        <v>549879</v>
      </c>
      <c r="I726">
        <v>4772</v>
      </c>
      <c r="J726">
        <v>-0.14</v>
      </c>
      <c r="K726">
        <v>8.54</v>
      </c>
      <c r="L726">
        <v>35611.29</v>
      </c>
      <c r="M726" t="s">
        <v>1594</v>
      </c>
      <c r="N726" t="s">
        <v>324</v>
      </c>
      <c r="O726">
        <v>6.46</v>
      </c>
      <c r="P726">
        <v>6.63</v>
      </c>
      <c r="Q726">
        <v>6.33</v>
      </c>
      <c r="R726">
        <v>6.55</v>
      </c>
      <c r="S726">
        <v>15.2</v>
      </c>
      <c r="T726">
        <v>0.84</v>
      </c>
      <c r="U726" t="s">
        <v>102</v>
      </c>
    </row>
    <row r="727" spans="1:21">
      <c r="A727" t="str">
        <f>"002256"</f>
        <v>002256</v>
      </c>
      <c r="B727" t="s">
        <v>1595</v>
      </c>
      <c r="C727">
        <v>-3.57</v>
      </c>
      <c r="D727">
        <v>3.78</v>
      </c>
      <c r="E727">
        <v>-0.14</v>
      </c>
      <c r="F727">
        <v>3.77</v>
      </c>
      <c r="G727">
        <v>3.78</v>
      </c>
      <c r="H727">
        <v>1364107</v>
      </c>
      <c r="I727">
        <v>12847</v>
      </c>
      <c r="J727">
        <v>0.27</v>
      </c>
      <c r="K727">
        <v>9.81</v>
      </c>
      <c r="L727">
        <v>51437.67</v>
      </c>
      <c r="M727" t="s">
        <v>1596</v>
      </c>
      <c r="N727" t="s">
        <v>114</v>
      </c>
      <c r="O727">
        <v>3.85</v>
      </c>
      <c r="P727">
        <v>3.88</v>
      </c>
      <c r="Q727">
        <v>3.71</v>
      </c>
      <c r="R727">
        <v>3.92</v>
      </c>
      <c r="S727" t="s">
        <v>40</v>
      </c>
      <c r="T727">
        <v>1.13</v>
      </c>
      <c r="U727" t="s">
        <v>24</v>
      </c>
    </row>
    <row r="728" spans="1:21">
      <c r="A728" t="str">
        <f>"002258"</f>
        <v>002258</v>
      </c>
      <c r="B728" t="s">
        <v>1597</v>
      </c>
      <c r="C728">
        <v>-0.36</v>
      </c>
      <c r="D728">
        <v>27.32</v>
      </c>
      <c r="E728">
        <v>-0.1</v>
      </c>
      <c r="F728">
        <v>27.32</v>
      </c>
      <c r="G728">
        <v>27.33</v>
      </c>
      <c r="H728">
        <v>54987</v>
      </c>
      <c r="I728">
        <v>601</v>
      </c>
      <c r="J728">
        <v>0</v>
      </c>
      <c r="K728">
        <v>1.05</v>
      </c>
      <c r="L728">
        <v>15046.16</v>
      </c>
      <c r="M728" t="s">
        <v>1598</v>
      </c>
      <c r="N728" t="s">
        <v>241</v>
      </c>
      <c r="O728">
        <v>27.4</v>
      </c>
      <c r="P728">
        <v>27.62</v>
      </c>
      <c r="Q728">
        <v>27.04</v>
      </c>
      <c r="R728">
        <v>27.42</v>
      </c>
      <c r="S728">
        <v>17.65</v>
      </c>
      <c r="T728">
        <v>0.36</v>
      </c>
      <c r="U728" t="s">
        <v>196</v>
      </c>
    </row>
    <row r="729" spans="1:21">
      <c r="A729" t="str">
        <f>"002259"</f>
        <v>002259</v>
      </c>
      <c r="B729" t="s">
        <v>1599</v>
      </c>
      <c r="C729">
        <v>0.82</v>
      </c>
      <c r="D729">
        <v>3.69</v>
      </c>
      <c r="E729">
        <v>0.03</v>
      </c>
      <c r="F729">
        <v>3.68</v>
      </c>
      <c r="G729">
        <v>3.69</v>
      </c>
      <c r="H729">
        <v>37121</v>
      </c>
      <c r="I729">
        <v>376</v>
      </c>
      <c r="J729">
        <v>0</v>
      </c>
      <c r="K729">
        <v>0.49</v>
      </c>
      <c r="L729">
        <v>1364.97</v>
      </c>
      <c r="M729" t="s">
        <v>1600</v>
      </c>
      <c r="N729" t="s">
        <v>238</v>
      </c>
      <c r="O729">
        <v>3.67</v>
      </c>
      <c r="P729">
        <v>3.71</v>
      </c>
      <c r="Q729">
        <v>3.63</v>
      </c>
      <c r="R729">
        <v>3.66</v>
      </c>
      <c r="S729">
        <v>52.85</v>
      </c>
      <c r="T729">
        <v>0.75</v>
      </c>
      <c r="U729" t="s">
        <v>196</v>
      </c>
    </row>
    <row r="730" spans="1:21">
      <c r="A730" t="str">
        <f>"002261"</f>
        <v>002261</v>
      </c>
      <c r="B730" t="s">
        <v>1601</v>
      </c>
      <c r="C730">
        <v>0.25</v>
      </c>
      <c r="D730">
        <v>8.17</v>
      </c>
      <c r="E730">
        <v>0.02</v>
      </c>
      <c r="F730">
        <v>8.17</v>
      </c>
      <c r="G730">
        <v>8.18</v>
      </c>
      <c r="H730">
        <v>220684</v>
      </c>
      <c r="I730">
        <v>2323</v>
      </c>
      <c r="J730">
        <v>0</v>
      </c>
      <c r="K730">
        <v>2.32</v>
      </c>
      <c r="L730">
        <v>17907.04</v>
      </c>
      <c r="M730" t="s">
        <v>1602</v>
      </c>
      <c r="N730" t="s">
        <v>479</v>
      </c>
      <c r="O730">
        <v>8.12</v>
      </c>
      <c r="P730">
        <v>8.19</v>
      </c>
      <c r="Q730">
        <v>8.04</v>
      </c>
      <c r="R730">
        <v>8.15</v>
      </c>
      <c r="S730">
        <v>87.15</v>
      </c>
      <c r="T730">
        <v>0.78</v>
      </c>
      <c r="U730" t="s">
        <v>204</v>
      </c>
    </row>
    <row r="731" spans="1:21">
      <c r="A731" t="str">
        <f>"002262"</f>
        <v>002262</v>
      </c>
      <c r="B731" t="s">
        <v>1603</v>
      </c>
      <c r="C731">
        <v>0.52</v>
      </c>
      <c r="D731">
        <v>15.5</v>
      </c>
      <c r="E731">
        <v>0.08</v>
      </c>
      <c r="F731">
        <v>15.5</v>
      </c>
      <c r="G731">
        <v>15.51</v>
      </c>
      <c r="H731">
        <v>55163</v>
      </c>
      <c r="I731">
        <v>613</v>
      </c>
      <c r="J731">
        <v>-0.05</v>
      </c>
      <c r="K731">
        <v>0.63</v>
      </c>
      <c r="L731">
        <v>8574.27</v>
      </c>
      <c r="M731" t="s">
        <v>1604</v>
      </c>
      <c r="N731" t="s">
        <v>192</v>
      </c>
      <c r="O731">
        <v>15.42</v>
      </c>
      <c r="P731">
        <v>15.78</v>
      </c>
      <c r="Q731">
        <v>15.41</v>
      </c>
      <c r="R731">
        <v>15.42</v>
      </c>
      <c r="S731">
        <v>17.41</v>
      </c>
      <c r="T731">
        <v>0.33</v>
      </c>
      <c r="U731" t="s">
        <v>102</v>
      </c>
    </row>
    <row r="732" spans="1:21">
      <c r="A732" t="str">
        <f>"002263"</f>
        <v>002263</v>
      </c>
      <c r="B732" t="s">
        <v>1605</v>
      </c>
      <c r="C732">
        <v>-0.3</v>
      </c>
      <c r="D732">
        <v>3.3</v>
      </c>
      <c r="E732">
        <v>-0.01</v>
      </c>
      <c r="F732">
        <v>3.3</v>
      </c>
      <c r="G732">
        <v>3.31</v>
      </c>
      <c r="H732">
        <v>660849</v>
      </c>
      <c r="I732">
        <v>18692</v>
      </c>
      <c r="J732">
        <v>-0.29</v>
      </c>
      <c r="K732">
        <v>3.52</v>
      </c>
      <c r="L732">
        <v>21721.86</v>
      </c>
      <c r="M732" t="s">
        <v>1606</v>
      </c>
      <c r="N732" t="s">
        <v>839</v>
      </c>
      <c r="O732">
        <v>3.28</v>
      </c>
      <c r="P732">
        <v>3.32</v>
      </c>
      <c r="Q732">
        <v>3.23</v>
      </c>
      <c r="R732">
        <v>3.31</v>
      </c>
      <c r="S732">
        <v>30</v>
      </c>
      <c r="T732">
        <v>0.48</v>
      </c>
      <c r="U732" t="s">
        <v>200</v>
      </c>
    </row>
    <row r="733" spans="1:21">
      <c r="A733" t="str">
        <f>"002264"</f>
        <v>002264</v>
      </c>
      <c r="B733" t="s">
        <v>1607</v>
      </c>
      <c r="C733">
        <v>0.76</v>
      </c>
      <c r="D733">
        <v>4</v>
      </c>
      <c r="E733">
        <v>0.03</v>
      </c>
      <c r="F733">
        <v>3.99</v>
      </c>
      <c r="G733">
        <v>4</v>
      </c>
      <c r="H733">
        <v>11184</v>
      </c>
      <c r="I733">
        <v>435</v>
      </c>
      <c r="J733">
        <v>0</v>
      </c>
      <c r="K733">
        <v>0.17</v>
      </c>
      <c r="L733">
        <v>444.8</v>
      </c>
      <c r="M733" t="s">
        <v>1608</v>
      </c>
      <c r="N733" t="s">
        <v>707</v>
      </c>
      <c r="O733">
        <v>3.98</v>
      </c>
      <c r="P733">
        <v>4</v>
      </c>
      <c r="Q733">
        <v>3.95</v>
      </c>
      <c r="R733">
        <v>3.97</v>
      </c>
      <c r="S733">
        <v>41.6</v>
      </c>
      <c r="T733">
        <v>0.66</v>
      </c>
      <c r="U733" t="s">
        <v>339</v>
      </c>
    </row>
    <row r="734" spans="1:21">
      <c r="A734" t="str">
        <f>"002265"</f>
        <v>002265</v>
      </c>
      <c r="B734" t="s">
        <v>1609</v>
      </c>
      <c r="C734">
        <v>0.97</v>
      </c>
      <c r="D734">
        <v>8.32</v>
      </c>
      <c r="E734">
        <v>0.08</v>
      </c>
      <c r="F734">
        <v>8.31</v>
      </c>
      <c r="G734">
        <v>8.32</v>
      </c>
      <c r="H734">
        <v>17220</v>
      </c>
      <c r="I734">
        <v>328</v>
      </c>
      <c r="J734">
        <v>0.24</v>
      </c>
      <c r="K734">
        <v>0.54</v>
      </c>
      <c r="L734">
        <v>1428.18</v>
      </c>
      <c r="M734" t="s">
        <v>1610</v>
      </c>
      <c r="N734" t="s">
        <v>91</v>
      </c>
      <c r="O734">
        <v>8.26</v>
      </c>
      <c r="P734">
        <v>8.38</v>
      </c>
      <c r="Q734">
        <v>8.16</v>
      </c>
      <c r="R734">
        <v>8.24</v>
      </c>
      <c r="S734" t="s">
        <v>40</v>
      </c>
      <c r="T734">
        <v>0.4</v>
      </c>
      <c r="U734" t="s">
        <v>363</v>
      </c>
    </row>
    <row r="735" spans="1:21">
      <c r="A735" t="str">
        <f>"002266"</f>
        <v>002266</v>
      </c>
      <c r="B735" t="s">
        <v>1611</v>
      </c>
      <c r="C735">
        <v>2.98</v>
      </c>
      <c r="D735">
        <v>6.57</v>
      </c>
      <c r="E735">
        <v>0.19</v>
      </c>
      <c r="F735">
        <v>6.56</v>
      </c>
      <c r="G735">
        <v>6.57</v>
      </c>
      <c r="H735">
        <v>673760</v>
      </c>
      <c r="I735">
        <v>5816</v>
      </c>
      <c r="J735">
        <v>0.15</v>
      </c>
      <c r="K735">
        <v>2.4</v>
      </c>
      <c r="L735">
        <v>44044.93</v>
      </c>
      <c r="M735" t="s">
        <v>1612</v>
      </c>
      <c r="N735" t="s">
        <v>33</v>
      </c>
      <c r="O735">
        <v>6.42</v>
      </c>
      <c r="P735">
        <v>6.64</v>
      </c>
      <c r="Q735">
        <v>6.38</v>
      </c>
      <c r="R735">
        <v>6.38</v>
      </c>
      <c r="S735">
        <v>14.12</v>
      </c>
      <c r="T735">
        <v>1</v>
      </c>
      <c r="U735" t="s">
        <v>200</v>
      </c>
    </row>
    <row r="736" spans="1:21">
      <c r="A736" t="str">
        <f>"002267"</f>
        <v>002267</v>
      </c>
      <c r="B736" t="s">
        <v>1613</v>
      </c>
      <c r="C736">
        <v>0.28</v>
      </c>
      <c r="D736">
        <v>7.2</v>
      </c>
      <c r="E736">
        <v>0.02</v>
      </c>
      <c r="F736">
        <v>7.19</v>
      </c>
      <c r="G736">
        <v>7.2</v>
      </c>
      <c r="H736">
        <v>111659</v>
      </c>
      <c r="I736">
        <v>2008</v>
      </c>
      <c r="J736">
        <v>0</v>
      </c>
      <c r="K736">
        <v>1</v>
      </c>
      <c r="L736">
        <v>8000.79</v>
      </c>
      <c r="M736" t="s">
        <v>1614</v>
      </c>
      <c r="N736" t="s">
        <v>238</v>
      </c>
      <c r="O736">
        <v>7.15</v>
      </c>
      <c r="P736">
        <v>7.25</v>
      </c>
      <c r="Q736">
        <v>7.05</v>
      </c>
      <c r="R736">
        <v>7.18</v>
      </c>
      <c r="S736">
        <v>16.66</v>
      </c>
      <c r="T736">
        <v>1.05</v>
      </c>
      <c r="U736" t="s">
        <v>317</v>
      </c>
    </row>
    <row r="737" spans="1:21">
      <c r="A737" t="str">
        <f>"002268"</f>
        <v>002268</v>
      </c>
      <c r="B737" t="s">
        <v>1615</v>
      </c>
      <c r="C737">
        <v>2.3</v>
      </c>
      <c r="D737">
        <v>61</v>
      </c>
      <c r="E737">
        <v>1.37</v>
      </c>
      <c r="F737">
        <v>60.91</v>
      </c>
      <c r="G737">
        <v>61</v>
      </c>
      <c r="H737">
        <v>131203</v>
      </c>
      <c r="I737">
        <v>2067</v>
      </c>
      <c r="J737">
        <v>0.16</v>
      </c>
      <c r="K737">
        <v>1.57</v>
      </c>
      <c r="L737">
        <v>80164.81</v>
      </c>
      <c r="M737" t="s">
        <v>1616</v>
      </c>
      <c r="N737" t="s">
        <v>30</v>
      </c>
      <c r="O737">
        <v>60.69</v>
      </c>
      <c r="P737">
        <v>62.72</v>
      </c>
      <c r="Q737">
        <v>60</v>
      </c>
      <c r="R737">
        <v>59.63</v>
      </c>
      <c r="S737">
        <v>4086.42</v>
      </c>
      <c r="T737">
        <v>0.64</v>
      </c>
      <c r="U737" t="s">
        <v>196</v>
      </c>
    </row>
    <row r="738" spans="1:21">
      <c r="A738" t="str">
        <f>"002269"</f>
        <v>002269</v>
      </c>
      <c r="B738" t="s">
        <v>1617</v>
      </c>
      <c r="C738">
        <v>0</v>
      </c>
      <c r="D738">
        <v>2.25</v>
      </c>
      <c r="E738">
        <v>0</v>
      </c>
      <c r="F738">
        <v>2.25</v>
      </c>
      <c r="G738">
        <v>2.26</v>
      </c>
      <c r="H738">
        <v>233783</v>
      </c>
      <c r="I738">
        <v>2881</v>
      </c>
      <c r="J738">
        <v>0</v>
      </c>
      <c r="K738">
        <v>0.93</v>
      </c>
      <c r="L738">
        <v>5249.88</v>
      </c>
      <c r="M738" t="s">
        <v>1618</v>
      </c>
      <c r="N738" t="s">
        <v>1061</v>
      </c>
      <c r="O738">
        <v>2.25</v>
      </c>
      <c r="P738">
        <v>2.27</v>
      </c>
      <c r="Q738">
        <v>2.23</v>
      </c>
      <c r="R738">
        <v>2.25</v>
      </c>
      <c r="S738" t="s">
        <v>40</v>
      </c>
      <c r="T738">
        <v>0.94</v>
      </c>
      <c r="U738" t="s">
        <v>848</v>
      </c>
    </row>
    <row r="739" spans="1:21">
      <c r="A739" t="str">
        <f>"002270"</f>
        <v>002270</v>
      </c>
      <c r="B739" t="s">
        <v>1619</v>
      </c>
      <c r="C739">
        <v>7.59</v>
      </c>
      <c r="D739">
        <v>11.48</v>
      </c>
      <c r="E739">
        <v>0.81</v>
      </c>
      <c r="F739">
        <v>11.48</v>
      </c>
      <c r="G739">
        <v>11.49</v>
      </c>
      <c r="H739">
        <v>1447200</v>
      </c>
      <c r="I739">
        <v>19688</v>
      </c>
      <c r="J739">
        <v>0.26</v>
      </c>
      <c r="K739">
        <v>19.06</v>
      </c>
      <c r="L739">
        <v>165121.96</v>
      </c>
      <c r="M739" t="s">
        <v>1620</v>
      </c>
      <c r="N739" t="s">
        <v>47</v>
      </c>
      <c r="O739">
        <v>11.1</v>
      </c>
      <c r="P739">
        <v>11.74</v>
      </c>
      <c r="Q739">
        <v>10.91</v>
      </c>
      <c r="R739">
        <v>10.67</v>
      </c>
      <c r="S739">
        <v>17.01</v>
      </c>
      <c r="T739">
        <v>2.43</v>
      </c>
      <c r="U739" t="s">
        <v>221</v>
      </c>
    </row>
    <row r="740" spans="1:21">
      <c r="A740" t="str">
        <f>"002271"</f>
        <v>002271</v>
      </c>
      <c r="B740" t="s">
        <v>1621</v>
      </c>
      <c r="C740">
        <v>4.57</v>
      </c>
      <c r="D740">
        <v>42.98</v>
      </c>
      <c r="E740">
        <v>1.88</v>
      </c>
      <c r="F740">
        <v>42.95</v>
      </c>
      <c r="G740">
        <v>42.98</v>
      </c>
      <c r="H740">
        <v>315603</v>
      </c>
      <c r="I740">
        <v>5255</v>
      </c>
      <c r="J740">
        <v>0.14</v>
      </c>
      <c r="K740">
        <v>1.62</v>
      </c>
      <c r="L740">
        <v>131745.08</v>
      </c>
      <c r="M740" t="s">
        <v>1622</v>
      </c>
      <c r="N740" t="s">
        <v>131</v>
      </c>
      <c r="O740">
        <v>40.9</v>
      </c>
      <c r="P740">
        <v>43</v>
      </c>
      <c r="Q740">
        <v>40.3</v>
      </c>
      <c r="R740">
        <v>41.1</v>
      </c>
      <c r="S740">
        <v>30.38</v>
      </c>
      <c r="T740">
        <v>1</v>
      </c>
      <c r="U740" t="s">
        <v>44</v>
      </c>
    </row>
    <row r="741" spans="1:21">
      <c r="A741" t="str">
        <f>"002272"</f>
        <v>002272</v>
      </c>
      <c r="B741" t="s">
        <v>1623</v>
      </c>
      <c r="C741">
        <v>0.41</v>
      </c>
      <c r="D741">
        <v>7.37</v>
      </c>
      <c r="E741">
        <v>0.03</v>
      </c>
      <c r="F741">
        <v>7.37</v>
      </c>
      <c r="G741">
        <v>7.38</v>
      </c>
      <c r="H741">
        <v>452983</v>
      </c>
      <c r="I741">
        <v>4455</v>
      </c>
      <c r="J741">
        <v>-0.13</v>
      </c>
      <c r="K741">
        <v>13.73</v>
      </c>
      <c r="L741">
        <v>33617.06</v>
      </c>
      <c r="M741" t="s">
        <v>1624</v>
      </c>
      <c r="N741" t="s">
        <v>347</v>
      </c>
      <c r="O741">
        <v>7.38</v>
      </c>
      <c r="P741">
        <v>7.61</v>
      </c>
      <c r="Q741">
        <v>7.3</v>
      </c>
      <c r="R741">
        <v>7.34</v>
      </c>
      <c r="S741">
        <v>45.36</v>
      </c>
      <c r="T741">
        <v>1.29</v>
      </c>
      <c r="U741" t="s">
        <v>196</v>
      </c>
    </row>
    <row r="742" spans="1:21">
      <c r="A742" t="str">
        <f>"002273"</f>
        <v>002273</v>
      </c>
      <c r="B742" t="s">
        <v>1625</v>
      </c>
      <c r="C742">
        <v>5.93</v>
      </c>
      <c r="D742">
        <v>18.05</v>
      </c>
      <c r="E742">
        <v>1.01</v>
      </c>
      <c r="F742">
        <v>18.05</v>
      </c>
      <c r="G742">
        <v>18.06</v>
      </c>
      <c r="H742">
        <v>1076042</v>
      </c>
      <c r="I742">
        <v>9332</v>
      </c>
      <c r="J742">
        <v>-0.1</v>
      </c>
      <c r="K742">
        <v>9.12</v>
      </c>
      <c r="L742">
        <v>191154.85</v>
      </c>
      <c r="M742" t="s">
        <v>1626</v>
      </c>
      <c r="N742" t="s">
        <v>69</v>
      </c>
      <c r="O742">
        <v>17.04</v>
      </c>
      <c r="P742">
        <v>18.18</v>
      </c>
      <c r="Q742">
        <v>17.02</v>
      </c>
      <c r="R742">
        <v>17.04</v>
      </c>
      <c r="S742">
        <v>53.23</v>
      </c>
      <c r="T742">
        <v>1.37</v>
      </c>
      <c r="U742" t="s">
        <v>200</v>
      </c>
    </row>
    <row r="743" spans="1:21">
      <c r="A743" t="str">
        <f>"002274"</f>
        <v>002274</v>
      </c>
      <c r="B743" t="s">
        <v>1627</v>
      </c>
      <c r="C743">
        <v>7.49</v>
      </c>
      <c r="D743">
        <v>12.05</v>
      </c>
      <c r="E743">
        <v>0.84</v>
      </c>
      <c r="F743">
        <v>12.04</v>
      </c>
      <c r="G743">
        <v>12.05</v>
      </c>
      <c r="H743">
        <v>862654</v>
      </c>
      <c r="I743">
        <v>6260</v>
      </c>
      <c r="J743">
        <v>0.08</v>
      </c>
      <c r="K743">
        <v>9.2</v>
      </c>
      <c r="L743">
        <v>102051.53</v>
      </c>
      <c r="M743" t="s">
        <v>1628</v>
      </c>
      <c r="N743" t="s">
        <v>241</v>
      </c>
      <c r="O743">
        <v>11.08</v>
      </c>
      <c r="P743">
        <v>12.3</v>
      </c>
      <c r="Q743">
        <v>11.02</v>
      </c>
      <c r="R743">
        <v>11.21</v>
      </c>
      <c r="S743">
        <v>5.98</v>
      </c>
      <c r="T743">
        <v>1.93</v>
      </c>
      <c r="U743" t="s">
        <v>102</v>
      </c>
    </row>
    <row r="744" spans="1:21">
      <c r="A744" t="str">
        <f>"002275"</f>
        <v>002275</v>
      </c>
      <c r="B744" t="s">
        <v>1629</v>
      </c>
      <c r="C744">
        <v>0.07</v>
      </c>
      <c r="D744">
        <v>13.48</v>
      </c>
      <c r="E744">
        <v>0.01</v>
      </c>
      <c r="F744">
        <v>13.47</v>
      </c>
      <c r="G744">
        <v>13.48</v>
      </c>
      <c r="H744">
        <v>7992</v>
      </c>
      <c r="I744">
        <v>340</v>
      </c>
      <c r="J744">
        <v>0.3</v>
      </c>
      <c r="K744">
        <v>0.15</v>
      </c>
      <c r="L744">
        <v>1074.5</v>
      </c>
      <c r="M744" t="s">
        <v>1630</v>
      </c>
      <c r="N744" t="s">
        <v>270</v>
      </c>
      <c r="O744">
        <v>13.48</v>
      </c>
      <c r="P744">
        <v>13.53</v>
      </c>
      <c r="Q744">
        <v>13.3</v>
      </c>
      <c r="R744">
        <v>13.47</v>
      </c>
      <c r="S744">
        <v>20.37</v>
      </c>
      <c r="T744">
        <v>0.5</v>
      </c>
      <c r="U744" t="s">
        <v>342</v>
      </c>
    </row>
    <row r="745" spans="1:21">
      <c r="A745" t="str">
        <f>"002276"</f>
        <v>002276</v>
      </c>
      <c r="B745" t="s">
        <v>1631</v>
      </c>
      <c r="C745">
        <v>1.31</v>
      </c>
      <c r="D745">
        <v>9.3</v>
      </c>
      <c r="E745">
        <v>0.12</v>
      </c>
      <c r="F745">
        <v>9.3</v>
      </c>
      <c r="G745">
        <v>9.31</v>
      </c>
      <c r="H745">
        <v>309517</v>
      </c>
      <c r="I745">
        <v>2428</v>
      </c>
      <c r="J745">
        <v>0.22</v>
      </c>
      <c r="K745">
        <v>2.99</v>
      </c>
      <c r="L745">
        <v>28588.37</v>
      </c>
      <c r="M745" t="s">
        <v>1632</v>
      </c>
      <c r="N745" t="s">
        <v>47</v>
      </c>
      <c r="O745">
        <v>9.15</v>
      </c>
      <c r="P745">
        <v>9.34</v>
      </c>
      <c r="Q745">
        <v>9.1</v>
      </c>
      <c r="R745">
        <v>9.18</v>
      </c>
      <c r="S745">
        <v>38.33</v>
      </c>
      <c r="T745">
        <v>0.68</v>
      </c>
      <c r="U745" t="s">
        <v>200</v>
      </c>
    </row>
    <row r="746" spans="1:21">
      <c r="A746" t="str">
        <f>"002277"</f>
        <v>002277</v>
      </c>
      <c r="B746" t="s">
        <v>1633</v>
      </c>
      <c r="C746">
        <v>0.33</v>
      </c>
      <c r="D746">
        <v>3.06</v>
      </c>
      <c r="E746">
        <v>0.01</v>
      </c>
      <c r="F746">
        <v>3.06</v>
      </c>
      <c r="G746">
        <v>3.07</v>
      </c>
      <c r="H746">
        <v>79964</v>
      </c>
      <c r="I746">
        <v>829</v>
      </c>
      <c r="J746">
        <v>0</v>
      </c>
      <c r="K746">
        <v>0.57</v>
      </c>
      <c r="L746">
        <v>2438.51</v>
      </c>
      <c r="M746" t="s">
        <v>1634</v>
      </c>
      <c r="N746" t="s">
        <v>258</v>
      </c>
      <c r="O746">
        <v>3.05</v>
      </c>
      <c r="P746">
        <v>3.07</v>
      </c>
      <c r="Q746">
        <v>3.03</v>
      </c>
      <c r="R746">
        <v>3.05</v>
      </c>
      <c r="S746">
        <v>15.32</v>
      </c>
      <c r="T746">
        <v>0.78</v>
      </c>
      <c r="U746" t="s">
        <v>204</v>
      </c>
    </row>
    <row r="747" spans="1:21">
      <c r="A747" t="str">
        <f>"002278"</f>
        <v>002278</v>
      </c>
      <c r="B747" t="s">
        <v>1635</v>
      </c>
      <c r="C747">
        <v>0.53</v>
      </c>
      <c r="D747">
        <v>5.68</v>
      </c>
      <c r="E747">
        <v>0.03</v>
      </c>
      <c r="F747">
        <v>5.68</v>
      </c>
      <c r="G747">
        <v>5.69</v>
      </c>
      <c r="H747">
        <v>30274</v>
      </c>
      <c r="I747">
        <v>276</v>
      </c>
      <c r="J747">
        <v>0.35</v>
      </c>
      <c r="K747">
        <v>0.9</v>
      </c>
      <c r="L747">
        <v>1712.48</v>
      </c>
      <c r="M747" t="s">
        <v>1636</v>
      </c>
      <c r="N747" t="s">
        <v>832</v>
      </c>
      <c r="O747">
        <v>5.64</v>
      </c>
      <c r="P747">
        <v>5.7</v>
      </c>
      <c r="Q747">
        <v>5.58</v>
      </c>
      <c r="R747">
        <v>5.65</v>
      </c>
      <c r="S747">
        <v>137.75</v>
      </c>
      <c r="T747">
        <v>0.6</v>
      </c>
      <c r="U747" t="s">
        <v>848</v>
      </c>
    </row>
    <row r="748" spans="1:21">
      <c r="A748" t="str">
        <f>"002279"</f>
        <v>002279</v>
      </c>
      <c r="B748" t="s">
        <v>1637</v>
      </c>
      <c r="C748">
        <v>1.12</v>
      </c>
      <c r="D748">
        <v>4.52</v>
      </c>
      <c r="E748">
        <v>0.05</v>
      </c>
      <c r="F748">
        <v>4.51</v>
      </c>
      <c r="G748">
        <v>4.52</v>
      </c>
      <c r="H748">
        <v>46835</v>
      </c>
      <c r="I748">
        <v>851</v>
      </c>
      <c r="J748">
        <v>0</v>
      </c>
      <c r="K748">
        <v>0.73</v>
      </c>
      <c r="L748">
        <v>2120.88</v>
      </c>
      <c r="M748" t="s">
        <v>1638</v>
      </c>
      <c r="N748" t="s">
        <v>30</v>
      </c>
      <c r="O748">
        <v>4.46</v>
      </c>
      <c r="P748">
        <v>4.57</v>
      </c>
      <c r="Q748">
        <v>4.45</v>
      </c>
      <c r="R748">
        <v>4.47</v>
      </c>
      <c r="S748" t="s">
        <v>40</v>
      </c>
      <c r="T748">
        <v>0.9</v>
      </c>
      <c r="U748" t="s">
        <v>44</v>
      </c>
    </row>
    <row r="749" spans="1:21">
      <c r="A749" t="str">
        <f>"002280"</f>
        <v>002280</v>
      </c>
      <c r="B749" t="s">
        <v>1639</v>
      </c>
      <c r="C749">
        <v>0.59</v>
      </c>
      <c r="D749">
        <v>5.08</v>
      </c>
      <c r="E749">
        <v>0.03</v>
      </c>
      <c r="F749">
        <v>5.07</v>
      </c>
      <c r="G749">
        <v>5.08</v>
      </c>
      <c r="H749">
        <v>560634</v>
      </c>
      <c r="I749">
        <v>6576</v>
      </c>
      <c r="J749">
        <v>0.2</v>
      </c>
      <c r="K749">
        <v>3.17</v>
      </c>
      <c r="L749">
        <v>27757.32</v>
      </c>
      <c r="M749" t="s">
        <v>1640</v>
      </c>
      <c r="N749" t="s">
        <v>30</v>
      </c>
      <c r="O749">
        <v>4.93</v>
      </c>
      <c r="P749">
        <v>5.08</v>
      </c>
      <c r="Q749">
        <v>4.85</v>
      </c>
      <c r="R749">
        <v>5.05</v>
      </c>
      <c r="S749" t="s">
        <v>40</v>
      </c>
      <c r="T749">
        <v>1.01</v>
      </c>
      <c r="U749" t="s">
        <v>200</v>
      </c>
    </row>
    <row r="750" spans="1:21">
      <c r="A750" t="str">
        <f>"002281"</f>
        <v>002281</v>
      </c>
      <c r="B750" t="s">
        <v>1641</v>
      </c>
      <c r="C750">
        <v>-0.26</v>
      </c>
      <c r="D750">
        <v>23.24</v>
      </c>
      <c r="E750">
        <v>-0.06</v>
      </c>
      <c r="F750">
        <v>23.24</v>
      </c>
      <c r="G750">
        <v>23.25</v>
      </c>
      <c r="H750">
        <v>66906</v>
      </c>
      <c r="I750">
        <v>1098</v>
      </c>
      <c r="J750">
        <v>0.04</v>
      </c>
      <c r="K750">
        <v>1.01</v>
      </c>
      <c r="L750">
        <v>15471.16</v>
      </c>
      <c r="M750" t="s">
        <v>1642</v>
      </c>
      <c r="N750" t="s">
        <v>153</v>
      </c>
      <c r="O750">
        <v>23.2</v>
      </c>
      <c r="P750">
        <v>23.3</v>
      </c>
      <c r="Q750">
        <v>22.92</v>
      </c>
      <c r="R750">
        <v>23.3</v>
      </c>
      <c r="S750">
        <v>26.73</v>
      </c>
      <c r="T750">
        <v>0.62</v>
      </c>
      <c r="U750" t="s">
        <v>267</v>
      </c>
    </row>
    <row r="751" spans="1:21">
      <c r="A751" t="str">
        <f>"002282"</f>
        <v>002282</v>
      </c>
      <c r="B751" t="s">
        <v>1643</v>
      </c>
      <c r="C751">
        <v>-2.13</v>
      </c>
      <c r="D751">
        <v>10.1</v>
      </c>
      <c r="E751">
        <v>-0.22</v>
      </c>
      <c r="F751">
        <v>10.1</v>
      </c>
      <c r="G751">
        <v>10.11</v>
      </c>
      <c r="H751">
        <v>166635</v>
      </c>
      <c r="I751">
        <v>1804</v>
      </c>
      <c r="J751">
        <v>0.2</v>
      </c>
      <c r="K751">
        <v>4.19</v>
      </c>
      <c r="L751">
        <v>17092.09</v>
      </c>
      <c r="M751" t="s">
        <v>1644</v>
      </c>
      <c r="N751" t="s">
        <v>111</v>
      </c>
      <c r="O751">
        <v>10.9</v>
      </c>
      <c r="P751">
        <v>10.95</v>
      </c>
      <c r="Q751">
        <v>9.78</v>
      </c>
      <c r="R751">
        <v>10.32</v>
      </c>
      <c r="S751">
        <v>26.73</v>
      </c>
      <c r="T751">
        <v>3.99</v>
      </c>
      <c r="U751" t="s">
        <v>207</v>
      </c>
    </row>
    <row r="752" spans="1:21">
      <c r="A752" t="str">
        <f>"002283"</f>
        <v>002283</v>
      </c>
      <c r="B752" t="s">
        <v>1645</v>
      </c>
      <c r="C752">
        <v>7.16</v>
      </c>
      <c r="D752">
        <v>11.37</v>
      </c>
      <c r="E752">
        <v>0.76</v>
      </c>
      <c r="F752">
        <v>11.37</v>
      </c>
      <c r="G752">
        <v>11.38</v>
      </c>
      <c r="H752">
        <v>1088860</v>
      </c>
      <c r="I752">
        <v>9281</v>
      </c>
      <c r="J752">
        <v>0.09</v>
      </c>
      <c r="K752">
        <v>10.98</v>
      </c>
      <c r="L752">
        <v>123150.57</v>
      </c>
      <c r="M752" t="s">
        <v>1646</v>
      </c>
      <c r="N752" t="s">
        <v>91</v>
      </c>
      <c r="O752">
        <v>10.57</v>
      </c>
      <c r="P752">
        <v>11.67</v>
      </c>
      <c r="Q752">
        <v>10.49</v>
      </c>
      <c r="R752">
        <v>10.61</v>
      </c>
      <c r="S752">
        <v>21.82</v>
      </c>
      <c r="T752">
        <v>1.96</v>
      </c>
      <c r="U752" t="s">
        <v>221</v>
      </c>
    </row>
    <row r="753" spans="1:21">
      <c r="A753" t="str">
        <f>"002284"</f>
        <v>002284</v>
      </c>
      <c r="B753" t="s">
        <v>1647</v>
      </c>
      <c r="C753">
        <v>3.38</v>
      </c>
      <c r="D753">
        <v>8.27</v>
      </c>
      <c r="E753">
        <v>0.27</v>
      </c>
      <c r="F753">
        <v>8.26</v>
      </c>
      <c r="G753">
        <v>8.27</v>
      </c>
      <c r="H753">
        <v>345119</v>
      </c>
      <c r="I753">
        <v>4233</v>
      </c>
      <c r="J753">
        <v>0.24</v>
      </c>
      <c r="K753">
        <v>5.03</v>
      </c>
      <c r="L753">
        <v>28219.71</v>
      </c>
      <c r="M753" t="s">
        <v>1648</v>
      </c>
      <c r="N753" t="s">
        <v>91</v>
      </c>
      <c r="O753">
        <v>8.05</v>
      </c>
      <c r="P753">
        <v>8.38</v>
      </c>
      <c r="Q753">
        <v>7.92</v>
      </c>
      <c r="R753">
        <v>8</v>
      </c>
      <c r="S753">
        <v>141.8</v>
      </c>
      <c r="T753">
        <v>0.8</v>
      </c>
      <c r="U753" t="s">
        <v>200</v>
      </c>
    </row>
    <row r="754" spans="1:21">
      <c r="A754" t="str">
        <f>"002285"</f>
        <v>002285</v>
      </c>
      <c r="B754" t="s">
        <v>1649</v>
      </c>
      <c r="C754">
        <v>1.39</v>
      </c>
      <c r="D754">
        <v>3.66</v>
      </c>
      <c r="E754">
        <v>0.05</v>
      </c>
      <c r="F754">
        <v>3.65</v>
      </c>
      <c r="G754">
        <v>3.66</v>
      </c>
      <c r="H754">
        <v>248076</v>
      </c>
      <c r="I754">
        <v>3328</v>
      </c>
      <c r="J754">
        <v>0</v>
      </c>
      <c r="K754">
        <v>1.23</v>
      </c>
      <c r="L754">
        <v>9008.34</v>
      </c>
      <c r="M754" t="s">
        <v>632</v>
      </c>
      <c r="N754" t="s">
        <v>134</v>
      </c>
      <c r="O754">
        <v>3.6</v>
      </c>
      <c r="P754">
        <v>3.69</v>
      </c>
      <c r="Q754">
        <v>3.58</v>
      </c>
      <c r="R754">
        <v>3.61</v>
      </c>
      <c r="S754">
        <v>49.36</v>
      </c>
      <c r="T754">
        <v>0.99</v>
      </c>
      <c r="U754" t="s">
        <v>24</v>
      </c>
    </row>
    <row r="755" spans="1:21">
      <c r="A755" t="str">
        <f>"002286"</f>
        <v>002286</v>
      </c>
      <c r="B755" t="s">
        <v>1650</v>
      </c>
      <c r="C755">
        <v>2.04</v>
      </c>
      <c r="D755">
        <v>15.47</v>
      </c>
      <c r="E755">
        <v>0.31</v>
      </c>
      <c r="F755">
        <v>15.46</v>
      </c>
      <c r="G755">
        <v>15.47</v>
      </c>
      <c r="H755">
        <v>209715</v>
      </c>
      <c r="I755">
        <v>4314</v>
      </c>
      <c r="J755">
        <v>-0.25</v>
      </c>
      <c r="K755">
        <v>5.68</v>
      </c>
      <c r="L755">
        <v>32509.65</v>
      </c>
      <c r="M755" t="s">
        <v>1651</v>
      </c>
      <c r="N755" t="s">
        <v>299</v>
      </c>
      <c r="O755">
        <v>15.14</v>
      </c>
      <c r="P755">
        <v>15.85</v>
      </c>
      <c r="Q755">
        <v>15.08</v>
      </c>
      <c r="R755">
        <v>15.16</v>
      </c>
      <c r="S755">
        <v>26.72</v>
      </c>
      <c r="T755">
        <v>0.79</v>
      </c>
      <c r="U755" t="s">
        <v>221</v>
      </c>
    </row>
    <row r="756" spans="1:21">
      <c r="A756" t="str">
        <f>"002287"</f>
        <v>002287</v>
      </c>
      <c r="B756" t="s">
        <v>1652</v>
      </c>
      <c r="C756">
        <v>-0.11</v>
      </c>
      <c r="D756">
        <v>26.9</v>
      </c>
      <c r="E756">
        <v>-0.03</v>
      </c>
      <c r="F756">
        <v>26.9</v>
      </c>
      <c r="G756">
        <v>26.91</v>
      </c>
      <c r="H756">
        <v>30180</v>
      </c>
      <c r="I756">
        <v>510</v>
      </c>
      <c r="J756">
        <v>-0.25</v>
      </c>
      <c r="K756">
        <v>0.57</v>
      </c>
      <c r="L756">
        <v>8112.05</v>
      </c>
      <c r="M756" t="s">
        <v>1653</v>
      </c>
      <c r="N756" t="s">
        <v>270</v>
      </c>
      <c r="O756">
        <v>26.7</v>
      </c>
      <c r="P756">
        <v>27.13</v>
      </c>
      <c r="Q756">
        <v>26.62</v>
      </c>
      <c r="R756">
        <v>26.93</v>
      </c>
      <c r="S756">
        <v>16.53</v>
      </c>
      <c r="T756">
        <v>0.52</v>
      </c>
      <c r="U756" t="s">
        <v>694</v>
      </c>
    </row>
    <row r="757" spans="1:21">
      <c r="A757" t="str">
        <f>"002288"</f>
        <v>002288</v>
      </c>
      <c r="B757" t="s">
        <v>1654</v>
      </c>
      <c r="C757">
        <v>1.61</v>
      </c>
      <c r="D757">
        <v>8.85</v>
      </c>
      <c r="E757">
        <v>0.14</v>
      </c>
      <c r="F757">
        <v>8.85</v>
      </c>
      <c r="G757">
        <v>8.86</v>
      </c>
      <c r="H757">
        <v>327611</v>
      </c>
      <c r="I757">
        <v>4085</v>
      </c>
      <c r="J757">
        <v>-0.1</v>
      </c>
      <c r="K757">
        <v>4.09</v>
      </c>
      <c r="L757">
        <v>28930.48</v>
      </c>
      <c r="M757" t="s">
        <v>1655</v>
      </c>
      <c r="N757" t="s">
        <v>69</v>
      </c>
      <c r="O757">
        <v>8.69</v>
      </c>
      <c r="P757">
        <v>8.9</v>
      </c>
      <c r="Q757">
        <v>8.65</v>
      </c>
      <c r="R757">
        <v>8.71</v>
      </c>
      <c r="S757">
        <v>61.1</v>
      </c>
      <c r="T757">
        <v>1.14</v>
      </c>
      <c r="U757" t="s">
        <v>183</v>
      </c>
    </row>
    <row r="758" spans="1:21">
      <c r="A758" t="str">
        <f>"002289"</f>
        <v>002289</v>
      </c>
      <c r="B758" t="s">
        <v>1656</v>
      </c>
      <c r="C758">
        <v>1.05</v>
      </c>
      <c r="D758">
        <v>7.7</v>
      </c>
      <c r="E758">
        <v>0.08</v>
      </c>
      <c r="F758">
        <v>7.69</v>
      </c>
      <c r="G758">
        <v>7.7</v>
      </c>
      <c r="H758">
        <v>28584</v>
      </c>
      <c r="I758">
        <v>239</v>
      </c>
      <c r="J758">
        <v>0</v>
      </c>
      <c r="K758">
        <v>1.08</v>
      </c>
      <c r="L758">
        <v>2196.7</v>
      </c>
      <c r="M758" t="s">
        <v>1657</v>
      </c>
      <c r="N758" t="s">
        <v>69</v>
      </c>
      <c r="O758">
        <v>7.55</v>
      </c>
      <c r="P758">
        <v>7.77</v>
      </c>
      <c r="Q758">
        <v>7.55</v>
      </c>
      <c r="R758">
        <v>7.62</v>
      </c>
      <c r="S758" t="s">
        <v>40</v>
      </c>
      <c r="T758">
        <v>0.82</v>
      </c>
      <c r="U758" t="s">
        <v>24</v>
      </c>
    </row>
    <row r="759" spans="1:21">
      <c r="A759" t="str">
        <f>"002290"</f>
        <v>002290</v>
      </c>
      <c r="B759" t="s">
        <v>1658</v>
      </c>
      <c r="C759">
        <v>1.98</v>
      </c>
      <c r="D759">
        <v>7.73</v>
      </c>
      <c r="E759">
        <v>0.15</v>
      </c>
      <c r="F759">
        <v>7.72</v>
      </c>
      <c r="G759">
        <v>7.73</v>
      </c>
      <c r="H759">
        <v>13683</v>
      </c>
      <c r="I759">
        <v>151</v>
      </c>
      <c r="J759">
        <v>0</v>
      </c>
      <c r="K759">
        <v>0.63</v>
      </c>
      <c r="L759">
        <v>1049.76</v>
      </c>
      <c r="M759" t="s">
        <v>1659</v>
      </c>
      <c r="N759" t="s">
        <v>60</v>
      </c>
      <c r="O759">
        <v>7.55</v>
      </c>
      <c r="P759">
        <v>7.75</v>
      </c>
      <c r="Q759">
        <v>7.54</v>
      </c>
      <c r="R759">
        <v>7.58</v>
      </c>
      <c r="S759">
        <v>17.93</v>
      </c>
      <c r="T759">
        <v>0.93</v>
      </c>
      <c r="U759" t="s">
        <v>102</v>
      </c>
    </row>
    <row r="760" spans="1:21">
      <c r="A760" t="str">
        <f>"002291"</f>
        <v>002291</v>
      </c>
      <c r="B760" t="s">
        <v>1660</v>
      </c>
      <c r="C760">
        <v>0</v>
      </c>
      <c r="D760">
        <v>20</v>
      </c>
      <c r="E760">
        <v>0</v>
      </c>
      <c r="F760">
        <v>20</v>
      </c>
      <c r="G760">
        <v>20.01</v>
      </c>
      <c r="H760">
        <v>63473</v>
      </c>
      <c r="I760">
        <v>348</v>
      </c>
      <c r="J760">
        <v>0.05</v>
      </c>
      <c r="K760">
        <v>1.03</v>
      </c>
      <c r="L760">
        <v>12692.74</v>
      </c>
      <c r="M760" t="s">
        <v>1661</v>
      </c>
      <c r="N760" t="s">
        <v>1061</v>
      </c>
      <c r="O760">
        <v>20.02</v>
      </c>
      <c r="P760">
        <v>20.24</v>
      </c>
      <c r="Q760">
        <v>19.82</v>
      </c>
      <c r="R760">
        <v>20</v>
      </c>
      <c r="S760" t="s">
        <v>40</v>
      </c>
      <c r="T760">
        <v>0.66</v>
      </c>
      <c r="U760" t="s">
        <v>183</v>
      </c>
    </row>
    <row r="761" spans="1:21">
      <c r="A761" t="str">
        <f>"002292"</f>
        <v>002292</v>
      </c>
      <c r="B761" t="s">
        <v>1662</v>
      </c>
      <c r="C761">
        <v>-1.53</v>
      </c>
      <c r="D761">
        <v>5.8</v>
      </c>
      <c r="E761">
        <v>-0.09</v>
      </c>
      <c r="F761">
        <v>5.8</v>
      </c>
      <c r="G761">
        <v>5.81</v>
      </c>
      <c r="H761">
        <v>269309</v>
      </c>
      <c r="I761">
        <v>3090</v>
      </c>
      <c r="J761">
        <v>-0.16</v>
      </c>
      <c r="K761">
        <v>3.15</v>
      </c>
      <c r="L761">
        <v>15819.87</v>
      </c>
      <c r="M761" t="s">
        <v>1663</v>
      </c>
      <c r="N761" t="s">
        <v>199</v>
      </c>
      <c r="O761">
        <v>5.9</v>
      </c>
      <c r="P761">
        <v>6.08</v>
      </c>
      <c r="Q761">
        <v>5.77</v>
      </c>
      <c r="R761">
        <v>5.89</v>
      </c>
      <c r="S761" t="s">
        <v>40</v>
      </c>
      <c r="T761">
        <v>0.82</v>
      </c>
      <c r="U761" t="s">
        <v>183</v>
      </c>
    </row>
    <row r="762" spans="1:21">
      <c r="A762" t="str">
        <f>"002293"</f>
        <v>002293</v>
      </c>
      <c r="B762" t="s">
        <v>1664</v>
      </c>
      <c r="C762">
        <v>-0.14</v>
      </c>
      <c r="D762">
        <v>14.25</v>
      </c>
      <c r="E762">
        <v>-0.02</v>
      </c>
      <c r="F762">
        <v>14.25</v>
      </c>
      <c r="G762">
        <v>14.26</v>
      </c>
      <c r="H762">
        <v>47050</v>
      </c>
      <c r="I762">
        <v>573</v>
      </c>
      <c r="J762">
        <v>0</v>
      </c>
      <c r="K762">
        <v>0.57</v>
      </c>
      <c r="L762">
        <v>6692.67</v>
      </c>
      <c r="M762" t="s">
        <v>1665</v>
      </c>
      <c r="N762" t="s">
        <v>664</v>
      </c>
      <c r="O762">
        <v>14.32</v>
      </c>
      <c r="P762">
        <v>14.43</v>
      </c>
      <c r="Q762">
        <v>14.06</v>
      </c>
      <c r="R762">
        <v>14.27</v>
      </c>
      <c r="S762">
        <v>18.26</v>
      </c>
      <c r="T762">
        <v>0.82</v>
      </c>
      <c r="U762" t="s">
        <v>102</v>
      </c>
    </row>
    <row r="763" spans="1:21">
      <c r="A763" t="str">
        <f>"002294"</f>
        <v>002294</v>
      </c>
      <c r="B763" t="s">
        <v>1666</v>
      </c>
      <c r="C763">
        <v>1.34</v>
      </c>
      <c r="D763">
        <v>28.77</v>
      </c>
      <c r="E763">
        <v>0.38</v>
      </c>
      <c r="F763">
        <v>28.74</v>
      </c>
      <c r="G763">
        <v>28.77</v>
      </c>
      <c r="H763">
        <v>23097</v>
      </c>
      <c r="I763">
        <v>233</v>
      </c>
      <c r="J763">
        <v>0.1</v>
      </c>
      <c r="K763">
        <v>0.22</v>
      </c>
      <c r="L763">
        <v>6615.33</v>
      </c>
      <c r="M763" t="s">
        <v>1667</v>
      </c>
      <c r="N763" t="s">
        <v>192</v>
      </c>
      <c r="O763">
        <v>28.48</v>
      </c>
      <c r="P763">
        <v>28.88</v>
      </c>
      <c r="Q763">
        <v>28.1</v>
      </c>
      <c r="R763">
        <v>28.39</v>
      </c>
      <c r="S763">
        <v>61.37</v>
      </c>
      <c r="T763">
        <v>0.66</v>
      </c>
      <c r="U763" t="s">
        <v>24</v>
      </c>
    </row>
    <row r="764" spans="1:21">
      <c r="A764" t="str">
        <f>"002295"</f>
        <v>002295</v>
      </c>
      <c r="B764" t="s">
        <v>1668</v>
      </c>
      <c r="C764">
        <v>2.29</v>
      </c>
      <c r="D764">
        <v>6.69</v>
      </c>
      <c r="E764">
        <v>0.15</v>
      </c>
      <c r="F764">
        <v>6.69</v>
      </c>
      <c r="G764">
        <v>6.7</v>
      </c>
      <c r="H764">
        <v>32412</v>
      </c>
      <c r="I764">
        <v>275</v>
      </c>
      <c r="J764">
        <v>-0.14</v>
      </c>
      <c r="K764">
        <v>1.3</v>
      </c>
      <c r="L764">
        <v>2148.66</v>
      </c>
      <c r="M764" t="s">
        <v>971</v>
      </c>
      <c r="N764" t="s">
        <v>526</v>
      </c>
      <c r="O764">
        <v>6.53</v>
      </c>
      <c r="P764">
        <v>6.73</v>
      </c>
      <c r="Q764">
        <v>6.48</v>
      </c>
      <c r="R764">
        <v>6.54</v>
      </c>
      <c r="S764">
        <v>21.99</v>
      </c>
      <c r="T764">
        <v>1.15</v>
      </c>
      <c r="U764" t="s">
        <v>183</v>
      </c>
    </row>
    <row r="765" spans="1:21">
      <c r="A765" t="str">
        <f>"002296"</f>
        <v>002296</v>
      </c>
      <c r="B765" t="s">
        <v>1669</v>
      </c>
      <c r="C765">
        <v>0.57</v>
      </c>
      <c r="D765">
        <v>7.04</v>
      </c>
      <c r="E765">
        <v>0.04</v>
      </c>
      <c r="F765">
        <v>7.03</v>
      </c>
      <c r="G765">
        <v>7.04</v>
      </c>
      <c r="H765">
        <v>54487</v>
      </c>
      <c r="I765">
        <v>430</v>
      </c>
      <c r="J765">
        <v>0</v>
      </c>
      <c r="K765">
        <v>1.6</v>
      </c>
      <c r="L765">
        <v>3808.01</v>
      </c>
      <c r="M765" t="s">
        <v>1670</v>
      </c>
      <c r="N765" t="s">
        <v>153</v>
      </c>
      <c r="O765">
        <v>6.95</v>
      </c>
      <c r="P765">
        <v>7.12</v>
      </c>
      <c r="Q765">
        <v>6.88</v>
      </c>
      <c r="R765">
        <v>7</v>
      </c>
      <c r="S765">
        <v>21.07</v>
      </c>
      <c r="T765">
        <v>1.37</v>
      </c>
      <c r="U765" t="s">
        <v>224</v>
      </c>
    </row>
    <row r="766" spans="1:21">
      <c r="A766" t="str">
        <f>"002297"</f>
        <v>002297</v>
      </c>
      <c r="B766" t="s">
        <v>1671</v>
      </c>
      <c r="C766">
        <v>0.38</v>
      </c>
      <c r="D766">
        <v>10.65</v>
      </c>
      <c r="E766">
        <v>0.04</v>
      </c>
      <c r="F766">
        <v>10.64</v>
      </c>
      <c r="G766">
        <v>10.65</v>
      </c>
      <c r="H766">
        <v>369516</v>
      </c>
      <c r="I766">
        <v>4458</v>
      </c>
      <c r="J766">
        <v>-0.08</v>
      </c>
      <c r="K766">
        <v>7.84</v>
      </c>
      <c r="L766">
        <v>39709.25</v>
      </c>
      <c r="M766" t="s">
        <v>1672</v>
      </c>
      <c r="N766" t="s">
        <v>750</v>
      </c>
      <c r="O766">
        <v>10.61</v>
      </c>
      <c r="P766">
        <v>11.08</v>
      </c>
      <c r="Q766">
        <v>10.54</v>
      </c>
      <c r="R766">
        <v>10.61</v>
      </c>
      <c r="S766">
        <v>302.09</v>
      </c>
      <c r="T766">
        <v>1.05</v>
      </c>
      <c r="U766" t="s">
        <v>204</v>
      </c>
    </row>
    <row r="767" spans="1:21">
      <c r="A767" t="str">
        <f>"002298"</f>
        <v>002298</v>
      </c>
      <c r="B767" t="s">
        <v>1673</v>
      </c>
      <c r="C767">
        <v>0.55</v>
      </c>
      <c r="D767">
        <v>7.25</v>
      </c>
      <c r="E767">
        <v>0.04</v>
      </c>
      <c r="F767">
        <v>7.25</v>
      </c>
      <c r="G767">
        <v>7.26</v>
      </c>
      <c r="H767">
        <v>252984</v>
      </c>
      <c r="I767">
        <v>2737</v>
      </c>
      <c r="J767">
        <v>0.14</v>
      </c>
      <c r="K767">
        <v>4.28</v>
      </c>
      <c r="L767">
        <v>18370.44</v>
      </c>
      <c r="M767" t="s">
        <v>1674</v>
      </c>
      <c r="N767" t="s">
        <v>30</v>
      </c>
      <c r="O767">
        <v>7.21</v>
      </c>
      <c r="P767">
        <v>7.39</v>
      </c>
      <c r="Q767">
        <v>7.11</v>
      </c>
      <c r="R767">
        <v>7.21</v>
      </c>
      <c r="S767">
        <v>29</v>
      </c>
      <c r="T767">
        <v>1.42</v>
      </c>
      <c r="U767" t="s">
        <v>193</v>
      </c>
    </row>
    <row r="768" spans="1:21">
      <c r="A768" t="str">
        <f>"002299"</f>
        <v>002299</v>
      </c>
      <c r="B768" t="s">
        <v>1675</v>
      </c>
      <c r="C768">
        <v>1.09</v>
      </c>
      <c r="D768">
        <v>23.29</v>
      </c>
      <c r="E768">
        <v>0.25</v>
      </c>
      <c r="F768">
        <v>23.28</v>
      </c>
      <c r="G768">
        <v>23.29</v>
      </c>
      <c r="H768">
        <v>104734</v>
      </c>
      <c r="I768">
        <v>1202</v>
      </c>
      <c r="J768">
        <v>-0.03</v>
      </c>
      <c r="K768">
        <v>0.84</v>
      </c>
      <c r="L768">
        <v>24290.77</v>
      </c>
      <c r="M768" t="s">
        <v>1676</v>
      </c>
      <c r="N768" t="s">
        <v>147</v>
      </c>
      <c r="O768">
        <v>23.04</v>
      </c>
      <c r="P768">
        <v>23.34</v>
      </c>
      <c r="Q768">
        <v>22.8</v>
      </c>
      <c r="R768">
        <v>23.04</v>
      </c>
      <c r="S768">
        <v>58.99</v>
      </c>
      <c r="T768">
        <v>1.13</v>
      </c>
      <c r="U768" t="s">
        <v>339</v>
      </c>
    </row>
    <row r="769" spans="1:21">
      <c r="A769" t="str">
        <f>"002300"</f>
        <v>002300</v>
      </c>
      <c r="B769" t="s">
        <v>1677</v>
      </c>
      <c r="C769">
        <v>4.45</v>
      </c>
      <c r="D769">
        <v>7.28</v>
      </c>
      <c r="E769">
        <v>0.31</v>
      </c>
      <c r="F769">
        <v>7.27</v>
      </c>
      <c r="G769">
        <v>7.28</v>
      </c>
      <c r="H769">
        <v>339904</v>
      </c>
      <c r="I769">
        <v>3489</v>
      </c>
      <c r="J769">
        <v>0.28</v>
      </c>
      <c r="K769">
        <v>5.18</v>
      </c>
      <c r="L769">
        <v>24656.75</v>
      </c>
      <c r="M769" t="s">
        <v>1678</v>
      </c>
      <c r="N769" t="s">
        <v>47</v>
      </c>
      <c r="O769">
        <v>6.99</v>
      </c>
      <c r="P769">
        <v>7.53</v>
      </c>
      <c r="Q769">
        <v>6.99</v>
      </c>
      <c r="R769">
        <v>6.97</v>
      </c>
      <c r="S769">
        <v>32.82</v>
      </c>
      <c r="T769">
        <v>1.81</v>
      </c>
      <c r="U769" t="s">
        <v>339</v>
      </c>
    </row>
    <row r="770" spans="1:21">
      <c r="A770" t="str">
        <f>"002301"</f>
        <v>002301</v>
      </c>
      <c r="B770" t="s">
        <v>1679</v>
      </c>
      <c r="C770">
        <v>1.9</v>
      </c>
      <c r="D770">
        <v>6.99</v>
      </c>
      <c r="E770">
        <v>0.13</v>
      </c>
      <c r="F770">
        <v>6.98</v>
      </c>
      <c r="G770">
        <v>6.99</v>
      </c>
      <c r="H770">
        <v>89428</v>
      </c>
      <c r="I770">
        <v>689</v>
      </c>
      <c r="J770">
        <v>0</v>
      </c>
      <c r="K770">
        <v>1.22</v>
      </c>
      <c r="L770">
        <v>6230.55</v>
      </c>
      <c r="M770" t="s">
        <v>1680</v>
      </c>
      <c r="N770" t="s">
        <v>63</v>
      </c>
      <c r="O770">
        <v>6.88</v>
      </c>
      <c r="P770">
        <v>7.1</v>
      </c>
      <c r="Q770">
        <v>6.83</v>
      </c>
      <c r="R770">
        <v>6.86</v>
      </c>
      <c r="S770">
        <v>29.91</v>
      </c>
      <c r="T770">
        <v>1.46</v>
      </c>
      <c r="U770" t="s">
        <v>24</v>
      </c>
    </row>
    <row r="771" spans="1:21">
      <c r="A771" t="str">
        <f>"002302"</f>
        <v>002302</v>
      </c>
      <c r="B771" t="s">
        <v>1681</v>
      </c>
      <c r="C771">
        <v>1.06</v>
      </c>
      <c r="D771">
        <v>7.6</v>
      </c>
      <c r="E771">
        <v>0.08</v>
      </c>
      <c r="F771">
        <v>7.59</v>
      </c>
      <c r="G771">
        <v>7.6</v>
      </c>
      <c r="H771">
        <v>48933</v>
      </c>
      <c r="I771">
        <v>768</v>
      </c>
      <c r="J771">
        <v>-0.12</v>
      </c>
      <c r="K771">
        <v>0.39</v>
      </c>
      <c r="L771">
        <v>3693.11</v>
      </c>
      <c r="M771" t="s">
        <v>1682</v>
      </c>
      <c r="N771" t="s">
        <v>75</v>
      </c>
      <c r="O771">
        <v>7.53</v>
      </c>
      <c r="P771">
        <v>7.62</v>
      </c>
      <c r="Q771">
        <v>7.49</v>
      </c>
      <c r="R771">
        <v>7.52</v>
      </c>
      <c r="S771">
        <v>12.9</v>
      </c>
      <c r="T771">
        <v>0.9</v>
      </c>
      <c r="U771" t="s">
        <v>210</v>
      </c>
    </row>
    <row r="772" spans="1:21">
      <c r="A772" t="str">
        <f>"002303"</f>
        <v>002303</v>
      </c>
      <c r="B772" t="s">
        <v>1683</v>
      </c>
      <c r="C772">
        <v>0.3</v>
      </c>
      <c r="D772">
        <v>3.35</v>
      </c>
      <c r="E772">
        <v>0.01</v>
      </c>
      <c r="F772">
        <v>3.34</v>
      </c>
      <c r="G772">
        <v>3.35</v>
      </c>
      <c r="H772">
        <v>83263</v>
      </c>
      <c r="I772">
        <v>445</v>
      </c>
      <c r="J772">
        <v>-0.29</v>
      </c>
      <c r="K772">
        <v>0.87</v>
      </c>
      <c r="L772">
        <v>2766.22</v>
      </c>
      <c r="M772" t="s">
        <v>1684</v>
      </c>
      <c r="N772" t="s">
        <v>285</v>
      </c>
      <c r="O772">
        <v>3.32</v>
      </c>
      <c r="P772">
        <v>3.36</v>
      </c>
      <c r="Q772">
        <v>3.3</v>
      </c>
      <c r="R772">
        <v>3.34</v>
      </c>
      <c r="S772">
        <v>48.83</v>
      </c>
      <c r="T772">
        <v>1.75</v>
      </c>
      <c r="U772" t="s">
        <v>24</v>
      </c>
    </row>
    <row r="773" spans="1:21">
      <c r="A773" t="str">
        <f>"002304"</f>
        <v>002304</v>
      </c>
      <c r="B773" t="s">
        <v>1685</v>
      </c>
      <c r="C773">
        <v>0.27</v>
      </c>
      <c r="D773">
        <v>175.08</v>
      </c>
      <c r="E773">
        <v>0.48</v>
      </c>
      <c r="F773">
        <v>175.08</v>
      </c>
      <c r="G773">
        <v>175.09</v>
      </c>
      <c r="H773">
        <v>52607</v>
      </c>
      <c r="I773">
        <v>411</v>
      </c>
      <c r="J773">
        <v>-0.01</v>
      </c>
      <c r="K773">
        <v>0.42</v>
      </c>
      <c r="L773">
        <v>92676.83</v>
      </c>
      <c r="M773" t="s">
        <v>1686</v>
      </c>
      <c r="N773" t="s">
        <v>423</v>
      </c>
      <c r="O773">
        <v>174</v>
      </c>
      <c r="P773">
        <v>178.2</v>
      </c>
      <c r="Q773">
        <v>174</v>
      </c>
      <c r="R773">
        <v>174.6</v>
      </c>
      <c r="S773">
        <v>27.44</v>
      </c>
      <c r="T773">
        <v>1.06</v>
      </c>
      <c r="U773" t="s">
        <v>102</v>
      </c>
    </row>
    <row r="774" spans="1:21">
      <c r="A774" t="str">
        <f>"002305"</f>
        <v>002305</v>
      </c>
      <c r="B774" t="s">
        <v>1687</v>
      </c>
      <c r="C774">
        <v>1.64</v>
      </c>
      <c r="D774">
        <v>1.86</v>
      </c>
      <c r="E774">
        <v>0.03</v>
      </c>
      <c r="F774">
        <v>1.85</v>
      </c>
      <c r="G774">
        <v>1.86</v>
      </c>
      <c r="H774">
        <v>180433</v>
      </c>
      <c r="I774">
        <v>2268</v>
      </c>
      <c r="J774">
        <v>0.54</v>
      </c>
      <c r="K774">
        <v>1.04</v>
      </c>
      <c r="L774">
        <v>3326.7</v>
      </c>
      <c r="M774" t="s">
        <v>1688</v>
      </c>
      <c r="N774" t="s">
        <v>36</v>
      </c>
      <c r="O774">
        <v>1.83</v>
      </c>
      <c r="P774">
        <v>1.87</v>
      </c>
      <c r="Q774">
        <v>1.82</v>
      </c>
      <c r="R774">
        <v>1.83</v>
      </c>
      <c r="S774" t="s">
        <v>40</v>
      </c>
      <c r="T774">
        <v>1.13</v>
      </c>
      <c r="U774" t="s">
        <v>267</v>
      </c>
    </row>
    <row r="775" spans="1:21">
      <c r="A775" t="str">
        <f>"002306"</f>
        <v>002306</v>
      </c>
      <c r="B775" t="s">
        <v>1689</v>
      </c>
      <c r="C775">
        <v>-1.4</v>
      </c>
      <c r="D775">
        <v>2.81</v>
      </c>
      <c r="E775">
        <v>-0.04</v>
      </c>
      <c r="F775">
        <v>2.8</v>
      </c>
      <c r="G775">
        <v>2.81</v>
      </c>
      <c r="H775">
        <v>93858</v>
      </c>
      <c r="I775">
        <v>653</v>
      </c>
      <c r="J775">
        <v>0</v>
      </c>
      <c r="K775">
        <v>1.17</v>
      </c>
      <c r="L775">
        <v>2648.01</v>
      </c>
      <c r="M775" t="s">
        <v>1690</v>
      </c>
      <c r="N775" t="s">
        <v>479</v>
      </c>
      <c r="O775">
        <v>2.85</v>
      </c>
      <c r="P775">
        <v>2.91</v>
      </c>
      <c r="Q775">
        <v>2.79</v>
      </c>
      <c r="R775">
        <v>2.85</v>
      </c>
      <c r="S775" t="s">
        <v>40</v>
      </c>
      <c r="T775">
        <v>0.77</v>
      </c>
      <c r="U775" t="s">
        <v>44</v>
      </c>
    </row>
    <row r="776" spans="1:21">
      <c r="A776" t="str">
        <f>"002307"</f>
        <v>002307</v>
      </c>
      <c r="B776" t="s">
        <v>1691</v>
      </c>
      <c r="C776">
        <v>1.59</v>
      </c>
      <c r="D776">
        <v>4.48</v>
      </c>
      <c r="E776">
        <v>0.07</v>
      </c>
      <c r="F776">
        <v>4.48</v>
      </c>
      <c r="G776">
        <v>4.49</v>
      </c>
      <c r="H776">
        <v>107581</v>
      </c>
      <c r="I776">
        <v>452</v>
      </c>
      <c r="J776">
        <v>0</v>
      </c>
      <c r="K776">
        <v>2.27</v>
      </c>
      <c r="L776">
        <v>4805.66</v>
      </c>
      <c r="M776" t="s">
        <v>1692</v>
      </c>
      <c r="N776" t="s">
        <v>50</v>
      </c>
      <c r="O776">
        <v>4.41</v>
      </c>
      <c r="P776">
        <v>4.58</v>
      </c>
      <c r="Q776">
        <v>4.34</v>
      </c>
      <c r="R776">
        <v>4.41</v>
      </c>
      <c r="S776">
        <v>99.17</v>
      </c>
      <c r="T776">
        <v>2.09</v>
      </c>
      <c r="U776" t="s">
        <v>210</v>
      </c>
    </row>
    <row r="777" spans="1:21">
      <c r="A777" t="str">
        <f>"002308"</f>
        <v>002308</v>
      </c>
      <c r="B777" t="s">
        <v>1693</v>
      </c>
      <c r="C777">
        <v>-0.6</v>
      </c>
      <c r="D777">
        <v>4.96</v>
      </c>
      <c r="E777">
        <v>-0.03</v>
      </c>
      <c r="F777">
        <v>4.96</v>
      </c>
      <c r="G777">
        <v>4.97</v>
      </c>
      <c r="H777">
        <v>215595</v>
      </c>
      <c r="I777">
        <v>1740</v>
      </c>
      <c r="J777">
        <v>0</v>
      </c>
      <c r="K777">
        <v>2.38</v>
      </c>
      <c r="L777">
        <v>10811.74</v>
      </c>
      <c r="M777" t="s">
        <v>1694</v>
      </c>
      <c r="N777" t="s">
        <v>72</v>
      </c>
      <c r="O777">
        <v>4.95</v>
      </c>
      <c r="P777">
        <v>5.1</v>
      </c>
      <c r="Q777">
        <v>4.95</v>
      </c>
      <c r="R777">
        <v>4.99</v>
      </c>
      <c r="S777">
        <v>138.17</v>
      </c>
      <c r="T777">
        <v>0.73</v>
      </c>
      <c r="U777" t="s">
        <v>183</v>
      </c>
    </row>
    <row r="778" spans="1:21">
      <c r="A778" t="str">
        <f>"002309"</f>
        <v>002309</v>
      </c>
      <c r="B778" t="s">
        <v>1695</v>
      </c>
      <c r="C778">
        <v>10.01</v>
      </c>
      <c r="D778">
        <v>8.57</v>
      </c>
      <c r="E778">
        <v>0.78</v>
      </c>
      <c r="F778">
        <v>8.57</v>
      </c>
      <c r="G778" t="s">
        <v>40</v>
      </c>
      <c r="H778">
        <v>946702</v>
      </c>
      <c r="I778">
        <v>5018</v>
      </c>
      <c r="J778">
        <v>0</v>
      </c>
      <c r="K778">
        <v>13.56</v>
      </c>
      <c r="L778">
        <v>77509.93</v>
      </c>
      <c r="M778" t="s">
        <v>1696</v>
      </c>
      <c r="N778" t="s">
        <v>47</v>
      </c>
      <c r="O778">
        <v>7.74</v>
      </c>
      <c r="P778">
        <v>8.57</v>
      </c>
      <c r="Q778">
        <v>7.74</v>
      </c>
      <c r="R778">
        <v>7.79</v>
      </c>
      <c r="S778" t="s">
        <v>40</v>
      </c>
      <c r="T778">
        <v>1.22</v>
      </c>
      <c r="U778" t="s">
        <v>102</v>
      </c>
    </row>
    <row r="779" spans="1:21">
      <c r="A779" t="str">
        <f>"002310"</f>
        <v>002310</v>
      </c>
      <c r="B779" t="s">
        <v>1697</v>
      </c>
      <c r="C779">
        <v>-1.05</v>
      </c>
      <c r="D779">
        <v>2.83</v>
      </c>
      <c r="E779">
        <v>-0.03</v>
      </c>
      <c r="F779">
        <v>2.82</v>
      </c>
      <c r="G779">
        <v>2.83</v>
      </c>
      <c r="H779">
        <v>124976</v>
      </c>
      <c r="I779">
        <v>3945</v>
      </c>
      <c r="J779">
        <v>0.35</v>
      </c>
      <c r="K779">
        <v>0.49</v>
      </c>
      <c r="L779">
        <v>3523.12</v>
      </c>
      <c r="M779" t="s">
        <v>1698</v>
      </c>
      <c r="N779" t="s">
        <v>50</v>
      </c>
      <c r="O779">
        <v>2.82</v>
      </c>
      <c r="P779">
        <v>2.85</v>
      </c>
      <c r="Q779">
        <v>2.79</v>
      </c>
      <c r="R779">
        <v>2.86</v>
      </c>
      <c r="S779" t="s">
        <v>40</v>
      </c>
      <c r="T779">
        <v>1.22</v>
      </c>
      <c r="U779" t="s">
        <v>44</v>
      </c>
    </row>
    <row r="780" spans="1:21">
      <c r="A780" t="str">
        <f>"002311"</f>
        <v>002311</v>
      </c>
      <c r="B780" t="s">
        <v>1699</v>
      </c>
      <c r="C780">
        <v>0.26</v>
      </c>
      <c r="D780">
        <v>64.75</v>
      </c>
      <c r="E780">
        <v>0.17</v>
      </c>
      <c r="F780">
        <v>64.74</v>
      </c>
      <c r="G780">
        <v>64.75</v>
      </c>
      <c r="H780">
        <v>32856</v>
      </c>
      <c r="I780">
        <v>173</v>
      </c>
      <c r="J780">
        <v>0.05</v>
      </c>
      <c r="K780">
        <v>0.2</v>
      </c>
      <c r="L780">
        <v>21235.82</v>
      </c>
      <c r="M780" t="s">
        <v>1700</v>
      </c>
      <c r="N780" t="s">
        <v>124</v>
      </c>
      <c r="O780">
        <v>64.39</v>
      </c>
      <c r="P780">
        <v>65.19</v>
      </c>
      <c r="Q780">
        <v>64.2</v>
      </c>
      <c r="R780">
        <v>64.58</v>
      </c>
      <c r="S780">
        <v>46.19</v>
      </c>
      <c r="T780">
        <v>0.75</v>
      </c>
      <c r="U780" t="s">
        <v>183</v>
      </c>
    </row>
    <row r="781" spans="1:21">
      <c r="A781" t="str">
        <f>"002312"</f>
        <v>002312</v>
      </c>
      <c r="B781" t="s">
        <v>1701</v>
      </c>
      <c r="C781">
        <v>0.14</v>
      </c>
      <c r="D781">
        <v>14.09</v>
      </c>
      <c r="E781">
        <v>0.02</v>
      </c>
      <c r="F781">
        <v>14.09</v>
      </c>
      <c r="G781">
        <v>14.1</v>
      </c>
      <c r="H781">
        <v>301186</v>
      </c>
      <c r="I781">
        <v>2212</v>
      </c>
      <c r="J781">
        <v>0.07</v>
      </c>
      <c r="K781">
        <v>2.27</v>
      </c>
      <c r="L781">
        <v>42331.04</v>
      </c>
      <c r="M781" t="s">
        <v>1702</v>
      </c>
      <c r="N781" t="s">
        <v>309</v>
      </c>
      <c r="O781">
        <v>14.07</v>
      </c>
      <c r="P781">
        <v>14.24</v>
      </c>
      <c r="Q781">
        <v>13.86</v>
      </c>
      <c r="R781">
        <v>14.07</v>
      </c>
      <c r="S781">
        <v>20.84</v>
      </c>
      <c r="T781">
        <v>0.62</v>
      </c>
      <c r="U781" t="s">
        <v>196</v>
      </c>
    </row>
    <row r="782" spans="1:21">
      <c r="A782" t="str">
        <f>"002313"</f>
        <v>002313</v>
      </c>
      <c r="B782" t="s">
        <v>1703</v>
      </c>
      <c r="C782">
        <v>1.28</v>
      </c>
      <c r="D782">
        <v>11.08</v>
      </c>
      <c r="E782">
        <v>0.14</v>
      </c>
      <c r="F782">
        <v>11.08</v>
      </c>
      <c r="G782">
        <v>11.09</v>
      </c>
      <c r="H782">
        <v>23051</v>
      </c>
      <c r="I782">
        <v>549</v>
      </c>
      <c r="J782">
        <v>-0.08</v>
      </c>
      <c r="K782">
        <v>0.62</v>
      </c>
      <c r="L782">
        <v>2548.04</v>
      </c>
      <c r="M782" t="s">
        <v>1704</v>
      </c>
      <c r="N782" t="s">
        <v>153</v>
      </c>
      <c r="O782">
        <v>11.01</v>
      </c>
      <c r="P782">
        <v>11.13</v>
      </c>
      <c r="Q782">
        <v>10.91</v>
      </c>
      <c r="R782">
        <v>10.94</v>
      </c>
      <c r="S782">
        <v>222.08</v>
      </c>
      <c r="T782">
        <v>0.98</v>
      </c>
      <c r="U782" t="s">
        <v>24</v>
      </c>
    </row>
    <row r="783" spans="1:21">
      <c r="A783" t="str">
        <f>"002314"</f>
        <v>002314</v>
      </c>
      <c r="B783" t="s">
        <v>1705</v>
      </c>
      <c r="C783">
        <v>0.67</v>
      </c>
      <c r="D783">
        <v>3.01</v>
      </c>
      <c r="E783">
        <v>0.02</v>
      </c>
      <c r="F783">
        <v>3</v>
      </c>
      <c r="G783">
        <v>3.01</v>
      </c>
      <c r="H783">
        <v>58492</v>
      </c>
      <c r="I783">
        <v>650</v>
      </c>
      <c r="J783">
        <v>0.33</v>
      </c>
      <c r="K783">
        <v>0.44</v>
      </c>
      <c r="L783">
        <v>1743.75</v>
      </c>
      <c r="M783" t="s">
        <v>1706</v>
      </c>
      <c r="N783" t="s">
        <v>36</v>
      </c>
      <c r="O783">
        <v>2.97</v>
      </c>
      <c r="P783">
        <v>3.01</v>
      </c>
      <c r="Q783">
        <v>2.96</v>
      </c>
      <c r="R783">
        <v>2.99</v>
      </c>
      <c r="S783">
        <v>16.25</v>
      </c>
      <c r="T783">
        <v>0.35</v>
      </c>
      <c r="U783" t="s">
        <v>24</v>
      </c>
    </row>
    <row r="784" spans="1:21">
      <c r="A784" t="str">
        <f>"002315"</f>
        <v>002315</v>
      </c>
      <c r="B784" t="s">
        <v>1707</v>
      </c>
      <c r="C784">
        <v>0.75</v>
      </c>
      <c r="D784">
        <v>16.14</v>
      </c>
      <c r="E784">
        <v>0.12</v>
      </c>
      <c r="F784">
        <v>16.14</v>
      </c>
      <c r="G784">
        <v>16.15</v>
      </c>
      <c r="H784">
        <v>22481</v>
      </c>
      <c r="I784">
        <v>601</v>
      </c>
      <c r="J784">
        <v>0</v>
      </c>
      <c r="K784">
        <v>1.21</v>
      </c>
      <c r="L784">
        <v>3628.96</v>
      </c>
      <c r="M784" t="s">
        <v>1708</v>
      </c>
      <c r="N784" t="s">
        <v>479</v>
      </c>
      <c r="O784">
        <v>15.94</v>
      </c>
      <c r="P784">
        <v>16.23</v>
      </c>
      <c r="Q784">
        <v>15.94</v>
      </c>
      <c r="R784">
        <v>16.02</v>
      </c>
      <c r="S784">
        <v>19.2</v>
      </c>
      <c r="T784">
        <v>0.7</v>
      </c>
      <c r="U784" t="s">
        <v>102</v>
      </c>
    </row>
    <row r="785" spans="1:21">
      <c r="A785" t="str">
        <f>"002316"</f>
        <v>002316</v>
      </c>
      <c r="B785" t="s">
        <v>1709</v>
      </c>
      <c r="C785">
        <v>1.04</v>
      </c>
      <c r="D785">
        <v>3.88</v>
      </c>
      <c r="E785">
        <v>0.04</v>
      </c>
      <c r="F785">
        <v>3.88</v>
      </c>
      <c r="G785">
        <v>3.89</v>
      </c>
      <c r="H785">
        <v>34420</v>
      </c>
      <c r="I785">
        <v>194</v>
      </c>
      <c r="J785">
        <v>0</v>
      </c>
      <c r="K785">
        <v>1.17</v>
      </c>
      <c r="L785">
        <v>1332.53</v>
      </c>
      <c r="M785" t="s">
        <v>1710</v>
      </c>
      <c r="N785" t="s">
        <v>30</v>
      </c>
      <c r="O785">
        <v>3.84</v>
      </c>
      <c r="P785">
        <v>3.94</v>
      </c>
      <c r="Q785">
        <v>3.82</v>
      </c>
      <c r="R785">
        <v>3.84</v>
      </c>
      <c r="S785" t="s">
        <v>40</v>
      </c>
      <c r="T785">
        <v>0.92</v>
      </c>
      <c r="U785" t="s">
        <v>24</v>
      </c>
    </row>
    <row r="786" spans="1:21">
      <c r="A786" t="str">
        <f>"002317"</f>
        <v>002317</v>
      </c>
      <c r="B786" t="s">
        <v>1711</v>
      </c>
      <c r="C786">
        <v>0.89</v>
      </c>
      <c r="D786">
        <v>9.05</v>
      </c>
      <c r="E786">
        <v>0.08</v>
      </c>
      <c r="F786">
        <v>9.05</v>
      </c>
      <c r="G786">
        <v>9.06</v>
      </c>
      <c r="H786">
        <v>153046</v>
      </c>
      <c r="I786">
        <v>2217</v>
      </c>
      <c r="J786">
        <v>0.33</v>
      </c>
      <c r="K786">
        <v>2.15</v>
      </c>
      <c r="L786">
        <v>13682.73</v>
      </c>
      <c r="M786" t="s">
        <v>1712</v>
      </c>
      <c r="N786" t="s">
        <v>270</v>
      </c>
      <c r="O786">
        <v>8.98</v>
      </c>
      <c r="P786">
        <v>9.09</v>
      </c>
      <c r="Q786">
        <v>8.78</v>
      </c>
      <c r="R786">
        <v>8.97</v>
      </c>
      <c r="S786">
        <v>17.62</v>
      </c>
      <c r="T786">
        <v>0.65</v>
      </c>
      <c r="U786" t="s">
        <v>183</v>
      </c>
    </row>
    <row r="787" spans="1:21">
      <c r="A787" t="str">
        <f>"002318"</f>
        <v>002318</v>
      </c>
      <c r="B787" t="s">
        <v>1713</v>
      </c>
      <c r="C787">
        <v>4.17</v>
      </c>
      <c r="D787">
        <v>15.49</v>
      </c>
      <c r="E787">
        <v>0.62</v>
      </c>
      <c r="F787">
        <v>15.49</v>
      </c>
      <c r="G787">
        <v>15.5</v>
      </c>
      <c r="H787">
        <v>263084</v>
      </c>
      <c r="I787">
        <v>2228</v>
      </c>
      <c r="J787">
        <v>-0.5</v>
      </c>
      <c r="K787">
        <v>2.76</v>
      </c>
      <c r="L787">
        <v>39906.49</v>
      </c>
      <c r="M787" t="s">
        <v>1714</v>
      </c>
      <c r="N787" t="s">
        <v>628</v>
      </c>
      <c r="O787">
        <v>14.95</v>
      </c>
      <c r="P787">
        <v>15.68</v>
      </c>
      <c r="Q787">
        <v>14.65</v>
      </c>
      <c r="R787">
        <v>14.87</v>
      </c>
      <c r="S787">
        <v>18.54</v>
      </c>
      <c r="T787">
        <v>1.79</v>
      </c>
      <c r="U787" t="s">
        <v>200</v>
      </c>
    </row>
    <row r="788" spans="1:21">
      <c r="A788" t="str">
        <f>"002319"</f>
        <v>002319</v>
      </c>
      <c r="B788" t="s">
        <v>1715</v>
      </c>
      <c r="C788">
        <v>1.08</v>
      </c>
      <c r="D788">
        <v>14.96</v>
      </c>
      <c r="E788">
        <v>0.16</v>
      </c>
      <c r="F788">
        <v>14.95</v>
      </c>
      <c r="G788">
        <v>14.96</v>
      </c>
      <c r="H788">
        <v>38293</v>
      </c>
      <c r="I788">
        <v>356</v>
      </c>
      <c r="J788">
        <v>-0.06</v>
      </c>
      <c r="K788">
        <v>1.91</v>
      </c>
      <c r="L788">
        <v>5734.33</v>
      </c>
      <c r="M788" t="s">
        <v>1716</v>
      </c>
      <c r="N788" t="s">
        <v>416</v>
      </c>
      <c r="O788">
        <v>14.7</v>
      </c>
      <c r="P788">
        <v>15.18</v>
      </c>
      <c r="Q788">
        <v>14.6</v>
      </c>
      <c r="R788">
        <v>14.8</v>
      </c>
      <c r="S788" t="s">
        <v>40</v>
      </c>
      <c r="T788">
        <v>0.66</v>
      </c>
      <c r="U788" t="s">
        <v>183</v>
      </c>
    </row>
    <row r="789" spans="1:21">
      <c r="A789" t="str">
        <f>"002320"</f>
        <v>002320</v>
      </c>
      <c r="B789" t="s">
        <v>1717</v>
      </c>
      <c r="C789">
        <v>0</v>
      </c>
      <c r="D789">
        <v>6.04</v>
      </c>
      <c r="E789">
        <v>0</v>
      </c>
      <c r="F789">
        <v>6.03</v>
      </c>
      <c r="G789">
        <v>6.04</v>
      </c>
      <c r="H789">
        <v>90442</v>
      </c>
      <c r="I789">
        <v>2355</v>
      </c>
      <c r="J789">
        <v>0.33</v>
      </c>
      <c r="K789">
        <v>0.41</v>
      </c>
      <c r="L789">
        <v>5427.47</v>
      </c>
      <c r="M789" t="s">
        <v>1718</v>
      </c>
      <c r="N789" t="s">
        <v>327</v>
      </c>
      <c r="O789">
        <v>6.03</v>
      </c>
      <c r="P789">
        <v>6.04</v>
      </c>
      <c r="Q789">
        <v>5.96</v>
      </c>
      <c r="R789">
        <v>6.04</v>
      </c>
      <c r="S789">
        <v>35.63</v>
      </c>
      <c r="T789">
        <v>0.87</v>
      </c>
      <c r="U789" t="s">
        <v>294</v>
      </c>
    </row>
    <row r="790" spans="1:21">
      <c r="A790" t="str">
        <f>"002321"</f>
        <v>002321</v>
      </c>
      <c r="B790" t="s">
        <v>1719</v>
      </c>
      <c r="C790">
        <v>3.75</v>
      </c>
      <c r="D790">
        <v>3.32</v>
      </c>
      <c r="E790">
        <v>0.12</v>
      </c>
      <c r="F790">
        <v>3.32</v>
      </c>
      <c r="G790">
        <v>3.33</v>
      </c>
      <c r="H790">
        <v>167119</v>
      </c>
      <c r="I790">
        <v>3263</v>
      </c>
      <c r="J790">
        <v>0</v>
      </c>
      <c r="K790">
        <v>3.15</v>
      </c>
      <c r="L790">
        <v>5476.96</v>
      </c>
      <c r="M790" t="s">
        <v>1720</v>
      </c>
      <c r="N790" t="s">
        <v>147</v>
      </c>
      <c r="O790">
        <v>3.2</v>
      </c>
      <c r="P790">
        <v>3.35</v>
      </c>
      <c r="Q790">
        <v>3.18</v>
      </c>
      <c r="R790">
        <v>3.2</v>
      </c>
      <c r="S790" t="s">
        <v>40</v>
      </c>
      <c r="T790">
        <v>1.65</v>
      </c>
      <c r="U790" t="s">
        <v>224</v>
      </c>
    </row>
    <row r="791" spans="1:21">
      <c r="A791" t="str">
        <f>"002322"</f>
        <v>002322</v>
      </c>
      <c r="B791" t="s">
        <v>1721</v>
      </c>
      <c r="C791">
        <v>0.21</v>
      </c>
      <c r="D791">
        <v>9.73</v>
      </c>
      <c r="E791">
        <v>0.02</v>
      </c>
      <c r="F791">
        <v>9.72</v>
      </c>
      <c r="G791">
        <v>9.73</v>
      </c>
      <c r="H791">
        <v>17161</v>
      </c>
      <c r="I791">
        <v>61</v>
      </c>
      <c r="J791">
        <v>0.1</v>
      </c>
      <c r="K791">
        <v>0.47</v>
      </c>
      <c r="L791">
        <v>1663.47</v>
      </c>
      <c r="M791" t="s">
        <v>1722</v>
      </c>
      <c r="N791" t="s">
        <v>30</v>
      </c>
      <c r="O791">
        <v>9.67</v>
      </c>
      <c r="P791">
        <v>9.77</v>
      </c>
      <c r="Q791">
        <v>9.61</v>
      </c>
      <c r="R791">
        <v>9.71</v>
      </c>
      <c r="S791">
        <v>15.35</v>
      </c>
      <c r="T791">
        <v>0.91</v>
      </c>
      <c r="U791" t="s">
        <v>200</v>
      </c>
    </row>
    <row r="792" spans="1:21">
      <c r="A792" t="str">
        <f>"002323"</f>
        <v>002323</v>
      </c>
      <c r="B792" t="s">
        <v>1723</v>
      </c>
      <c r="C792">
        <v>5.07</v>
      </c>
      <c r="D792">
        <v>5.6</v>
      </c>
      <c r="E792">
        <v>0.27</v>
      </c>
      <c r="F792">
        <v>5.6</v>
      </c>
      <c r="G792" t="s">
        <v>40</v>
      </c>
      <c r="H792">
        <v>111103</v>
      </c>
      <c r="I792">
        <v>854</v>
      </c>
      <c r="J792">
        <v>0</v>
      </c>
      <c r="K792">
        <v>3.45</v>
      </c>
      <c r="L792">
        <v>6123.49</v>
      </c>
      <c r="M792" t="s">
        <v>1724</v>
      </c>
      <c r="N792" t="s">
        <v>50</v>
      </c>
      <c r="O792">
        <v>5.33</v>
      </c>
      <c r="P792">
        <v>5.6</v>
      </c>
      <c r="Q792">
        <v>5.31</v>
      </c>
      <c r="R792">
        <v>5.33</v>
      </c>
      <c r="S792" t="s">
        <v>40</v>
      </c>
      <c r="T792">
        <v>1.5</v>
      </c>
      <c r="U792" t="s">
        <v>221</v>
      </c>
    </row>
    <row r="793" spans="1:21">
      <c r="A793" t="str">
        <f>"002324"</f>
        <v>002324</v>
      </c>
      <c r="B793" t="s">
        <v>1725</v>
      </c>
      <c r="C793">
        <v>1.3</v>
      </c>
      <c r="D793">
        <v>13.22</v>
      </c>
      <c r="E793">
        <v>0.17</v>
      </c>
      <c r="F793">
        <v>13.21</v>
      </c>
      <c r="G793">
        <v>13.22</v>
      </c>
      <c r="H793">
        <v>125935</v>
      </c>
      <c r="I793">
        <v>1984</v>
      </c>
      <c r="J793">
        <v>0.23</v>
      </c>
      <c r="K793">
        <v>1.99</v>
      </c>
      <c r="L793">
        <v>16601.14</v>
      </c>
      <c r="M793" t="s">
        <v>1726</v>
      </c>
      <c r="N793" t="s">
        <v>839</v>
      </c>
      <c r="O793">
        <v>13.05</v>
      </c>
      <c r="P793">
        <v>13.38</v>
      </c>
      <c r="Q793">
        <v>12.78</v>
      </c>
      <c r="R793">
        <v>13.05</v>
      </c>
      <c r="S793">
        <v>119.11</v>
      </c>
      <c r="T793">
        <v>0.7</v>
      </c>
      <c r="U793" t="s">
        <v>848</v>
      </c>
    </row>
    <row r="794" spans="1:21">
      <c r="A794" t="str">
        <f>"002325"</f>
        <v>002325</v>
      </c>
      <c r="B794" t="s">
        <v>1727</v>
      </c>
      <c r="C794">
        <v>1.17</v>
      </c>
      <c r="D794">
        <v>2.59</v>
      </c>
      <c r="E794">
        <v>0.03</v>
      </c>
      <c r="F794">
        <v>2.59</v>
      </c>
      <c r="G794">
        <v>2.6</v>
      </c>
      <c r="H794">
        <v>76731</v>
      </c>
      <c r="I794">
        <v>1085</v>
      </c>
      <c r="J794">
        <v>0</v>
      </c>
      <c r="K794">
        <v>0.79</v>
      </c>
      <c r="L794">
        <v>1972.18</v>
      </c>
      <c r="M794" t="s">
        <v>49</v>
      </c>
      <c r="N794" t="s">
        <v>1189</v>
      </c>
      <c r="O794">
        <v>2.53</v>
      </c>
      <c r="P794">
        <v>2.6</v>
      </c>
      <c r="Q794">
        <v>2.52</v>
      </c>
      <c r="R794">
        <v>2.56</v>
      </c>
      <c r="S794">
        <v>29.85</v>
      </c>
      <c r="T794">
        <v>0.87</v>
      </c>
      <c r="U794" t="s">
        <v>24</v>
      </c>
    </row>
    <row r="795" spans="1:21">
      <c r="A795" t="str">
        <f>"002326"</f>
        <v>002326</v>
      </c>
      <c r="B795" t="s">
        <v>1728</v>
      </c>
      <c r="C795">
        <v>-3.38</v>
      </c>
      <c r="D795">
        <v>56.52</v>
      </c>
      <c r="E795">
        <v>-1.98</v>
      </c>
      <c r="F795">
        <v>56.52</v>
      </c>
      <c r="G795">
        <v>56.53</v>
      </c>
      <c r="H795">
        <v>591752</v>
      </c>
      <c r="I795">
        <v>3530</v>
      </c>
      <c r="J795">
        <v>-0.11</v>
      </c>
      <c r="K795">
        <v>8.78</v>
      </c>
      <c r="L795">
        <v>336517.91</v>
      </c>
      <c r="M795" t="s">
        <v>1729</v>
      </c>
      <c r="N795" t="s">
        <v>309</v>
      </c>
      <c r="O795">
        <v>58.5</v>
      </c>
      <c r="P795">
        <v>59.8</v>
      </c>
      <c r="Q795">
        <v>54.88</v>
      </c>
      <c r="R795">
        <v>58.5</v>
      </c>
      <c r="S795">
        <v>98.97</v>
      </c>
      <c r="T795">
        <v>1.17</v>
      </c>
      <c r="U795" t="s">
        <v>200</v>
      </c>
    </row>
    <row r="796" spans="1:21">
      <c r="A796" t="str">
        <f>"002327"</f>
        <v>002327</v>
      </c>
      <c r="B796" t="s">
        <v>1730</v>
      </c>
      <c r="C796">
        <v>-0.33</v>
      </c>
      <c r="D796">
        <v>9.09</v>
      </c>
      <c r="E796">
        <v>-0.03</v>
      </c>
      <c r="F796">
        <v>9.08</v>
      </c>
      <c r="G796">
        <v>9.09</v>
      </c>
      <c r="H796">
        <v>90997</v>
      </c>
      <c r="I796">
        <v>798</v>
      </c>
      <c r="J796">
        <v>0.33</v>
      </c>
      <c r="K796">
        <v>1.87</v>
      </c>
      <c r="L796">
        <v>8177.94</v>
      </c>
      <c r="M796" t="s">
        <v>1731</v>
      </c>
      <c r="N796" t="s">
        <v>664</v>
      </c>
      <c r="O796">
        <v>9.18</v>
      </c>
      <c r="P796">
        <v>9.19</v>
      </c>
      <c r="Q796">
        <v>8.85</v>
      </c>
      <c r="R796">
        <v>9.12</v>
      </c>
      <c r="S796">
        <v>17.82</v>
      </c>
      <c r="T796">
        <v>1.66</v>
      </c>
      <c r="U796" t="s">
        <v>24</v>
      </c>
    </row>
    <row r="797" spans="1:21">
      <c r="A797" t="str">
        <f>"002328"</f>
        <v>002328</v>
      </c>
      <c r="B797" t="s">
        <v>1732</v>
      </c>
      <c r="C797">
        <v>1.01</v>
      </c>
      <c r="D797">
        <v>6.03</v>
      </c>
      <c r="E797">
        <v>0.06</v>
      </c>
      <c r="F797">
        <v>6.02</v>
      </c>
      <c r="G797">
        <v>6.03</v>
      </c>
      <c r="H797">
        <v>128094</v>
      </c>
      <c r="I797">
        <v>942</v>
      </c>
      <c r="J797">
        <v>0</v>
      </c>
      <c r="K797">
        <v>2.28</v>
      </c>
      <c r="L797">
        <v>7700.04</v>
      </c>
      <c r="M797" t="s">
        <v>1188</v>
      </c>
      <c r="N797" t="s">
        <v>91</v>
      </c>
      <c r="O797">
        <v>5.97</v>
      </c>
      <c r="P797">
        <v>6.09</v>
      </c>
      <c r="Q797">
        <v>5.92</v>
      </c>
      <c r="R797">
        <v>5.97</v>
      </c>
      <c r="S797">
        <v>14.91</v>
      </c>
      <c r="T797">
        <v>0.51</v>
      </c>
      <c r="U797" t="s">
        <v>848</v>
      </c>
    </row>
    <row r="798" spans="1:21">
      <c r="A798" t="str">
        <f>"002329"</f>
        <v>002329</v>
      </c>
      <c r="B798" t="s">
        <v>1733</v>
      </c>
      <c r="C798">
        <v>0</v>
      </c>
      <c r="D798">
        <v>4.38</v>
      </c>
      <c r="E798">
        <v>0</v>
      </c>
      <c r="F798">
        <v>4.38</v>
      </c>
      <c r="G798">
        <v>4.39</v>
      </c>
      <c r="H798">
        <v>71419</v>
      </c>
      <c r="I798">
        <v>947</v>
      </c>
      <c r="J798">
        <v>0.23</v>
      </c>
      <c r="K798">
        <v>1.34</v>
      </c>
      <c r="L798">
        <v>3115.86</v>
      </c>
      <c r="M798" t="s">
        <v>1734</v>
      </c>
      <c r="N798" t="s">
        <v>1735</v>
      </c>
      <c r="O798">
        <v>4.39</v>
      </c>
      <c r="P798">
        <v>4.41</v>
      </c>
      <c r="Q798">
        <v>4.32</v>
      </c>
      <c r="R798">
        <v>4.38</v>
      </c>
      <c r="S798">
        <v>152.86</v>
      </c>
      <c r="T798">
        <v>0.65</v>
      </c>
      <c r="U798" t="s">
        <v>342</v>
      </c>
    </row>
    <row r="799" spans="1:21">
      <c r="A799" t="str">
        <f>"002330"</f>
        <v>002330</v>
      </c>
      <c r="B799" t="s">
        <v>1736</v>
      </c>
      <c r="C799">
        <v>1.13</v>
      </c>
      <c r="D799">
        <v>6.27</v>
      </c>
      <c r="E799">
        <v>0.07</v>
      </c>
      <c r="F799">
        <v>6.27</v>
      </c>
      <c r="G799">
        <v>6.28</v>
      </c>
      <c r="H799">
        <v>69221</v>
      </c>
      <c r="I799">
        <v>1494</v>
      </c>
      <c r="J799">
        <v>0.48</v>
      </c>
      <c r="K799">
        <v>1.38</v>
      </c>
      <c r="L799">
        <v>4317.05</v>
      </c>
      <c r="M799" t="s">
        <v>1737</v>
      </c>
      <c r="N799" t="s">
        <v>299</v>
      </c>
      <c r="O799">
        <v>6.17</v>
      </c>
      <c r="P799">
        <v>6.31</v>
      </c>
      <c r="Q799">
        <v>6.15</v>
      </c>
      <c r="R799">
        <v>6.2</v>
      </c>
      <c r="S799">
        <v>57.73</v>
      </c>
      <c r="T799">
        <v>0.72</v>
      </c>
      <c r="U799" t="s">
        <v>221</v>
      </c>
    </row>
    <row r="800" spans="1:21">
      <c r="A800" t="str">
        <f>"002331"</f>
        <v>002331</v>
      </c>
      <c r="B800" t="s">
        <v>1738</v>
      </c>
      <c r="C800">
        <v>0.6</v>
      </c>
      <c r="D800">
        <v>8.38</v>
      </c>
      <c r="E800">
        <v>0.05</v>
      </c>
      <c r="F800">
        <v>8.38</v>
      </c>
      <c r="G800">
        <v>8.39</v>
      </c>
      <c r="H800">
        <v>17533</v>
      </c>
      <c r="I800">
        <v>102</v>
      </c>
      <c r="J800">
        <v>0</v>
      </c>
      <c r="K800">
        <v>0.46</v>
      </c>
      <c r="L800">
        <v>1466.2</v>
      </c>
      <c r="M800" t="s">
        <v>1739</v>
      </c>
      <c r="N800" t="s">
        <v>30</v>
      </c>
      <c r="O800">
        <v>8.38</v>
      </c>
      <c r="P800">
        <v>8.44</v>
      </c>
      <c r="Q800">
        <v>8.26</v>
      </c>
      <c r="R800">
        <v>8.33</v>
      </c>
      <c r="S800">
        <v>199.45</v>
      </c>
      <c r="T800">
        <v>0.84</v>
      </c>
      <c r="U800" t="s">
        <v>193</v>
      </c>
    </row>
    <row r="801" spans="1:21">
      <c r="A801" t="str">
        <f>"002332"</f>
        <v>002332</v>
      </c>
      <c r="B801" t="s">
        <v>1740</v>
      </c>
      <c r="C801">
        <v>-0.56</v>
      </c>
      <c r="D801">
        <v>12.53</v>
      </c>
      <c r="E801">
        <v>-0.07</v>
      </c>
      <c r="F801">
        <v>12.52</v>
      </c>
      <c r="G801">
        <v>12.53</v>
      </c>
      <c r="H801">
        <v>174660</v>
      </c>
      <c r="I801">
        <v>532</v>
      </c>
      <c r="J801">
        <v>0.32</v>
      </c>
      <c r="K801">
        <v>1.81</v>
      </c>
      <c r="L801">
        <v>21572.66</v>
      </c>
      <c r="M801" t="s">
        <v>1741</v>
      </c>
      <c r="N801" t="s">
        <v>231</v>
      </c>
      <c r="O801">
        <v>12.52</v>
      </c>
      <c r="P801">
        <v>12.62</v>
      </c>
      <c r="Q801">
        <v>12.12</v>
      </c>
      <c r="R801">
        <v>12.6</v>
      </c>
      <c r="S801">
        <v>20.24</v>
      </c>
      <c r="T801">
        <v>1.61</v>
      </c>
      <c r="U801" t="s">
        <v>200</v>
      </c>
    </row>
    <row r="802" spans="1:21">
      <c r="A802" t="str">
        <f>"002333"</f>
        <v>002333</v>
      </c>
      <c r="B802" t="s">
        <v>1742</v>
      </c>
      <c r="C802">
        <v>0.4</v>
      </c>
      <c r="D802">
        <v>5</v>
      </c>
      <c r="E802">
        <v>0.02</v>
      </c>
      <c r="F802">
        <v>4.98</v>
      </c>
      <c r="G802">
        <v>5</v>
      </c>
      <c r="H802">
        <v>8400</v>
      </c>
      <c r="I802">
        <v>70</v>
      </c>
      <c r="J802">
        <v>0.4</v>
      </c>
      <c r="K802">
        <v>0.2</v>
      </c>
      <c r="L802">
        <v>416.27</v>
      </c>
      <c r="M802" t="s">
        <v>1743</v>
      </c>
      <c r="N802" t="s">
        <v>494</v>
      </c>
      <c r="O802">
        <v>4.97</v>
      </c>
      <c r="P802">
        <v>5</v>
      </c>
      <c r="Q802">
        <v>4.91</v>
      </c>
      <c r="R802">
        <v>4.98</v>
      </c>
      <c r="S802">
        <v>155.69</v>
      </c>
      <c r="T802">
        <v>0.6</v>
      </c>
      <c r="U802" t="s">
        <v>102</v>
      </c>
    </row>
    <row r="803" spans="1:21">
      <c r="A803" t="str">
        <f>"002334"</f>
        <v>002334</v>
      </c>
      <c r="B803" t="s">
        <v>1744</v>
      </c>
      <c r="C803">
        <v>0.36</v>
      </c>
      <c r="D803">
        <v>8.28</v>
      </c>
      <c r="E803">
        <v>0.03</v>
      </c>
      <c r="F803">
        <v>8.27</v>
      </c>
      <c r="G803">
        <v>8.28</v>
      </c>
      <c r="H803">
        <v>349975</v>
      </c>
      <c r="I803">
        <v>4457</v>
      </c>
      <c r="J803">
        <v>0</v>
      </c>
      <c r="K803">
        <v>5.38</v>
      </c>
      <c r="L803">
        <v>28943.39</v>
      </c>
      <c r="M803" t="s">
        <v>1745</v>
      </c>
      <c r="N803" t="s">
        <v>47</v>
      </c>
      <c r="O803">
        <v>8.23</v>
      </c>
      <c r="P803">
        <v>8.4</v>
      </c>
      <c r="Q803">
        <v>8.16</v>
      </c>
      <c r="R803">
        <v>8.25</v>
      </c>
      <c r="S803">
        <v>28.64</v>
      </c>
      <c r="T803">
        <v>0.64</v>
      </c>
      <c r="U803" t="s">
        <v>24</v>
      </c>
    </row>
    <row r="804" spans="1:21">
      <c r="A804" t="str">
        <f>"002335"</f>
        <v>002335</v>
      </c>
      <c r="B804" t="s">
        <v>1746</v>
      </c>
      <c r="C804">
        <v>4.29</v>
      </c>
      <c r="D804">
        <v>44.7</v>
      </c>
      <c r="E804">
        <v>1.84</v>
      </c>
      <c r="F804">
        <v>44.69</v>
      </c>
      <c r="G804">
        <v>44.7</v>
      </c>
      <c r="H804">
        <v>226692</v>
      </c>
      <c r="I804">
        <v>3319</v>
      </c>
      <c r="J804">
        <v>0.09</v>
      </c>
      <c r="K804">
        <v>5.71</v>
      </c>
      <c r="L804">
        <v>100965.82</v>
      </c>
      <c r="M804" t="s">
        <v>1747</v>
      </c>
      <c r="N804" t="s">
        <v>47</v>
      </c>
      <c r="O804">
        <v>42.85</v>
      </c>
      <c r="P804">
        <v>45.7</v>
      </c>
      <c r="Q804">
        <v>42.55</v>
      </c>
      <c r="R804">
        <v>42.86</v>
      </c>
      <c r="S804">
        <v>54.41</v>
      </c>
      <c r="T804">
        <v>0.97</v>
      </c>
      <c r="U804" t="s">
        <v>339</v>
      </c>
    </row>
    <row r="805" spans="1:21">
      <c r="A805" t="str">
        <f>"002336"</f>
        <v>002336</v>
      </c>
      <c r="B805" t="s">
        <v>1748</v>
      </c>
      <c r="C805">
        <v>0.88</v>
      </c>
      <c r="D805">
        <v>4.59</v>
      </c>
      <c r="E805">
        <v>0.04</v>
      </c>
      <c r="F805">
        <v>4.59</v>
      </c>
      <c r="G805">
        <v>4.6</v>
      </c>
      <c r="H805">
        <v>10508</v>
      </c>
      <c r="I805">
        <v>126</v>
      </c>
      <c r="J805">
        <v>0</v>
      </c>
      <c r="K805">
        <v>0.28</v>
      </c>
      <c r="L805">
        <v>484.68</v>
      </c>
      <c r="M805" t="s">
        <v>1749</v>
      </c>
      <c r="N805" t="s">
        <v>707</v>
      </c>
      <c r="O805">
        <v>4.56</v>
      </c>
      <c r="P805">
        <v>4.67</v>
      </c>
      <c r="Q805">
        <v>4.47</v>
      </c>
      <c r="R805">
        <v>4.55</v>
      </c>
      <c r="S805" t="s">
        <v>40</v>
      </c>
      <c r="T805">
        <v>1.04</v>
      </c>
      <c r="U805" t="s">
        <v>24</v>
      </c>
    </row>
    <row r="806" spans="1:21">
      <c r="A806" t="str">
        <f>"002337"</f>
        <v>002337</v>
      </c>
      <c r="B806" t="s">
        <v>1750</v>
      </c>
      <c r="C806">
        <v>0.25</v>
      </c>
      <c r="D806">
        <v>4.02</v>
      </c>
      <c r="E806">
        <v>0.01</v>
      </c>
      <c r="F806">
        <v>4.02</v>
      </c>
      <c r="G806">
        <v>4.03</v>
      </c>
      <c r="H806">
        <v>124244</v>
      </c>
      <c r="I806">
        <v>1562</v>
      </c>
      <c r="J806">
        <v>-0.24</v>
      </c>
      <c r="K806">
        <v>2.11</v>
      </c>
      <c r="L806">
        <v>4963.98</v>
      </c>
      <c r="M806" t="s">
        <v>1751</v>
      </c>
      <c r="N806" t="s">
        <v>832</v>
      </c>
      <c r="O806">
        <v>4</v>
      </c>
      <c r="P806">
        <v>4.08</v>
      </c>
      <c r="Q806">
        <v>3.91</v>
      </c>
      <c r="R806">
        <v>4.01</v>
      </c>
      <c r="S806">
        <v>52.85</v>
      </c>
      <c r="T806">
        <v>0.45</v>
      </c>
      <c r="U806" t="s">
        <v>360</v>
      </c>
    </row>
    <row r="807" spans="1:21">
      <c r="A807" t="str">
        <f>"002338"</f>
        <v>002338</v>
      </c>
      <c r="B807" t="s">
        <v>1752</v>
      </c>
      <c r="C807">
        <v>1.08</v>
      </c>
      <c r="D807">
        <v>20.54</v>
      </c>
      <c r="E807">
        <v>0.22</v>
      </c>
      <c r="F807">
        <v>20.53</v>
      </c>
      <c r="G807">
        <v>20.54</v>
      </c>
      <c r="H807">
        <v>29740</v>
      </c>
      <c r="I807">
        <v>498</v>
      </c>
      <c r="J807">
        <v>0.05</v>
      </c>
      <c r="K807">
        <v>1.24</v>
      </c>
      <c r="L807">
        <v>6059.27</v>
      </c>
      <c r="M807" t="s">
        <v>1753</v>
      </c>
      <c r="N807" t="s">
        <v>1028</v>
      </c>
      <c r="O807">
        <v>20.39</v>
      </c>
      <c r="P807">
        <v>20.58</v>
      </c>
      <c r="Q807">
        <v>20.08</v>
      </c>
      <c r="R807">
        <v>20.32</v>
      </c>
      <c r="S807">
        <v>79.12</v>
      </c>
      <c r="T807">
        <v>0.65</v>
      </c>
      <c r="U807" t="s">
        <v>92</v>
      </c>
    </row>
    <row r="808" spans="1:21">
      <c r="A808" t="str">
        <f>"002339"</f>
        <v>002339</v>
      </c>
      <c r="B808" t="s">
        <v>1754</v>
      </c>
      <c r="C808">
        <v>0.43</v>
      </c>
      <c r="D808">
        <v>6.99</v>
      </c>
      <c r="E808">
        <v>0.03</v>
      </c>
      <c r="F808">
        <v>6.99</v>
      </c>
      <c r="G808">
        <v>7</v>
      </c>
      <c r="H808">
        <v>141814</v>
      </c>
      <c r="I808">
        <v>1769</v>
      </c>
      <c r="J808">
        <v>-0.13</v>
      </c>
      <c r="K808">
        <v>2.95</v>
      </c>
      <c r="L808">
        <v>9906.01</v>
      </c>
      <c r="M808" t="s">
        <v>1755</v>
      </c>
      <c r="N808" t="s">
        <v>47</v>
      </c>
      <c r="O808">
        <v>7.01</v>
      </c>
      <c r="P808">
        <v>7.06</v>
      </c>
      <c r="Q808">
        <v>6.89</v>
      </c>
      <c r="R808">
        <v>6.96</v>
      </c>
      <c r="S808" t="s">
        <v>40</v>
      </c>
      <c r="T808">
        <v>0.98</v>
      </c>
      <c r="U808" t="s">
        <v>221</v>
      </c>
    </row>
    <row r="809" spans="1:21">
      <c r="A809" t="str">
        <f>"002340"</f>
        <v>002340</v>
      </c>
      <c r="B809" t="s">
        <v>1756</v>
      </c>
      <c r="C809">
        <v>0.38</v>
      </c>
      <c r="D809">
        <v>10.48</v>
      </c>
      <c r="E809">
        <v>0.04</v>
      </c>
      <c r="F809">
        <v>10.47</v>
      </c>
      <c r="G809">
        <v>10.48</v>
      </c>
      <c r="H809">
        <v>1364661</v>
      </c>
      <c r="I809">
        <v>54109</v>
      </c>
      <c r="J809">
        <v>0.1</v>
      </c>
      <c r="K809">
        <v>2.87</v>
      </c>
      <c r="L809">
        <v>142548.02</v>
      </c>
      <c r="M809" t="s">
        <v>1757</v>
      </c>
      <c r="N809" t="s">
        <v>523</v>
      </c>
      <c r="O809">
        <v>10.49</v>
      </c>
      <c r="P809">
        <v>10.57</v>
      </c>
      <c r="Q809">
        <v>10.3</v>
      </c>
      <c r="R809">
        <v>10.44</v>
      </c>
      <c r="S809">
        <v>52.48</v>
      </c>
      <c r="T809">
        <v>1.17</v>
      </c>
      <c r="U809" t="s">
        <v>24</v>
      </c>
    </row>
    <row r="810" spans="1:21">
      <c r="A810" t="str">
        <f>"002341"</f>
        <v>002341</v>
      </c>
      <c r="B810" t="s">
        <v>1758</v>
      </c>
      <c r="C810">
        <v>3.11</v>
      </c>
      <c r="D810">
        <v>6.29</v>
      </c>
      <c r="E810">
        <v>0.19</v>
      </c>
      <c r="F810">
        <v>6.28</v>
      </c>
      <c r="G810">
        <v>6.29</v>
      </c>
      <c r="H810">
        <v>528364</v>
      </c>
      <c r="I810">
        <v>4996</v>
      </c>
      <c r="J810">
        <v>-0.46</v>
      </c>
      <c r="K810">
        <v>5.93</v>
      </c>
      <c r="L810">
        <v>33807.75</v>
      </c>
      <c r="M810" t="s">
        <v>1759</v>
      </c>
      <c r="N810" t="s">
        <v>309</v>
      </c>
      <c r="O810">
        <v>6.1</v>
      </c>
      <c r="P810">
        <v>6.71</v>
      </c>
      <c r="Q810">
        <v>6.1</v>
      </c>
      <c r="R810">
        <v>6.1</v>
      </c>
      <c r="S810" t="s">
        <v>40</v>
      </c>
      <c r="T810">
        <v>1.86</v>
      </c>
      <c r="U810" t="s">
        <v>24</v>
      </c>
    </row>
    <row r="811" spans="1:21">
      <c r="A811" t="str">
        <f>"002342"</f>
        <v>002342</v>
      </c>
      <c r="B811" t="s">
        <v>1760</v>
      </c>
      <c r="C811">
        <v>-2.48</v>
      </c>
      <c r="D811">
        <v>4.33</v>
      </c>
      <c r="E811">
        <v>-0.11</v>
      </c>
      <c r="F811">
        <v>4.33</v>
      </c>
      <c r="G811">
        <v>4.34</v>
      </c>
      <c r="H811">
        <v>655380</v>
      </c>
      <c r="I811">
        <v>10857</v>
      </c>
      <c r="J811">
        <v>-0.22</v>
      </c>
      <c r="K811">
        <v>7.44</v>
      </c>
      <c r="L811">
        <v>28371.56</v>
      </c>
      <c r="M811" t="s">
        <v>1761</v>
      </c>
      <c r="N811" t="s">
        <v>347</v>
      </c>
      <c r="O811">
        <v>4.33</v>
      </c>
      <c r="P811">
        <v>4.43</v>
      </c>
      <c r="Q811">
        <v>4.25</v>
      </c>
      <c r="R811">
        <v>4.44</v>
      </c>
      <c r="S811">
        <v>162.64</v>
      </c>
      <c r="T811">
        <v>2.97</v>
      </c>
      <c r="U811" t="s">
        <v>207</v>
      </c>
    </row>
    <row r="812" spans="1:21">
      <c r="A812" t="str">
        <f>"002343"</f>
        <v>002343</v>
      </c>
      <c r="B812" t="s">
        <v>1762</v>
      </c>
      <c r="C812">
        <v>0.81</v>
      </c>
      <c r="D812">
        <v>4.99</v>
      </c>
      <c r="E812">
        <v>0.04</v>
      </c>
      <c r="F812">
        <v>4.99</v>
      </c>
      <c r="G812">
        <v>5</v>
      </c>
      <c r="H812">
        <v>47653</v>
      </c>
      <c r="I812">
        <v>875</v>
      </c>
      <c r="J812">
        <v>0.2</v>
      </c>
      <c r="K812">
        <v>1.01</v>
      </c>
      <c r="L812">
        <v>2382.96</v>
      </c>
      <c r="M812" t="s">
        <v>1763</v>
      </c>
      <c r="N812" t="s">
        <v>199</v>
      </c>
      <c r="O812">
        <v>4.99</v>
      </c>
      <c r="P812">
        <v>5.05</v>
      </c>
      <c r="Q812">
        <v>4.91</v>
      </c>
      <c r="R812">
        <v>4.95</v>
      </c>
      <c r="S812">
        <v>219.43</v>
      </c>
      <c r="T812">
        <v>0.83</v>
      </c>
      <c r="U812" t="s">
        <v>200</v>
      </c>
    </row>
    <row r="813" spans="1:21">
      <c r="A813" t="str">
        <f>"002344"</f>
        <v>002344</v>
      </c>
      <c r="B813" t="s">
        <v>1764</v>
      </c>
      <c r="C813">
        <v>-2.66</v>
      </c>
      <c r="D813">
        <v>4.76</v>
      </c>
      <c r="E813">
        <v>-0.13</v>
      </c>
      <c r="F813">
        <v>4.76</v>
      </c>
      <c r="G813">
        <v>4.77</v>
      </c>
      <c r="H813">
        <v>239070</v>
      </c>
      <c r="I813">
        <v>4510</v>
      </c>
      <c r="J813">
        <v>0</v>
      </c>
      <c r="K813">
        <v>1.87</v>
      </c>
      <c r="L813">
        <v>11438.08</v>
      </c>
      <c r="M813" t="s">
        <v>1765</v>
      </c>
      <c r="N813" t="s">
        <v>137</v>
      </c>
      <c r="O813">
        <v>4.84</v>
      </c>
      <c r="P813">
        <v>4.94</v>
      </c>
      <c r="Q813">
        <v>4.72</v>
      </c>
      <c r="R813">
        <v>4.89</v>
      </c>
      <c r="S813">
        <v>18.47</v>
      </c>
      <c r="T813">
        <v>0.93</v>
      </c>
      <c r="U813" t="s">
        <v>200</v>
      </c>
    </row>
    <row r="814" spans="1:21">
      <c r="A814" t="str">
        <f>"002345"</f>
        <v>002345</v>
      </c>
      <c r="B814" t="s">
        <v>1766</v>
      </c>
      <c r="C814">
        <v>0.4</v>
      </c>
      <c r="D814">
        <v>5.01</v>
      </c>
      <c r="E814">
        <v>0.02</v>
      </c>
      <c r="F814">
        <v>5</v>
      </c>
      <c r="G814">
        <v>5.01</v>
      </c>
      <c r="H814">
        <v>119234</v>
      </c>
      <c r="I814">
        <v>1451</v>
      </c>
      <c r="J814">
        <v>0</v>
      </c>
      <c r="K814">
        <v>1.35</v>
      </c>
      <c r="L814">
        <v>5932.17</v>
      </c>
      <c r="M814" t="s">
        <v>1767</v>
      </c>
      <c r="N814" t="s">
        <v>1061</v>
      </c>
      <c r="O814">
        <v>4.97</v>
      </c>
      <c r="P814">
        <v>5.05</v>
      </c>
      <c r="Q814">
        <v>4.88</v>
      </c>
      <c r="R814">
        <v>4.99</v>
      </c>
      <c r="S814">
        <v>11.93</v>
      </c>
      <c r="T814">
        <v>0.69</v>
      </c>
      <c r="U814" t="s">
        <v>183</v>
      </c>
    </row>
    <row r="815" spans="1:21">
      <c r="A815" t="str">
        <f>"002346"</f>
        <v>002346</v>
      </c>
      <c r="B815" t="s">
        <v>1768</v>
      </c>
      <c r="C815">
        <v>-1.99</v>
      </c>
      <c r="D815">
        <v>19.25</v>
      </c>
      <c r="E815">
        <v>-0.39</v>
      </c>
      <c r="F815">
        <v>19.25</v>
      </c>
      <c r="G815">
        <v>19.26</v>
      </c>
      <c r="H815">
        <v>47967</v>
      </c>
      <c r="I815">
        <v>430</v>
      </c>
      <c r="J815">
        <v>-0.09</v>
      </c>
      <c r="K815">
        <v>1.22</v>
      </c>
      <c r="L815">
        <v>9258.6</v>
      </c>
      <c r="M815" t="s">
        <v>1769</v>
      </c>
      <c r="N815" t="s">
        <v>47</v>
      </c>
      <c r="O815">
        <v>19.4</v>
      </c>
      <c r="P815">
        <v>19.59</v>
      </c>
      <c r="Q815">
        <v>19.15</v>
      </c>
      <c r="R815">
        <v>19.64</v>
      </c>
      <c r="S815">
        <v>19.79</v>
      </c>
      <c r="T815">
        <v>1</v>
      </c>
      <c r="U815" t="s">
        <v>848</v>
      </c>
    </row>
    <row r="816" spans="1:21">
      <c r="A816" t="str">
        <f>"002347"</f>
        <v>002347</v>
      </c>
      <c r="B816" t="s">
        <v>1770</v>
      </c>
      <c r="C816">
        <v>2.53</v>
      </c>
      <c r="D816">
        <v>4.45</v>
      </c>
      <c r="E816">
        <v>0.11</v>
      </c>
      <c r="F816">
        <v>4.44</v>
      </c>
      <c r="G816">
        <v>4.45</v>
      </c>
      <c r="H816">
        <v>62480</v>
      </c>
      <c r="I816">
        <v>1973</v>
      </c>
      <c r="J816">
        <v>0</v>
      </c>
      <c r="K816">
        <v>1.97</v>
      </c>
      <c r="L816">
        <v>2751.84</v>
      </c>
      <c r="M816" t="s">
        <v>608</v>
      </c>
      <c r="N816" t="s">
        <v>347</v>
      </c>
      <c r="O816">
        <v>4.34</v>
      </c>
      <c r="P816">
        <v>4.48</v>
      </c>
      <c r="Q816">
        <v>4.3</v>
      </c>
      <c r="R816">
        <v>4.34</v>
      </c>
      <c r="S816">
        <v>91.25</v>
      </c>
      <c r="T816">
        <v>1.18</v>
      </c>
      <c r="U816" t="s">
        <v>193</v>
      </c>
    </row>
    <row r="817" spans="1:21">
      <c r="A817" t="str">
        <f>"002348"</f>
        <v>002348</v>
      </c>
      <c r="B817" t="s">
        <v>1771</v>
      </c>
      <c r="C817">
        <v>0.5</v>
      </c>
      <c r="D817">
        <v>2.01</v>
      </c>
      <c r="E817">
        <v>0.01</v>
      </c>
      <c r="F817">
        <v>2</v>
      </c>
      <c r="G817">
        <v>2.01</v>
      </c>
      <c r="H817">
        <v>138353</v>
      </c>
      <c r="I817">
        <v>1240</v>
      </c>
      <c r="J817">
        <v>0.5</v>
      </c>
      <c r="K817">
        <v>1.62</v>
      </c>
      <c r="L817">
        <v>2754.42</v>
      </c>
      <c r="M817" t="s">
        <v>1772</v>
      </c>
      <c r="N817" t="s">
        <v>63</v>
      </c>
      <c r="O817">
        <v>2</v>
      </c>
      <c r="P817">
        <v>2.01</v>
      </c>
      <c r="Q817">
        <v>1.97</v>
      </c>
      <c r="R817">
        <v>2</v>
      </c>
      <c r="S817" t="s">
        <v>40</v>
      </c>
      <c r="T817">
        <v>0.54</v>
      </c>
      <c r="U817" t="s">
        <v>183</v>
      </c>
    </row>
    <row r="818" spans="1:21">
      <c r="A818" t="str">
        <f>"002349"</f>
        <v>002349</v>
      </c>
      <c r="B818" t="s">
        <v>1773</v>
      </c>
      <c r="C818">
        <v>-0.7</v>
      </c>
      <c r="D818">
        <v>5.69</v>
      </c>
      <c r="E818">
        <v>-0.04</v>
      </c>
      <c r="F818">
        <v>5.69</v>
      </c>
      <c r="G818">
        <v>5.7</v>
      </c>
      <c r="H818">
        <v>112694</v>
      </c>
      <c r="I818">
        <v>541</v>
      </c>
      <c r="J818">
        <v>-0.17</v>
      </c>
      <c r="K818">
        <v>1.35</v>
      </c>
      <c r="L818">
        <v>6382.89</v>
      </c>
      <c r="M818" t="s">
        <v>1774</v>
      </c>
      <c r="N818" t="s">
        <v>270</v>
      </c>
      <c r="O818">
        <v>5.74</v>
      </c>
      <c r="P818">
        <v>5.74</v>
      </c>
      <c r="Q818">
        <v>5.59</v>
      </c>
      <c r="R818">
        <v>5.73</v>
      </c>
      <c r="S818">
        <v>27.78</v>
      </c>
      <c r="T818">
        <v>0.69</v>
      </c>
      <c r="U818" t="s">
        <v>102</v>
      </c>
    </row>
    <row r="819" spans="1:21">
      <c r="A819" t="str">
        <f>"002350"</f>
        <v>002350</v>
      </c>
      <c r="B819" t="s">
        <v>1775</v>
      </c>
      <c r="C819">
        <v>3.41</v>
      </c>
      <c r="D819">
        <v>8.48</v>
      </c>
      <c r="E819">
        <v>0.28</v>
      </c>
      <c r="F819">
        <v>8.48</v>
      </c>
      <c r="G819">
        <v>8.49</v>
      </c>
      <c r="H819">
        <v>708862</v>
      </c>
      <c r="I819">
        <v>4998</v>
      </c>
      <c r="J819">
        <v>0.24</v>
      </c>
      <c r="K819">
        <v>13.52</v>
      </c>
      <c r="L819">
        <v>58524.65</v>
      </c>
      <c r="M819" t="s">
        <v>1776</v>
      </c>
      <c r="N819" t="s">
        <v>47</v>
      </c>
      <c r="O819">
        <v>8.17</v>
      </c>
      <c r="P819">
        <v>8.8</v>
      </c>
      <c r="Q819">
        <v>7.82</v>
      </c>
      <c r="R819">
        <v>8.2</v>
      </c>
      <c r="S819">
        <v>119</v>
      </c>
      <c r="T819">
        <v>3.01</v>
      </c>
      <c r="U819" t="s">
        <v>44</v>
      </c>
    </row>
    <row r="820" spans="1:21">
      <c r="A820" t="str">
        <f>"002351"</f>
        <v>002351</v>
      </c>
      <c r="B820" t="s">
        <v>1777</v>
      </c>
      <c r="C820">
        <v>1.73</v>
      </c>
      <c r="D820">
        <v>12.33</v>
      </c>
      <c r="E820">
        <v>0.21</v>
      </c>
      <c r="F820">
        <v>12.33</v>
      </c>
      <c r="G820">
        <v>12.34</v>
      </c>
      <c r="H820">
        <v>87217</v>
      </c>
      <c r="I820">
        <v>880</v>
      </c>
      <c r="J820">
        <v>-0.15</v>
      </c>
      <c r="K820">
        <v>1.82</v>
      </c>
      <c r="L820">
        <v>10797.04</v>
      </c>
      <c r="M820" t="s">
        <v>1778</v>
      </c>
      <c r="N820" t="s">
        <v>72</v>
      </c>
      <c r="O820">
        <v>12.07</v>
      </c>
      <c r="P820">
        <v>12.55</v>
      </c>
      <c r="Q820">
        <v>12.05</v>
      </c>
      <c r="R820">
        <v>12.12</v>
      </c>
      <c r="S820">
        <v>32.35</v>
      </c>
      <c r="T820">
        <v>0.84</v>
      </c>
      <c r="U820" t="s">
        <v>24</v>
      </c>
    </row>
    <row r="821" spans="1:21">
      <c r="A821" t="str">
        <f>"002352"</f>
        <v>002352</v>
      </c>
      <c r="B821" t="s">
        <v>1779</v>
      </c>
      <c r="C821">
        <v>3.18</v>
      </c>
      <c r="D821">
        <v>67.42</v>
      </c>
      <c r="E821">
        <v>2.08</v>
      </c>
      <c r="F821">
        <v>67.42</v>
      </c>
      <c r="G821">
        <v>67.53</v>
      </c>
      <c r="H821">
        <v>346260</v>
      </c>
      <c r="I821">
        <v>8626</v>
      </c>
      <c r="J821">
        <v>-0.68</v>
      </c>
      <c r="K821">
        <v>0.77</v>
      </c>
      <c r="L821">
        <v>235664.26</v>
      </c>
      <c r="M821" t="s">
        <v>1780</v>
      </c>
      <c r="N821" t="s">
        <v>1049</v>
      </c>
      <c r="O821">
        <v>66</v>
      </c>
      <c r="P821">
        <v>69.85</v>
      </c>
      <c r="Q821">
        <v>65.51</v>
      </c>
      <c r="R821">
        <v>65.34</v>
      </c>
      <c r="S821">
        <v>138</v>
      </c>
      <c r="T821">
        <v>2.01</v>
      </c>
      <c r="U821" t="s">
        <v>24</v>
      </c>
    </row>
    <row r="822" spans="1:21">
      <c r="A822" t="str">
        <f>"002353"</f>
        <v>002353</v>
      </c>
      <c r="B822" t="s">
        <v>1781</v>
      </c>
      <c r="C822">
        <v>-0.45</v>
      </c>
      <c r="D822">
        <v>39.81</v>
      </c>
      <c r="E822">
        <v>-0.18</v>
      </c>
      <c r="F822">
        <v>39.81</v>
      </c>
      <c r="G822">
        <v>39.88</v>
      </c>
      <c r="H822">
        <v>109221</v>
      </c>
      <c r="I822">
        <v>1159</v>
      </c>
      <c r="J822">
        <v>0.03</v>
      </c>
      <c r="K822">
        <v>1.76</v>
      </c>
      <c r="L822">
        <v>43570.68</v>
      </c>
      <c r="M822" t="s">
        <v>1782</v>
      </c>
      <c r="N822" t="s">
        <v>832</v>
      </c>
      <c r="O822">
        <v>39.83</v>
      </c>
      <c r="P822">
        <v>40.5</v>
      </c>
      <c r="Q822">
        <v>39.53</v>
      </c>
      <c r="R822">
        <v>39.99</v>
      </c>
      <c r="S822">
        <v>24.95</v>
      </c>
      <c r="T822">
        <v>1.66</v>
      </c>
      <c r="U822" t="s">
        <v>221</v>
      </c>
    </row>
    <row r="823" spans="1:21">
      <c r="A823" t="str">
        <f>"002354"</f>
        <v>002354</v>
      </c>
      <c r="B823" t="s">
        <v>1783</v>
      </c>
      <c r="C823">
        <v>-1.13</v>
      </c>
      <c r="D823">
        <v>3.49</v>
      </c>
      <c r="E823">
        <v>-0.04</v>
      </c>
      <c r="F823">
        <v>3.49</v>
      </c>
      <c r="G823">
        <v>3.5</v>
      </c>
      <c r="H823">
        <v>327544</v>
      </c>
      <c r="I823">
        <v>3936</v>
      </c>
      <c r="J823">
        <v>-0.28</v>
      </c>
      <c r="K823">
        <v>2.24</v>
      </c>
      <c r="L823">
        <v>11592.84</v>
      </c>
      <c r="M823" t="s">
        <v>1784</v>
      </c>
      <c r="N823" t="s">
        <v>479</v>
      </c>
      <c r="O823">
        <v>3.53</v>
      </c>
      <c r="P823">
        <v>3.62</v>
      </c>
      <c r="Q823">
        <v>3.49</v>
      </c>
      <c r="R823">
        <v>3.53</v>
      </c>
      <c r="S823">
        <v>163.43</v>
      </c>
      <c r="T823">
        <v>0.53</v>
      </c>
      <c r="U823" t="s">
        <v>141</v>
      </c>
    </row>
    <row r="824" spans="1:21">
      <c r="A824" t="str">
        <f>"002355"</f>
        <v>002355</v>
      </c>
      <c r="B824" t="s">
        <v>1785</v>
      </c>
      <c r="C824">
        <v>0.92</v>
      </c>
      <c r="D824">
        <v>5.51</v>
      </c>
      <c r="E824">
        <v>0.05</v>
      </c>
      <c r="F824">
        <v>5.51</v>
      </c>
      <c r="G824">
        <v>5.52</v>
      </c>
      <c r="H824">
        <v>24323</v>
      </c>
      <c r="I824">
        <v>209</v>
      </c>
      <c r="J824">
        <v>-0.17</v>
      </c>
      <c r="K824">
        <v>0.39</v>
      </c>
      <c r="L824">
        <v>1336.99</v>
      </c>
      <c r="M824" t="s">
        <v>1786</v>
      </c>
      <c r="N824" t="s">
        <v>91</v>
      </c>
      <c r="O824">
        <v>5.48</v>
      </c>
      <c r="P824">
        <v>5.55</v>
      </c>
      <c r="Q824">
        <v>5.42</v>
      </c>
      <c r="R824">
        <v>5.46</v>
      </c>
      <c r="S824" t="s">
        <v>40</v>
      </c>
      <c r="T824">
        <v>0.49</v>
      </c>
      <c r="U824" t="s">
        <v>221</v>
      </c>
    </row>
    <row r="825" spans="1:21">
      <c r="A825" t="str">
        <f>"002356"</f>
        <v>002356</v>
      </c>
      <c r="B825" t="s">
        <v>1787</v>
      </c>
      <c r="C825">
        <v>-1.79</v>
      </c>
      <c r="D825">
        <v>3.84</v>
      </c>
      <c r="E825">
        <v>-0.07</v>
      </c>
      <c r="F825">
        <v>3.84</v>
      </c>
      <c r="G825">
        <v>3.85</v>
      </c>
      <c r="H825">
        <v>116267</v>
      </c>
      <c r="I825">
        <v>1172</v>
      </c>
      <c r="J825">
        <v>0</v>
      </c>
      <c r="K825">
        <v>2.21</v>
      </c>
      <c r="L825">
        <v>4500.23</v>
      </c>
      <c r="M825" t="s">
        <v>1788</v>
      </c>
      <c r="N825" t="s">
        <v>66</v>
      </c>
      <c r="O825">
        <v>3.93</v>
      </c>
      <c r="P825">
        <v>3.94</v>
      </c>
      <c r="Q825">
        <v>3.82</v>
      </c>
      <c r="R825">
        <v>3.91</v>
      </c>
      <c r="S825" t="s">
        <v>40</v>
      </c>
      <c r="T825">
        <v>0.68</v>
      </c>
      <c r="U825" t="s">
        <v>24</v>
      </c>
    </row>
    <row r="826" spans="1:21">
      <c r="A826" t="str">
        <f>"002357"</f>
        <v>002357</v>
      </c>
      <c r="B826" t="s">
        <v>1789</v>
      </c>
      <c r="C826">
        <v>1.01</v>
      </c>
      <c r="D826">
        <v>4.99</v>
      </c>
      <c r="E826">
        <v>0.05</v>
      </c>
      <c r="F826">
        <v>4.99</v>
      </c>
      <c r="G826">
        <v>5</v>
      </c>
      <c r="H826">
        <v>21275</v>
      </c>
      <c r="I826">
        <v>175</v>
      </c>
      <c r="J826">
        <v>-0.19</v>
      </c>
      <c r="K826">
        <v>0.68</v>
      </c>
      <c r="L826">
        <v>1057.2</v>
      </c>
      <c r="M826" t="s">
        <v>1790</v>
      </c>
      <c r="N826" t="s">
        <v>1791</v>
      </c>
      <c r="O826">
        <v>4.95</v>
      </c>
      <c r="P826">
        <v>5.02</v>
      </c>
      <c r="Q826">
        <v>4.89</v>
      </c>
      <c r="R826">
        <v>4.94</v>
      </c>
      <c r="S826">
        <v>13.05</v>
      </c>
      <c r="T826">
        <v>0.52</v>
      </c>
      <c r="U826" t="s">
        <v>196</v>
      </c>
    </row>
    <row r="827" spans="1:21">
      <c r="A827" t="str">
        <f>"002358"</f>
        <v>002358</v>
      </c>
      <c r="B827" t="s">
        <v>1792</v>
      </c>
      <c r="C827">
        <v>5.09</v>
      </c>
      <c r="D827">
        <v>2.89</v>
      </c>
      <c r="E827">
        <v>0.14</v>
      </c>
      <c r="F827">
        <v>2.89</v>
      </c>
      <c r="G827" t="s">
        <v>40</v>
      </c>
      <c r="H827">
        <v>315026</v>
      </c>
      <c r="I827">
        <v>479</v>
      </c>
      <c r="J827">
        <v>0</v>
      </c>
      <c r="K827">
        <v>3.46</v>
      </c>
      <c r="L827">
        <v>8989.4</v>
      </c>
      <c r="M827" t="s">
        <v>1793</v>
      </c>
      <c r="N827" t="s">
        <v>47</v>
      </c>
      <c r="O827">
        <v>2.74</v>
      </c>
      <c r="P827">
        <v>2.89</v>
      </c>
      <c r="Q827">
        <v>2.74</v>
      </c>
      <c r="R827">
        <v>2.75</v>
      </c>
      <c r="S827" t="s">
        <v>40</v>
      </c>
      <c r="T827">
        <v>3.23</v>
      </c>
      <c r="U827" t="s">
        <v>224</v>
      </c>
    </row>
    <row r="828" spans="1:21">
      <c r="A828" t="str">
        <f>"002360"</f>
        <v>002360</v>
      </c>
      <c r="B828" t="s">
        <v>1794</v>
      </c>
      <c r="C828">
        <v>0.12</v>
      </c>
      <c r="D828">
        <v>8.45</v>
      </c>
      <c r="E828">
        <v>0.01</v>
      </c>
      <c r="F828">
        <v>8.43</v>
      </c>
      <c r="G828">
        <v>8.45</v>
      </c>
      <c r="H828">
        <v>45863</v>
      </c>
      <c r="I828">
        <v>431</v>
      </c>
      <c r="J828">
        <v>0</v>
      </c>
      <c r="K828">
        <v>1.48</v>
      </c>
      <c r="L828">
        <v>3859.99</v>
      </c>
      <c r="M828" t="s">
        <v>1795</v>
      </c>
      <c r="N828" t="s">
        <v>309</v>
      </c>
      <c r="O828">
        <v>8.44</v>
      </c>
      <c r="P828">
        <v>8.51</v>
      </c>
      <c r="Q828">
        <v>8.33</v>
      </c>
      <c r="R828">
        <v>8.44</v>
      </c>
      <c r="S828">
        <v>26.31</v>
      </c>
      <c r="T828">
        <v>0.81</v>
      </c>
      <c r="U828" t="s">
        <v>232</v>
      </c>
    </row>
    <row r="829" spans="1:21">
      <c r="A829" t="str">
        <f>"002361"</f>
        <v>002361</v>
      </c>
      <c r="B829" t="s">
        <v>1796</v>
      </c>
      <c r="C829">
        <v>0.76</v>
      </c>
      <c r="D829">
        <v>5.33</v>
      </c>
      <c r="E829">
        <v>0.04</v>
      </c>
      <c r="F829">
        <v>5.33</v>
      </c>
      <c r="G829">
        <v>5.34</v>
      </c>
      <c r="H829">
        <v>97076</v>
      </c>
      <c r="I829">
        <v>1894</v>
      </c>
      <c r="J829">
        <v>-0.18</v>
      </c>
      <c r="K829">
        <v>1.45</v>
      </c>
      <c r="L829">
        <v>5170.77</v>
      </c>
      <c r="M829" t="s">
        <v>1797</v>
      </c>
      <c r="N829" t="s">
        <v>309</v>
      </c>
      <c r="O829">
        <v>5.3</v>
      </c>
      <c r="P829">
        <v>5.38</v>
      </c>
      <c r="Q829">
        <v>5.24</v>
      </c>
      <c r="R829">
        <v>5.29</v>
      </c>
      <c r="S829">
        <v>39.71</v>
      </c>
      <c r="T829">
        <v>1.08</v>
      </c>
      <c r="U829" t="s">
        <v>193</v>
      </c>
    </row>
    <row r="830" spans="1:21">
      <c r="A830" t="str">
        <f>"002362"</f>
        <v>002362</v>
      </c>
      <c r="B830" t="s">
        <v>1798</v>
      </c>
      <c r="C830">
        <v>0.49</v>
      </c>
      <c r="D830">
        <v>16.31</v>
      </c>
      <c r="E830">
        <v>0.08</v>
      </c>
      <c r="F830">
        <v>16.3</v>
      </c>
      <c r="G830">
        <v>16.31</v>
      </c>
      <c r="H830">
        <v>22438</v>
      </c>
      <c r="I830">
        <v>266</v>
      </c>
      <c r="J830">
        <v>-0.05</v>
      </c>
      <c r="K830">
        <v>1.09</v>
      </c>
      <c r="L830">
        <v>3650.43</v>
      </c>
      <c r="M830" t="s">
        <v>1799</v>
      </c>
      <c r="N830" t="s">
        <v>30</v>
      </c>
      <c r="O830">
        <v>16.23</v>
      </c>
      <c r="P830">
        <v>16.36</v>
      </c>
      <c r="Q830">
        <v>16.13</v>
      </c>
      <c r="R830">
        <v>16.23</v>
      </c>
      <c r="S830">
        <v>74.7</v>
      </c>
      <c r="T830">
        <v>1.06</v>
      </c>
      <c r="U830" t="s">
        <v>44</v>
      </c>
    </row>
    <row r="831" spans="1:21">
      <c r="A831" t="str">
        <f>"002363"</f>
        <v>002363</v>
      </c>
      <c r="B831" t="s">
        <v>1800</v>
      </c>
      <c r="C831">
        <v>2.63</v>
      </c>
      <c r="D831">
        <v>5.46</v>
      </c>
      <c r="E831">
        <v>0.14</v>
      </c>
      <c r="F831">
        <v>5.46</v>
      </c>
      <c r="G831">
        <v>5.47</v>
      </c>
      <c r="H831">
        <v>76277</v>
      </c>
      <c r="I831">
        <v>277</v>
      </c>
      <c r="J831">
        <v>-0.17</v>
      </c>
      <c r="K831">
        <v>1.83</v>
      </c>
      <c r="L831">
        <v>4165.73</v>
      </c>
      <c r="M831" t="s">
        <v>1801</v>
      </c>
      <c r="N831" t="s">
        <v>91</v>
      </c>
      <c r="O831">
        <v>5.31</v>
      </c>
      <c r="P831">
        <v>5.58</v>
      </c>
      <c r="Q831">
        <v>5.3</v>
      </c>
      <c r="R831">
        <v>5.32</v>
      </c>
      <c r="S831">
        <v>58.18</v>
      </c>
      <c r="T831">
        <v>1.51</v>
      </c>
      <c r="U831" t="s">
        <v>221</v>
      </c>
    </row>
    <row r="832" spans="1:21">
      <c r="A832" t="str">
        <f>"002364"</f>
        <v>002364</v>
      </c>
      <c r="B832" t="s">
        <v>1802</v>
      </c>
      <c r="C832">
        <v>0.96</v>
      </c>
      <c r="D832">
        <v>9.51</v>
      </c>
      <c r="E832">
        <v>0.09</v>
      </c>
      <c r="F832">
        <v>9.5</v>
      </c>
      <c r="G832">
        <v>9.51</v>
      </c>
      <c r="H832">
        <v>88279</v>
      </c>
      <c r="I832">
        <v>916</v>
      </c>
      <c r="J832">
        <v>0.11</v>
      </c>
      <c r="K832">
        <v>1.66</v>
      </c>
      <c r="L832">
        <v>8374.26</v>
      </c>
      <c r="M832" t="s">
        <v>1803</v>
      </c>
      <c r="N832" t="s">
        <v>47</v>
      </c>
      <c r="O832">
        <v>9.42</v>
      </c>
      <c r="P832">
        <v>9.64</v>
      </c>
      <c r="Q832">
        <v>9.36</v>
      </c>
      <c r="R832">
        <v>9.42</v>
      </c>
      <c r="S832">
        <v>53.2</v>
      </c>
      <c r="T832">
        <v>0.88</v>
      </c>
      <c r="U832" t="s">
        <v>200</v>
      </c>
    </row>
    <row r="833" spans="1:21">
      <c r="A833" t="str">
        <f>"002365"</f>
        <v>002365</v>
      </c>
      <c r="B833" t="s">
        <v>1804</v>
      </c>
      <c r="C833">
        <v>2.81</v>
      </c>
      <c r="D833">
        <v>9.52</v>
      </c>
      <c r="E833">
        <v>0.26</v>
      </c>
      <c r="F833">
        <v>9.51</v>
      </c>
      <c r="G833">
        <v>9.52</v>
      </c>
      <c r="H833">
        <v>30332</v>
      </c>
      <c r="I833">
        <v>638</v>
      </c>
      <c r="J833">
        <v>0.21</v>
      </c>
      <c r="K833">
        <v>1.25</v>
      </c>
      <c r="L833">
        <v>2869.93</v>
      </c>
      <c r="M833" t="s">
        <v>1805</v>
      </c>
      <c r="N833" t="s">
        <v>192</v>
      </c>
      <c r="O833">
        <v>9.26</v>
      </c>
      <c r="P833">
        <v>9.56</v>
      </c>
      <c r="Q833">
        <v>9.22</v>
      </c>
      <c r="R833">
        <v>9.26</v>
      </c>
      <c r="S833">
        <v>25.53</v>
      </c>
      <c r="T833">
        <v>1.34</v>
      </c>
      <c r="U833" t="s">
        <v>267</v>
      </c>
    </row>
    <row r="834" spans="1:21">
      <c r="A834" t="str">
        <f>"002366"</f>
        <v>002366</v>
      </c>
      <c r="B834" t="s">
        <v>1806</v>
      </c>
      <c r="C834">
        <v>1.24</v>
      </c>
      <c r="D834">
        <v>4.07</v>
      </c>
      <c r="E834">
        <v>0.05</v>
      </c>
      <c r="F834">
        <v>4.07</v>
      </c>
      <c r="G834">
        <v>4.08</v>
      </c>
      <c r="H834">
        <v>205832</v>
      </c>
      <c r="I834">
        <v>2352</v>
      </c>
      <c r="J834">
        <v>0</v>
      </c>
      <c r="K834">
        <v>3.4</v>
      </c>
      <c r="L834">
        <v>8308.21</v>
      </c>
      <c r="M834" t="s">
        <v>1807</v>
      </c>
      <c r="N834" t="s">
        <v>324</v>
      </c>
      <c r="O834">
        <v>3.98</v>
      </c>
      <c r="P834">
        <v>4.08</v>
      </c>
      <c r="Q834">
        <v>3.95</v>
      </c>
      <c r="R834">
        <v>4.02</v>
      </c>
      <c r="S834" t="s">
        <v>40</v>
      </c>
      <c r="T834">
        <v>0.83</v>
      </c>
      <c r="U834" t="s">
        <v>196</v>
      </c>
    </row>
    <row r="835" spans="1:21">
      <c r="A835" t="str">
        <f>"002367"</f>
        <v>002367</v>
      </c>
      <c r="B835" t="s">
        <v>1808</v>
      </c>
      <c r="C835">
        <v>0.13</v>
      </c>
      <c r="D835">
        <v>7.74</v>
      </c>
      <c r="E835">
        <v>0.01</v>
      </c>
      <c r="F835">
        <v>7.73</v>
      </c>
      <c r="G835">
        <v>7.74</v>
      </c>
      <c r="H835">
        <v>37363</v>
      </c>
      <c r="I835">
        <v>193</v>
      </c>
      <c r="J835">
        <v>0</v>
      </c>
      <c r="K835">
        <v>0.71</v>
      </c>
      <c r="L835">
        <v>2888.64</v>
      </c>
      <c r="M835" t="s">
        <v>1809</v>
      </c>
      <c r="N835" t="s">
        <v>43</v>
      </c>
      <c r="O835">
        <v>7.7</v>
      </c>
      <c r="P835">
        <v>7.8</v>
      </c>
      <c r="Q835">
        <v>7.69</v>
      </c>
      <c r="R835">
        <v>7.73</v>
      </c>
      <c r="S835">
        <v>14.71</v>
      </c>
      <c r="T835">
        <v>1.12</v>
      </c>
      <c r="U835" t="s">
        <v>102</v>
      </c>
    </row>
    <row r="836" spans="1:21">
      <c r="A836" t="str">
        <f>"002368"</f>
        <v>002368</v>
      </c>
      <c r="B836" t="s">
        <v>1810</v>
      </c>
      <c r="C836">
        <v>-1.43</v>
      </c>
      <c r="D836">
        <v>29.69</v>
      </c>
      <c r="E836">
        <v>-0.43</v>
      </c>
      <c r="F836">
        <v>29.68</v>
      </c>
      <c r="G836">
        <v>29.69</v>
      </c>
      <c r="H836">
        <v>96246</v>
      </c>
      <c r="I836">
        <v>933</v>
      </c>
      <c r="J836">
        <v>-0.02</v>
      </c>
      <c r="K836">
        <v>1.67</v>
      </c>
      <c r="L836">
        <v>28646.09</v>
      </c>
      <c r="M836" t="s">
        <v>1811</v>
      </c>
      <c r="N836" t="s">
        <v>30</v>
      </c>
      <c r="O836">
        <v>29.7</v>
      </c>
      <c r="P836">
        <v>30.24</v>
      </c>
      <c r="Q836">
        <v>29.53</v>
      </c>
      <c r="R836">
        <v>30.12</v>
      </c>
      <c r="S836">
        <v>149.94</v>
      </c>
      <c r="T836">
        <v>0.7</v>
      </c>
      <c r="U836" t="s">
        <v>44</v>
      </c>
    </row>
    <row r="837" spans="1:21">
      <c r="A837" t="str">
        <f>"002369"</f>
        <v>002369</v>
      </c>
      <c r="B837" t="s">
        <v>1812</v>
      </c>
      <c r="C837">
        <v>0.54</v>
      </c>
      <c r="D837">
        <v>7.42</v>
      </c>
      <c r="E837">
        <v>0.04</v>
      </c>
      <c r="F837">
        <v>7.42</v>
      </c>
      <c r="G837">
        <v>7.43</v>
      </c>
      <c r="H837">
        <v>134105</v>
      </c>
      <c r="I837">
        <v>1969</v>
      </c>
      <c r="J837">
        <v>-0.12</v>
      </c>
      <c r="K837">
        <v>2.33</v>
      </c>
      <c r="L837">
        <v>10092.58</v>
      </c>
      <c r="M837" t="s">
        <v>1813</v>
      </c>
      <c r="N837" t="s">
        <v>153</v>
      </c>
      <c r="O837">
        <v>7.42</v>
      </c>
      <c r="P837">
        <v>7.72</v>
      </c>
      <c r="Q837">
        <v>7.38</v>
      </c>
      <c r="R837">
        <v>7.38</v>
      </c>
      <c r="S837" t="s">
        <v>40</v>
      </c>
      <c r="T837">
        <v>0.67</v>
      </c>
      <c r="U837" t="s">
        <v>24</v>
      </c>
    </row>
    <row r="838" spans="1:21">
      <c r="A838" t="str">
        <f>"002370"</f>
        <v>002370</v>
      </c>
      <c r="B838" t="s">
        <v>1814</v>
      </c>
      <c r="C838">
        <v>-2.05</v>
      </c>
      <c r="D838">
        <v>4.31</v>
      </c>
      <c r="E838">
        <v>-0.09</v>
      </c>
      <c r="F838">
        <v>4.31</v>
      </c>
      <c r="G838">
        <v>4.32</v>
      </c>
      <c r="H838">
        <v>95757</v>
      </c>
      <c r="I838">
        <v>795</v>
      </c>
      <c r="J838">
        <v>0.23</v>
      </c>
      <c r="K838">
        <v>1.91</v>
      </c>
      <c r="L838">
        <v>4125.58</v>
      </c>
      <c r="M838" t="s">
        <v>1815</v>
      </c>
      <c r="N838" t="s">
        <v>192</v>
      </c>
      <c r="O838">
        <v>4.41</v>
      </c>
      <c r="P838">
        <v>4.44</v>
      </c>
      <c r="Q838">
        <v>4.26</v>
      </c>
      <c r="R838">
        <v>4.4</v>
      </c>
      <c r="S838" t="s">
        <v>40</v>
      </c>
      <c r="T838">
        <v>1.45</v>
      </c>
      <c r="U838" t="s">
        <v>200</v>
      </c>
    </row>
    <row r="839" spans="1:21">
      <c r="A839" t="str">
        <f>"002371"</f>
        <v>002371</v>
      </c>
      <c r="B839" t="s">
        <v>1816</v>
      </c>
      <c r="C839">
        <v>-2.41</v>
      </c>
      <c r="D839">
        <v>395.51</v>
      </c>
      <c r="E839">
        <v>-9.75</v>
      </c>
      <c r="F839">
        <v>395.5</v>
      </c>
      <c r="G839">
        <v>395.51</v>
      </c>
      <c r="H839">
        <v>57448</v>
      </c>
      <c r="I839">
        <v>727</v>
      </c>
      <c r="J839">
        <v>0.13</v>
      </c>
      <c r="K839">
        <v>1.25</v>
      </c>
      <c r="L839">
        <v>226321.46</v>
      </c>
      <c r="M839" t="s">
        <v>1817</v>
      </c>
      <c r="N839" t="s">
        <v>1246</v>
      </c>
      <c r="O839">
        <v>404</v>
      </c>
      <c r="P839">
        <v>405.98</v>
      </c>
      <c r="Q839">
        <v>386.08</v>
      </c>
      <c r="R839">
        <v>405.26</v>
      </c>
      <c r="S839">
        <v>236.84</v>
      </c>
      <c r="T839">
        <v>1.08</v>
      </c>
      <c r="U839" t="s">
        <v>44</v>
      </c>
    </row>
    <row r="840" spans="1:21">
      <c r="A840" t="str">
        <f>"002372"</f>
        <v>002372</v>
      </c>
      <c r="B840" t="s">
        <v>1818</v>
      </c>
      <c r="C840">
        <v>3.59</v>
      </c>
      <c r="D840">
        <v>19.06</v>
      </c>
      <c r="E840">
        <v>0.66</v>
      </c>
      <c r="F840">
        <v>19.05</v>
      </c>
      <c r="G840">
        <v>19.06</v>
      </c>
      <c r="H840">
        <v>46043</v>
      </c>
      <c r="I840">
        <v>780</v>
      </c>
      <c r="J840">
        <v>-0.04</v>
      </c>
      <c r="K840">
        <v>0.32</v>
      </c>
      <c r="L840">
        <v>8666.65</v>
      </c>
      <c r="M840" t="s">
        <v>1819</v>
      </c>
      <c r="N840" t="s">
        <v>131</v>
      </c>
      <c r="O840">
        <v>18.42</v>
      </c>
      <c r="P840">
        <v>19.08</v>
      </c>
      <c r="Q840">
        <v>18.42</v>
      </c>
      <c r="R840">
        <v>18.4</v>
      </c>
      <c r="S840">
        <v>29.45</v>
      </c>
      <c r="T840">
        <v>0.73</v>
      </c>
      <c r="U840" t="s">
        <v>200</v>
      </c>
    </row>
    <row r="841" spans="1:21">
      <c r="A841" t="str">
        <f>"002373"</f>
        <v>002373</v>
      </c>
      <c r="B841" t="s">
        <v>1820</v>
      </c>
      <c r="C841">
        <v>3.79</v>
      </c>
      <c r="D841">
        <v>14.25</v>
      </c>
      <c r="E841">
        <v>0.52</v>
      </c>
      <c r="F841">
        <v>14.24</v>
      </c>
      <c r="G841">
        <v>14.25</v>
      </c>
      <c r="H841">
        <v>164626</v>
      </c>
      <c r="I841">
        <v>1988</v>
      </c>
      <c r="J841">
        <v>0.07</v>
      </c>
      <c r="K841">
        <v>1.21</v>
      </c>
      <c r="L841">
        <v>23274.64</v>
      </c>
      <c r="M841" t="s">
        <v>1821</v>
      </c>
      <c r="N841" t="s">
        <v>30</v>
      </c>
      <c r="O841">
        <v>13.78</v>
      </c>
      <c r="P841">
        <v>14.35</v>
      </c>
      <c r="Q841">
        <v>13.75</v>
      </c>
      <c r="R841">
        <v>13.73</v>
      </c>
      <c r="S841">
        <v>30.42</v>
      </c>
      <c r="T841">
        <v>1.45</v>
      </c>
      <c r="U841" t="s">
        <v>44</v>
      </c>
    </row>
    <row r="842" spans="1:21">
      <c r="A842" t="str">
        <f>"002374"</f>
        <v>002374</v>
      </c>
      <c r="B842" t="s">
        <v>1822</v>
      </c>
      <c r="C842">
        <v>-0.38</v>
      </c>
      <c r="D842">
        <v>2.62</v>
      </c>
      <c r="E842">
        <v>-0.01</v>
      </c>
      <c r="F842">
        <v>2.61</v>
      </c>
      <c r="G842">
        <v>2.62</v>
      </c>
      <c r="H842">
        <v>88896</v>
      </c>
      <c r="I842">
        <v>1135</v>
      </c>
      <c r="J842">
        <v>0</v>
      </c>
      <c r="K842">
        <v>0.91</v>
      </c>
      <c r="L842">
        <v>2317.01</v>
      </c>
      <c r="M842" t="s">
        <v>1823</v>
      </c>
      <c r="N842" t="s">
        <v>482</v>
      </c>
      <c r="O842">
        <v>2.62</v>
      </c>
      <c r="P842">
        <v>2.64</v>
      </c>
      <c r="Q842">
        <v>2.58</v>
      </c>
      <c r="R842">
        <v>2.63</v>
      </c>
      <c r="S842" t="s">
        <v>40</v>
      </c>
      <c r="T842">
        <v>1.04</v>
      </c>
      <c r="U842" t="s">
        <v>221</v>
      </c>
    </row>
    <row r="843" spans="1:21">
      <c r="A843" t="str">
        <f>"002375"</f>
        <v>002375</v>
      </c>
      <c r="B843" t="s">
        <v>1824</v>
      </c>
      <c r="C843">
        <v>-1.22</v>
      </c>
      <c r="D843">
        <v>7.26</v>
      </c>
      <c r="E843">
        <v>-0.09</v>
      </c>
      <c r="F843">
        <v>7.25</v>
      </c>
      <c r="G843">
        <v>7.26</v>
      </c>
      <c r="H843">
        <v>82526</v>
      </c>
      <c r="I843">
        <v>1410</v>
      </c>
      <c r="J843">
        <v>0.28</v>
      </c>
      <c r="K843">
        <v>0.62</v>
      </c>
      <c r="L843">
        <v>5973.32</v>
      </c>
      <c r="M843" t="s">
        <v>1825</v>
      </c>
      <c r="N843" t="s">
        <v>1189</v>
      </c>
      <c r="O843">
        <v>7.32</v>
      </c>
      <c r="P843">
        <v>7.39</v>
      </c>
      <c r="Q843">
        <v>7.16</v>
      </c>
      <c r="R843">
        <v>7.35</v>
      </c>
      <c r="S843">
        <v>28.66</v>
      </c>
      <c r="T843">
        <v>0.68</v>
      </c>
      <c r="U843" t="s">
        <v>200</v>
      </c>
    </row>
    <row r="844" spans="1:21">
      <c r="A844" t="str">
        <f>"002376"</f>
        <v>002376</v>
      </c>
      <c r="B844" t="s">
        <v>1826</v>
      </c>
      <c r="C844">
        <v>2.33</v>
      </c>
      <c r="D844">
        <v>8.8</v>
      </c>
      <c r="E844">
        <v>0.2</v>
      </c>
      <c r="F844">
        <v>8.8</v>
      </c>
      <c r="G844">
        <v>8.81</v>
      </c>
      <c r="H844">
        <v>64123</v>
      </c>
      <c r="I844">
        <v>912</v>
      </c>
      <c r="J844">
        <v>-0.22</v>
      </c>
      <c r="K844">
        <v>1</v>
      </c>
      <c r="L844">
        <v>5617.46</v>
      </c>
      <c r="M844" t="s">
        <v>1827</v>
      </c>
      <c r="N844" t="s">
        <v>72</v>
      </c>
      <c r="O844">
        <v>8.57</v>
      </c>
      <c r="P844">
        <v>8.85</v>
      </c>
      <c r="Q844">
        <v>8.56</v>
      </c>
      <c r="R844">
        <v>8.6</v>
      </c>
      <c r="S844">
        <v>44.13</v>
      </c>
      <c r="T844">
        <v>1.33</v>
      </c>
      <c r="U844" t="s">
        <v>221</v>
      </c>
    </row>
    <row r="845" spans="1:21">
      <c r="A845" t="str">
        <f>"002377"</f>
        <v>002377</v>
      </c>
      <c r="B845" t="s">
        <v>1828</v>
      </c>
      <c r="C845">
        <v>0.58</v>
      </c>
      <c r="D845">
        <v>3.49</v>
      </c>
      <c r="E845">
        <v>0.02</v>
      </c>
      <c r="F845">
        <v>3.49</v>
      </c>
      <c r="G845">
        <v>3.5</v>
      </c>
      <c r="H845">
        <v>108469</v>
      </c>
      <c r="I845">
        <v>1509</v>
      </c>
      <c r="J845">
        <v>-0.28</v>
      </c>
      <c r="K845">
        <v>1.18</v>
      </c>
      <c r="L845">
        <v>3793.99</v>
      </c>
      <c r="M845" t="s">
        <v>1829</v>
      </c>
      <c r="N845" t="s">
        <v>134</v>
      </c>
      <c r="O845">
        <v>3.44</v>
      </c>
      <c r="P845">
        <v>3.54</v>
      </c>
      <c r="Q845">
        <v>3.44</v>
      </c>
      <c r="R845">
        <v>3.47</v>
      </c>
      <c r="S845" t="s">
        <v>40</v>
      </c>
      <c r="T845">
        <v>0.54</v>
      </c>
      <c r="U845" t="s">
        <v>267</v>
      </c>
    </row>
    <row r="846" spans="1:21">
      <c r="A846" t="str">
        <f>"002378"</f>
        <v>002378</v>
      </c>
      <c r="B846" t="s">
        <v>1830</v>
      </c>
      <c r="C846">
        <v>-0.94</v>
      </c>
      <c r="D846">
        <v>8.4</v>
      </c>
      <c r="E846">
        <v>-0.08</v>
      </c>
      <c r="F846">
        <v>8.39</v>
      </c>
      <c r="G846">
        <v>8.4</v>
      </c>
      <c r="H846">
        <v>123854</v>
      </c>
      <c r="I846">
        <v>2320</v>
      </c>
      <c r="J846">
        <v>0.12</v>
      </c>
      <c r="K846">
        <v>1.35</v>
      </c>
      <c r="L846">
        <v>10366.98</v>
      </c>
      <c r="M846" t="s">
        <v>1831</v>
      </c>
      <c r="N846" t="s">
        <v>523</v>
      </c>
      <c r="O846">
        <v>8.4</v>
      </c>
      <c r="P846">
        <v>8.46</v>
      </c>
      <c r="Q846">
        <v>8.3</v>
      </c>
      <c r="R846">
        <v>8.48</v>
      </c>
      <c r="S846">
        <v>62.39</v>
      </c>
      <c r="T846">
        <v>1.21</v>
      </c>
      <c r="U846" t="s">
        <v>235</v>
      </c>
    </row>
    <row r="847" spans="1:21">
      <c r="A847" t="str">
        <f>"002379"</f>
        <v>002379</v>
      </c>
      <c r="B847" t="s">
        <v>1832</v>
      </c>
      <c r="C847">
        <v>1.28</v>
      </c>
      <c r="D847">
        <v>3.17</v>
      </c>
      <c r="E847">
        <v>0.04</v>
      </c>
      <c r="F847">
        <v>3.16</v>
      </c>
      <c r="G847">
        <v>3.17</v>
      </c>
      <c r="H847">
        <v>75521</v>
      </c>
      <c r="I847">
        <v>788</v>
      </c>
      <c r="J847">
        <v>0.32</v>
      </c>
      <c r="K847">
        <v>0.82</v>
      </c>
      <c r="L847">
        <v>2374.97</v>
      </c>
      <c r="M847" t="s">
        <v>1833</v>
      </c>
      <c r="N847" t="s">
        <v>494</v>
      </c>
      <c r="O847">
        <v>3.13</v>
      </c>
      <c r="P847">
        <v>3.18</v>
      </c>
      <c r="Q847">
        <v>3.1</v>
      </c>
      <c r="R847">
        <v>3.13</v>
      </c>
      <c r="S847" t="s">
        <v>40</v>
      </c>
      <c r="T847">
        <v>1.05</v>
      </c>
      <c r="U847" t="s">
        <v>221</v>
      </c>
    </row>
    <row r="848" spans="1:21">
      <c r="A848" t="str">
        <f>"002380"</f>
        <v>002380</v>
      </c>
      <c r="B848" t="s">
        <v>1834</v>
      </c>
      <c r="C848">
        <v>-0.08</v>
      </c>
      <c r="D848">
        <v>13.31</v>
      </c>
      <c r="E848">
        <v>-0.01</v>
      </c>
      <c r="F848">
        <v>13.31</v>
      </c>
      <c r="G848">
        <v>13.32</v>
      </c>
      <c r="H848">
        <v>22152</v>
      </c>
      <c r="I848">
        <v>137</v>
      </c>
      <c r="J848">
        <v>0</v>
      </c>
      <c r="K848">
        <v>1.57</v>
      </c>
      <c r="L848">
        <v>2940.63</v>
      </c>
      <c r="M848" t="s">
        <v>706</v>
      </c>
      <c r="N848" t="s">
        <v>47</v>
      </c>
      <c r="O848">
        <v>13.27</v>
      </c>
      <c r="P848">
        <v>13.45</v>
      </c>
      <c r="Q848">
        <v>13</v>
      </c>
      <c r="R848">
        <v>13.32</v>
      </c>
      <c r="S848">
        <v>47.11</v>
      </c>
      <c r="T848">
        <v>0.53</v>
      </c>
      <c r="U848" t="s">
        <v>102</v>
      </c>
    </row>
    <row r="849" spans="1:21">
      <c r="A849" t="str">
        <f>"002381"</f>
        <v>002381</v>
      </c>
      <c r="B849" t="s">
        <v>1835</v>
      </c>
      <c r="C849">
        <v>1.31</v>
      </c>
      <c r="D849">
        <v>7.72</v>
      </c>
      <c r="E849">
        <v>0.1</v>
      </c>
      <c r="F849">
        <v>7.72</v>
      </c>
      <c r="G849">
        <v>7.73</v>
      </c>
      <c r="H849">
        <v>26142</v>
      </c>
      <c r="I849">
        <v>525</v>
      </c>
      <c r="J849">
        <v>-0.12</v>
      </c>
      <c r="K849">
        <v>0.81</v>
      </c>
      <c r="L849">
        <v>2008.69</v>
      </c>
      <c r="M849" t="s">
        <v>1836</v>
      </c>
      <c r="N849" t="s">
        <v>1509</v>
      </c>
      <c r="O849">
        <v>7.65</v>
      </c>
      <c r="P849">
        <v>7.77</v>
      </c>
      <c r="Q849">
        <v>7.58</v>
      </c>
      <c r="R849">
        <v>7.62</v>
      </c>
      <c r="S849">
        <v>17.09</v>
      </c>
      <c r="T849">
        <v>0.74</v>
      </c>
      <c r="U849" t="s">
        <v>200</v>
      </c>
    </row>
    <row r="850" spans="1:21">
      <c r="A850" t="str">
        <f>"002382"</f>
        <v>002382</v>
      </c>
      <c r="B850" t="s">
        <v>1837</v>
      </c>
      <c r="C850">
        <v>0.94</v>
      </c>
      <c r="D850">
        <v>15.05</v>
      </c>
      <c r="E850">
        <v>0.14</v>
      </c>
      <c r="F850">
        <v>15.05</v>
      </c>
      <c r="G850">
        <v>15.06</v>
      </c>
      <c r="H850">
        <v>91923</v>
      </c>
      <c r="I850">
        <v>1133</v>
      </c>
      <c r="J850">
        <v>0.07</v>
      </c>
      <c r="K850">
        <v>0.92</v>
      </c>
      <c r="L850">
        <v>13768.33</v>
      </c>
      <c r="M850" t="s">
        <v>1838</v>
      </c>
      <c r="N850" t="s">
        <v>186</v>
      </c>
      <c r="O850">
        <v>14.87</v>
      </c>
      <c r="P850">
        <v>15.13</v>
      </c>
      <c r="Q850">
        <v>14.81</v>
      </c>
      <c r="R850">
        <v>14.91</v>
      </c>
      <c r="S850">
        <v>3.32</v>
      </c>
      <c r="T850">
        <v>0.62</v>
      </c>
      <c r="U850" t="s">
        <v>221</v>
      </c>
    </row>
    <row r="851" spans="1:21">
      <c r="A851" t="str">
        <f>"002383"</f>
        <v>002383</v>
      </c>
      <c r="B851" t="s">
        <v>1839</v>
      </c>
      <c r="C851">
        <v>0.31</v>
      </c>
      <c r="D851">
        <v>6.41</v>
      </c>
      <c r="E851">
        <v>0.02</v>
      </c>
      <c r="F851">
        <v>6.4</v>
      </c>
      <c r="G851">
        <v>6.41</v>
      </c>
      <c r="H851">
        <v>36009</v>
      </c>
      <c r="I851">
        <v>375</v>
      </c>
      <c r="J851">
        <v>-0.15</v>
      </c>
      <c r="K851">
        <v>0.52</v>
      </c>
      <c r="L851">
        <v>2308.76</v>
      </c>
      <c r="M851" t="s">
        <v>1840</v>
      </c>
      <c r="N851" t="s">
        <v>153</v>
      </c>
      <c r="O851">
        <v>6.44</v>
      </c>
      <c r="P851">
        <v>6.46</v>
      </c>
      <c r="Q851">
        <v>6.33</v>
      </c>
      <c r="R851">
        <v>6.39</v>
      </c>
      <c r="S851" t="s">
        <v>40</v>
      </c>
      <c r="T851">
        <v>0.6</v>
      </c>
      <c r="U851" t="s">
        <v>44</v>
      </c>
    </row>
    <row r="852" spans="1:21">
      <c r="A852" t="str">
        <f>"002384"</f>
        <v>002384</v>
      </c>
      <c r="B852" t="s">
        <v>1841</v>
      </c>
      <c r="C852">
        <v>1.15</v>
      </c>
      <c r="D852">
        <v>25.44</v>
      </c>
      <c r="E852">
        <v>0.29</v>
      </c>
      <c r="F852">
        <v>25.44</v>
      </c>
      <c r="G852">
        <v>25.45</v>
      </c>
      <c r="H852">
        <v>359432</v>
      </c>
      <c r="I852">
        <v>4503</v>
      </c>
      <c r="J852">
        <v>0.36</v>
      </c>
      <c r="K852">
        <v>2.59</v>
      </c>
      <c r="L852">
        <v>91768.49</v>
      </c>
      <c r="M852" t="s">
        <v>1842</v>
      </c>
      <c r="N852" t="s">
        <v>69</v>
      </c>
      <c r="O852">
        <v>25.25</v>
      </c>
      <c r="P852">
        <v>26.18</v>
      </c>
      <c r="Q852">
        <v>25.05</v>
      </c>
      <c r="R852">
        <v>25.15</v>
      </c>
      <c r="S852">
        <v>27.23</v>
      </c>
      <c r="T852">
        <v>0.75</v>
      </c>
      <c r="U852" t="s">
        <v>102</v>
      </c>
    </row>
    <row r="853" spans="1:21">
      <c r="A853" t="str">
        <f>"002385"</f>
        <v>002385</v>
      </c>
      <c r="B853" t="s">
        <v>1843</v>
      </c>
      <c r="C853">
        <v>2.49</v>
      </c>
      <c r="D853">
        <v>9.89</v>
      </c>
      <c r="E853">
        <v>0.24</v>
      </c>
      <c r="F853">
        <v>9.88</v>
      </c>
      <c r="G853">
        <v>9.89</v>
      </c>
      <c r="H853">
        <v>1293342</v>
      </c>
      <c r="I853">
        <v>14508</v>
      </c>
      <c r="J853">
        <v>0.1</v>
      </c>
      <c r="K853">
        <v>4.18</v>
      </c>
      <c r="L853">
        <v>127169.29</v>
      </c>
      <c r="M853" t="s">
        <v>1844</v>
      </c>
      <c r="N853" t="s">
        <v>124</v>
      </c>
      <c r="O853">
        <v>9.61</v>
      </c>
      <c r="P853">
        <v>10.07</v>
      </c>
      <c r="Q853">
        <v>9.52</v>
      </c>
      <c r="R853">
        <v>9.65</v>
      </c>
      <c r="S853">
        <v>285.98</v>
      </c>
      <c r="T853">
        <v>0.62</v>
      </c>
      <c r="U853" t="s">
        <v>44</v>
      </c>
    </row>
    <row r="854" spans="1:21">
      <c r="A854" t="str">
        <f>"002386"</f>
        <v>002386</v>
      </c>
      <c r="B854" t="s">
        <v>1845</v>
      </c>
      <c r="C854">
        <v>2.59</v>
      </c>
      <c r="D854">
        <v>11.49</v>
      </c>
      <c r="E854">
        <v>0.29</v>
      </c>
      <c r="F854">
        <v>11.49</v>
      </c>
      <c r="G854">
        <v>11.5</v>
      </c>
      <c r="H854">
        <v>515120</v>
      </c>
      <c r="I854">
        <v>7085</v>
      </c>
      <c r="J854">
        <v>0.17</v>
      </c>
      <c r="K854">
        <v>6.6</v>
      </c>
      <c r="L854">
        <v>58103.9</v>
      </c>
      <c r="M854" t="s">
        <v>1846</v>
      </c>
      <c r="N854" t="s">
        <v>309</v>
      </c>
      <c r="O854">
        <v>11.21</v>
      </c>
      <c r="P854">
        <v>11.54</v>
      </c>
      <c r="Q854">
        <v>10.93</v>
      </c>
      <c r="R854">
        <v>11.2</v>
      </c>
      <c r="S854">
        <v>13.75</v>
      </c>
      <c r="T854">
        <v>1.34</v>
      </c>
      <c r="U854" t="s">
        <v>196</v>
      </c>
    </row>
    <row r="855" spans="1:21">
      <c r="A855" t="str">
        <f>"002387"</f>
        <v>002387</v>
      </c>
      <c r="B855" t="s">
        <v>1847</v>
      </c>
      <c r="C855">
        <v>-1.36</v>
      </c>
      <c r="D855">
        <v>8.68</v>
      </c>
      <c r="E855">
        <v>-0.12</v>
      </c>
      <c r="F855">
        <v>8.68</v>
      </c>
      <c r="G855">
        <v>8.69</v>
      </c>
      <c r="H855">
        <v>68371</v>
      </c>
      <c r="I855">
        <v>922</v>
      </c>
      <c r="J855">
        <v>-0.22</v>
      </c>
      <c r="K855">
        <v>0.5</v>
      </c>
      <c r="L855">
        <v>5938.92</v>
      </c>
      <c r="M855" t="s">
        <v>1848</v>
      </c>
      <c r="N855" t="s">
        <v>69</v>
      </c>
      <c r="O855">
        <v>8.8</v>
      </c>
      <c r="P855">
        <v>8.8</v>
      </c>
      <c r="Q855">
        <v>8.59</v>
      </c>
      <c r="R855">
        <v>8.8</v>
      </c>
      <c r="S855" t="s">
        <v>40</v>
      </c>
      <c r="T855">
        <v>0.92</v>
      </c>
      <c r="U855" t="s">
        <v>183</v>
      </c>
    </row>
    <row r="856" spans="1:21">
      <c r="A856" t="str">
        <f>"002388"</f>
        <v>002388</v>
      </c>
      <c r="B856" t="s">
        <v>1849</v>
      </c>
      <c r="C856">
        <v>0.96</v>
      </c>
      <c r="D856">
        <v>5.27</v>
      </c>
      <c r="E856">
        <v>0.05</v>
      </c>
      <c r="F856">
        <v>5.27</v>
      </c>
      <c r="G856">
        <v>5.28</v>
      </c>
      <c r="H856">
        <v>35362</v>
      </c>
      <c r="I856">
        <v>458</v>
      </c>
      <c r="J856">
        <v>-0.18</v>
      </c>
      <c r="K856">
        <v>0.73</v>
      </c>
      <c r="L856">
        <v>1864.81</v>
      </c>
      <c r="M856" t="s">
        <v>1850</v>
      </c>
      <c r="N856" t="s">
        <v>69</v>
      </c>
      <c r="O856">
        <v>5.22</v>
      </c>
      <c r="P856">
        <v>5.34</v>
      </c>
      <c r="Q856">
        <v>5.19</v>
      </c>
      <c r="R856">
        <v>5.22</v>
      </c>
      <c r="S856">
        <v>50.01</v>
      </c>
      <c r="T856">
        <v>0.93</v>
      </c>
      <c r="U856" t="s">
        <v>24</v>
      </c>
    </row>
    <row r="857" spans="1:21">
      <c r="A857" t="str">
        <f>"002389"</f>
        <v>002389</v>
      </c>
      <c r="B857" t="s">
        <v>1851</v>
      </c>
      <c r="C857">
        <v>2.21</v>
      </c>
      <c r="D857">
        <v>24.1</v>
      </c>
      <c r="E857">
        <v>0.52</v>
      </c>
      <c r="F857">
        <v>24.09</v>
      </c>
      <c r="G857">
        <v>24.1</v>
      </c>
      <c r="H857">
        <v>183918</v>
      </c>
      <c r="I857">
        <v>2232</v>
      </c>
      <c r="J857">
        <v>0.08</v>
      </c>
      <c r="K857">
        <v>2.06</v>
      </c>
      <c r="L857">
        <v>44058.12</v>
      </c>
      <c r="M857" t="s">
        <v>1852</v>
      </c>
      <c r="N857" t="s">
        <v>611</v>
      </c>
      <c r="O857">
        <v>23.68</v>
      </c>
      <c r="P857">
        <v>24.28</v>
      </c>
      <c r="Q857">
        <v>23.46</v>
      </c>
      <c r="R857">
        <v>23.58</v>
      </c>
      <c r="S857">
        <v>208.7</v>
      </c>
      <c r="T857">
        <v>0.75</v>
      </c>
      <c r="U857" t="s">
        <v>200</v>
      </c>
    </row>
    <row r="858" spans="1:21">
      <c r="A858" t="str">
        <f>"002390"</f>
        <v>002390</v>
      </c>
      <c r="B858" t="s">
        <v>1853</v>
      </c>
      <c r="C858">
        <v>0.14</v>
      </c>
      <c r="D858">
        <v>6.94</v>
      </c>
      <c r="E858">
        <v>0.01</v>
      </c>
      <c r="F858">
        <v>6.93</v>
      </c>
      <c r="G858">
        <v>6.94</v>
      </c>
      <c r="H858">
        <v>106439</v>
      </c>
      <c r="I858">
        <v>851</v>
      </c>
      <c r="J858">
        <v>0.14</v>
      </c>
      <c r="K858">
        <v>0.68</v>
      </c>
      <c r="L858">
        <v>7372.97</v>
      </c>
      <c r="M858" t="s">
        <v>1854</v>
      </c>
      <c r="N858" t="s">
        <v>270</v>
      </c>
      <c r="O858">
        <v>6.88</v>
      </c>
      <c r="P858">
        <v>6.97</v>
      </c>
      <c r="Q858">
        <v>6.85</v>
      </c>
      <c r="R858">
        <v>6.93</v>
      </c>
      <c r="S858">
        <v>50.23</v>
      </c>
      <c r="T858">
        <v>0.57</v>
      </c>
      <c r="U858" t="s">
        <v>368</v>
      </c>
    </row>
    <row r="859" spans="1:21">
      <c r="A859" t="str">
        <f>"002391"</f>
        <v>002391</v>
      </c>
      <c r="B859" t="s">
        <v>1855</v>
      </c>
      <c r="C859">
        <v>-1.07</v>
      </c>
      <c r="D859">
        <v>7.41</v>
      </c>
      <c r="E859">
        <v>-0.08</v>
      </c>
      <c r="F859">
        <v>7.4</v>
      </c>
      <c r="G859">
        <v>7.41</v>
      </c>
      <c r="H859">
        <v>46239</v>
      </c>
      <c r="I859">
        <v>495</v>
      </c>
      <c r="J859">
        <v>0</v>
      </c>
      <c r="K859">
        <v>1</v>
      </c>
      <c r="L859">
        <v>3418.37</v>
      </c>
      <c r="M859" t="s">
        <v>1856</v>
      </c>
      <c r="N859" t="s">
        <v>241</v>
      </c>
      <c r="O859">
        <v>7.47</v>
      </c>
      <c r="P859">
        <v>7.47</v>
      </c>
      <c r="Q859">
        <v>7.34</v>
      </c>
      <c r="R859">
        <v>7.49</v>
      </c>
      <c r="S859">
        <v>15.41</v>
      </c>
      <c r="T859">
        <v>0.79</v>
      </c>
      <c r="U859" t="s">
        <v>102</v>
      </c>
    </row>
    <row r="860" spans="1:21">
      <c r="A860" t="str">
        <f>"002392"</f>
        <v>002392</v>
      </c>
      <c r="B860" t="s">
        <v>1857</v>
      </c>
      <c r="C860">
        <v>4.95</v>
      </c>
      <c r="D860">
        <v>4.88</v>
      </c>
      <c r="E860">
        <v>0.23</v>
      </c>
      <c r="F860">
        <v>4.88</v>
      </c>
      <c r="G860">
        <v>4.89</v>
      </c>
      <c r="H860">
        <v>332827</v>
      </c>
      <c r="I860">
        <v>2816</v>
      </c>
      <c r="J860">
        <v>-0.19</v>
      </c>
      <c r="K860">
        <v>3.91</v>
      </c>
      <c r="L860">
        <v>15941.28</v>
      </c>
      <c r="M860" t="s">
        <v>1858</v>
      </c>
      <c r="N860" t="s">
        <v>131</v>
      </c>
      <c r="O860">
        <v>4.64</v>
      </c>
      <c r="P860">
        <v>4.93</v>
      </c>
      <c r="Q860">
        <v>4.62</v>
      </c>
      <c r="R860">
        <v>4.65</v>
      </c>
      <c r="S860">
        <v>11.37</v>
      </c>
      <c r="T860">
        <v>2.5</v>
      </c>
      <c r="U860" t="s">
        <v>44</v>
      </c>
    </row>
    <row r="861" spans="1:21">
      <c r="A861" t="str">
        <f>"002393"</f>
        <v>002393</v>
      </c>
      <c r="B861" t="s">
        <v>1859</v>
      </c>
      <c r="C861">
        <v>0.11</v>
      </c>
      <c r="D861">
        <v>19.03</v>
      </c>
      <c r="E861">
        <v>0.02</v>
      </c>
      <c r="F861">
        <v>19.03</v>
      </c>
      <c r="G861">
        <v>19.04</v>
      </c>
      <c r="H861">
        <v>6849</v>
      </c>
      <c r="I861">
        <v>15</v>
      </c>
      <c r="J861">
        <v>-0.04</v>
      </c>
      <c r="K861">
        <v>0.38</v>
      </c>
      <c r="L861">
        <v>1300.22</v>
      </c>
      <c r="M861" t="s">
        <v>1860</v>
      </c>
      <c r="N861" t="s">
        <v>192</v>
      </c>
      <c r="O861">
        <v>19.02</v>
      </c>
      <c r="P861">
        <v>19.1</v>
      </c>
      <c r="Q861">
        <v>18.79</v>
      </c>
      <c r="R861">
        <v>19.01</v>
      </c>
      <c r="S861">
        <v>26.65</v>
      </c>
      <c r="T861">
        <v>1.19</v>
      </c>
      <c r="U861" t="s">
        <v>360</v>
      </c>
    </row>
    <row r="862" spans="1:21">
      <c r="A862" t="str">
        <f>"002394"</f>
        <v>002394</v>
      </c>
      <c r="B862" t="s">
        <v>1861</v>
      </c>
      <c r="C862">
        <v>1.06</v>
      </c>
      <c r="D862">
        <v>7.66</v>
      </c>
      <c r="E862">
        <v>0.08</v>
      </c>
      <c r="F862">
        <v>7.65</v>
      </c>
      <c r="G862">
        <v>7.66</v>
      </c>
      <c r="H862">
        <v>7362</v>
      </c>
      <c r="I862">
        <v>130</v>
      </c>
      <c r="J862">
        <v>0.13</v>
      </c>
      <c r="K862">
        <v>0.23</v>
      </c>
      <c r="L862">
        <v>561.02</v>
      </c>
      <c r="M862" t="s">
        <v>1862</v>
      </c>
      <c r="N862" t="s">
        <v>664</v>
      </c>
      <c r="O862">
        <v>7.62</v>
      </c>
      <c r="P862">
        <v>7.66</v>
      </c>
      <c r="Q862">
        <v>7.57</v>
      </c>
      <c r="R862">
        <v>7.58</v>
      </c>
      <c r="S862">
        <v>11.09</v>
      </c>
      <c r="T862">
        <v>0.85</v>
      </c>
      <c r="U862" t="s">
        <v>102</v>
      </c>
    </row>
    <row r="863" spans="1:21">
      <c r="A863" t="str">
        <f>"002395"</f>
        <v>002395</v>
      </c>
      <c r="B863" t="s">
        <v>1863</v>
      </c>
      <c r="C863">
        <v>-0.18</v>
      </c>
      <c r="D863">
        <v>11.13</v>
      </c>
      <c r="E863">
        <v>-0.02</v>
      </c>
      <c r="F863">
        <v>11.13</v>
      </c>
      <c r="G863">
        <v>11.14</v>
      </c>
      <c r="H863">
        <v>47643</v>
      </c>
      <c r="I863">
        <v>1125</v>
      </c>
      <c r="J863">
        <v>0.27</v>
      </c>
      <c r="K863">
        <v>1.78</v>
      </c>
      <c r="L863">
        <v>5309.76</v>
      </c>
      <c r="M863" t="s">
        <v>1864</v>
      </c>
      <c r="N863" t="s">
        <v>839</v>
      </c>
      <c r="O863">
        <v>11.1</v>
      </c>
      <c r="P863">
        <v>11.27</v>
      </c>
      <c r="Q863">
        <v>11.06</v>
      </c>
      <c r="R863">
        <v>11.15</v>
      </c>
      <c r="S863">
        <v>42.66</v>
      </c>
      <c r="T863">
        <v>0.41</v>
      </c>
      <c r="U863" t="s">
        <v>102</v>
      </c>
    </row>
    <row r="864" spans="1:21">
      <c r="A864" t="str">
        <f>"002396"</f>
        <v>002396</v>
      </c>
      <c r="B864" t="s">
        <v>1865</v>
      </c>
      <c r="C864">
        <v>1.46</v>
      </c>
      <c r="D864">
        <v>25.09</v>
      </c>
      <c r="E864">
        <v>0.36</v>
      </c>
      <c r="F864">
        <v>25.09</v>
      </c>
      <c r="G864">
        <v>25.1</v>
      </c>
      <c r="H864">
        <v>140234</v>
      </c>
      <c r="I864">
        <v>906</v>
      </c>
      <c r="J864">
        <v>-0.03</v>
      </c>
      <c r="K864">
        <v>2.4</v>
      </c>
      <c r="L864">
        <v>35215.23</v>
      </c>
      <c r="M864" t="s">
        <v>1866</v>
      </c>
      <c r="N864" t="s">
        <v>153</v>
      </c>
      <c r="O864">
        <v>24.75</v>
      </c>
      <c r="P864">
        <v>25.33</v>
      </c>
      <c r="Q864">
        <v>24.66</v>
      </c>
      <c r="R864">
        <v>24.73</v>
      </c>
      <c r="S864">
        <v>22.73</v>
      </c>
      <c r="T864">
        <v>1.1</v>
      </c>
      <c r="U864" t="s">
        <v>339</v>
      </c>
    </row>
    <row r="865" spans="1:21">
      <c r="A865" t="str">
        <f>"002397"</f>
        <v>002397</v>
      </c>
      <c r="B865" t="s">
        <v>1867</v>
      </c>
      <c r="C865">
        <v>-0.25</v>
      </c>
      <c r="D865">
        <v>3.99</v>
      </c>
      <c r="E865">
        <v>-0.01</v>
      </c>
      <c r="F865">
        <v>3.98</v>
      </c>
      <c r="G865">
        <v>3.99</v>
      </c>
      <c r="H865">
        <v>43957</v>
      </c>
      <c r="I865">
        <v>268</v>
      </c>
      <c r="J865">
        <v>-0.24</v>
      </c>
      <c r="K865">
        <v>0.91</v>
      </c>
      <c r="L865">
        <v>1749.84</v>
      </c>
      <c r="M865" t="s">
        <v>1868</v>
      </c>
      <c r="N865" t="s">
        <v>664</v>
      </c>
      <c r="O865">
        <v>3.97</v>
      </c>
      <c r="P865">
        <v>4.02</v>
      </c>
      <c r="Q865">
        <v>3.94</v>
      </c>
      <c r="R865">
        <v>4</v>
      </c>
      <c r="S865">
        <v>82.4</v>
      </c>
      <c r="T865">
        <v>0.93</v>
      </c>
      <c r="U865" t="s">
        <v>204</v>
      </c>
    </row>
    <row r="866" spans="1:21">
      <c r="A866" t="str">
        <f>"002398"</f>
        <v>002398</v>
      </c>
      <c r="B866" t="s">
        <v>1869</v>
      </c>
      <c r="C866">
        <v>5.04</v>
      </c>
      <c r="D866">
        <v>7.08</v>
      </c>
      <c r="E866">
        <v>0.34</v>
      </c>
      <c r="F866">
        <v>7.08</v>
      </c>
      <c r="G866">
        <v>7.09</v>
      </c>
      <c r="H866">
        <v>182011</v>
      </c>
      <c r="I866">
        <v>1124</v>
      </c>
      <c r="J866">
        <v>0</v>
      </c>
      <c r="K866">
        <v>3.24</v>
      </c>
      <c r="L866">
        <v>12749.63</v>
      </c>
      <c r="M866" t="s">
        <v>1870</v>
      </c>
      <c r="N866" t="s">
        <v>131</v>
      </c>
      <c r="O866">
        <v>6.75</v>
      </c>
      <c r="P866">
        <v>7.13</v>
      </c>
      <c r="Q866">
        <v>6.7</v>
      </c>
      <c r="R866">
        <v>6.74</v>
      </c>
      <c r="S866">
        <v>16.47</v>
      </c>
      <c r="T866">
        <v>2.06</v>
      </c>
      <c r="U866" t="s">
        <v>339</v>
      </c>
    </row>
    <row r="867" spans="1:21">
      <c r="A867" t="str">
        <f>"002399"</f>
        <v>002399</v>
      </c>
      <c r="B867" t="s">
        <v>1871</v>
      </c>
      <c r="C867">
        <v>0.84</v>
      </c>
      <c r="D867">
        <v>15.53</v>
      </c>
      <c r="E867">
        <v>0.13</v>
      </c>
      <c r="F867">
        <v>15.52</v>
      </c>
      <c r="G867">
        <v>15.53</v>
      </c>
      <c r="H867">
        <v>24489</v>
      </c>
      <c r="I867">
        <v>576</v>
      </c>
      <c r="J867">
        <v>0</v>
      </c>
      <c r="K867">
        <v>0.2</v>
      </c>
      <c r="L867">
        <v>3768.63</v>
      </c>
      <c r="M867" t="s">
        <v>1872</v>
      </c>
      <c r="N867" t="s">
        <v>192</v>
      </c>
      <c r="O867">
        <v>15.39</v>
      </c>
      <c r="P867">
        <v>15.55</v>
      </c>
      <c r="Q867">
        <v>15.2</v>
      </c>
      <c r="R867">
        <v>15.4</v>
      </c>
      <c r="S867">
        <v>37.03</v>
      </c>
      <c r="T867">
        <v>1.03</v>
      </c>
      <c r="U867" t="s">
        <v>24</v>
      </c>
    </row>
    <row r="868" spans="1:21">
      <c r="A868" t="str">
        <f>"002400"</f>
        <v>002400</v>
      </c>
      <c r="B868" t="s">
        <v>1873</v>
      </c>
      <c r="C868">
        <v>-0.21</v>
      </c>
      <c r="D868">
        <v>4.74</v>
      </c>
      <c r="E868">
        <v>-0.01</v>
      </c>
      <c r="F868">
        <v>4.74</v>
      </c>
      <c r="G868">
        <v>4.75</v>
      </c>
      <c r="H868">
        <v>367555</v>
      </c>
      <c r="I868">
        <v>3242</v>
      </c>
      <c r="J868">
        <v>-0.2</v>
      </c>
      <c r="K868">
        <v>2.18</v>
      </c>
      <c r="L868">
        <v>17487.61</v>
      </c>
      <c r="M868" t="s">
        <v>1874</v>
      </c>
      <c r="N868" t="s">
        <v>482</v>
      </c>
      <c r="O868">
        <v>4.75</v>
      </c>
      <c r="P868">
        <v>4.81</v>
      </c>
      <c r="Q868">
        <v>4.72</v>
      </c>
      <c r="R868">
        <v>4.75</v>
      </c>
      <c r="S868">
        <v>59.45</v>
      </c>
      <c r="T868">
        <v>0.53</v>
      </c>
      <c r="U868" t="s">
        <v>183</v>
      </c>
    </row>
    <row r="869" spans="1:21">
      <c r="A869" t="str">
        <f>"002401"</f>
        <v>002401</v>
      </c>
      <c r="B869" t="s">
        <v>1875</v>
      </c>
      <c r="C869">
        <v>1.17</v>
      </c>
      <c r="D869">
        <v>9.55</v>
      </c>
      <c r="E869">
        <v>0.11</v>
      </c>
      <c r="F869">
        <v>9.55</v>
      </c>
      <c r="G869">
        <v>9.56</v>
      </c>
      <c r="H869">
        <v>17901</v>
      </c>
      <c r="I869">
        <v>237</v>
      </c>
      <c r="J869">
        <v>-0.09</v>
      </c>
      <c r="K869">
        <v>0.49</v>
      </c>
      <c r="L869">
        <v>1699.49</v>
      </c>
      <c r="M869" t="s">
        <v>563</v>
      </c>
      <c r="N869" t="s">
        <v>30</v>
      </c>
      <c r="O869">
        <v>9.41</v>
      </c>
      <c r="P869">
        <v>9.57</v>
      </c>
      <c r="Q869">
        <v>9.4</v>
      </c>
      <c r="R869">
        <v>9.44</v>
      </c>
      <c r="S869">
        <v>20.35</v>
      </c>
      <c r="T869">
        <v>0.75</v>
      </c>
      <c r="U869" t="s">
        <v>848</v>
      </c>
    </row>
    <row r="870" spans="1:21">
      <c r="A870" t="str">
        <f>"002402"</f>
        <v>002402</v>
      </c>
      <c r="B870" t="s">
        <v>1876</v>
      </c>
      <c r="C870">
        <v>2.96</v>
      </c>
      <c r="D870">
        <v>25.7</v>
      </c>
      <c r="E870">
        <v>0.74</v>
      </c>
      <c r="F870">
        <v>25.7</v>
      </c>
      <c r="G870">
        <v>25.71</v>
      </c>
      <c r="H870">
        <v>210529</v>
      </c>
      <c r="I870">
        <v>2058</v>
      </c>
      <c r="J870">
        <v>0.12</v>
      </c>
      <c r="K870">
        <v>2.63</v>
      </c>
      <c r="L870">
        <v>53994.86</v>
      </c>
      <c r="M870" t="s">
        <v>1877</v>
      </c>
      <c r="N870" t="s">
        <v>69</v>
      </c>
      <c r="O870">
        <v>24.88</v>
      </c>
      <c r="P870">
        <v>26</v>
      </c>
      <c r="Q870">
        <v>24.8</v>
      </c>
      <c r="R870">
        <v>24.96</v>
      </c>
      <c r="S870">
        <v>40.23</v>
      </c>
      <c r="T870">
        <v>1.48</v>
      </c>
      <c r="U870" t="s">
        <v>24</v>
      </c>
    </row>
    <row r="871" spans="1:21">
      <c r="A871" t="str">
        <f>"002403"</f>
        <v>002403</v>
      </c>
      <c r="B871" t="s">
        <v>1878</v>
      </c>
      <c r="C871">
        <v>1.64</v>
      </c>
      <c r="D871">
        <v>6.82</v>
      </c>
      <c r="E871">
        <v>0.11</v>
      </c>
      <c r="F871">
        <v>6.81</v>
      </c>
      <c r="G871">
        <v>6.82</v>
      </c>
      <c r="H871">
        <v>8205</v>
      </c>
      <c r="I871">
        <v>46</v>
      </c>
      <c r="J871">
        <v>0.15</v>
      </c>
      <c r="K871">
        <v>0.26</v>
      </c>
      <c r="L871">
        <v>557.27</v>
      </c>
      <c r="M871" t="s">
        <v>1879</v>
      </c>
      <c r="N871" t="s">
        <v>60</v>
      </c>
      <c r="O871">
        <v>6.7</v>
      </c>
      <c r="P871">
        <v>6.85</v>
      </c>
      <c r="Q871">
        <v>6.7</v>
      </c>
      <c r="R871">
        <v>6.71</v>
      </c>
      <c r="S871">
        <v>349.23</v>
      </c>
      <c r="T871">
        <v>0.42</v>
      </c>
      <c r="U871" t="s">
        <v>200</v>
      </c>
    </row>
    <row r="872" spans="1:21">
      <c r="A872" t="str">
        <f>"002404"</f>
        <v>002404</v>
      </c>
      <c r="B872" t="s">
        <v>1880</v>
      </c>
      <c r="C872">
        <v>0.91</v>
      </c>
      <c r="D872">
        <v>5.57</v>
      </c>
      <c r="E872">
        <v>0.05</v>
      </c>
      <c r="F872">
        <v>5.56</v>
      </c>
      <c r="G872">
        <v>5.57</v>
      </c>
      <c r="H872">
        <v>25707</v>
      </c>
      <c r="I872">
        <v>493</v>
      </c>
      <c r="J872">
        <v>0.18</v>
      </c>
      <c r="K872">
        <v>0.56</v>
      </c>
      <c r="L872">
        <v>1421.84</v>
      </c>
      <c r="M872" t="s">
        <v>726</v>
      </c>
      <c r="N872" t="s">
        <v>664</v>
      </c>
      <c r="O872">
        <v>5.5</v>
      </c>
      <c r="P872">
        <v>5.58</v>
      </c>
      <c r="Q872">
        <v>5.47</v>
      </c>
      <c r="R872">
        <v>5.52</v>
      </c>
      <c r="S872">
        <v>29.49</v>
      </c>
      <c r="T872">
        <v>0.78</v>
      </c>
      <c r="U872" t="s">
        <v>200</v>
      </c>
    </row>
    <row r="873" spans="1:21">
      <c r="A873" t="str">
        <f>"002405"</f>
        <v>002405</v>
      </c>
      <c r="B873" t="s">
        <v>1881</v>
      </c>
      <c r="C873">
        <v>-2.14</v>
      </c>
      <c r="D873">
        <v>15.54</v>
      </c>
      <c r="E873">
        <v>-0.34</v>
      </c>
      <c r="F873">
        <v>15.54</v>
      </c>
      <c r="G873">
        <v>15.55</v>
      </c>
      <c r="H873">
        <v>1549855</v>
      </c>
      <c r="I873">
        <v>18717</v>
      </c>
      <c r="J873">
        <v>0.26</v>
      </c>
      <c r="K873">
        <v>6.87</v>
      </c>
      <c r="L873">
        <v>240344.12</v>
      </c>
      <c r="M873" t="s">
        <v>1882</v>
      </c>
      <c r="N873" t="s">
        <v>30</v>
      </c>
      <c r="O873">
        <v>15.7</v>
      </c>
      <c r="P873">
        <v>15.85</v>
      </c>
      <c r="Q873">
        <v>15.16</v>
      </c>
      <c r="R873">
        <v>15.88</v>
      </c>
      <c r="S873" t="s">
        <v>40</v>
      </c>
      <c r="T873">
        <v>0.62</v>
      </c>
      <c r="U873" t="s">
        <v>44</v>
      </c>
    </row>
    <row r="874" spans="1:21">
      <c r="A874" t="str">
        <f>"002406"</f>
        <v>002406</v>
      </c>
      <c r="B874" t="s">
        <v>1883</v>
      </c>
      <c r="C874">
        <v>1.01</v>
      </c>
      <c r="D874">
        <v>5.99</v>
      </c>
      <c r="E874">
        <v>0.06</v>
      </c>
      <c r="F874">
        <v>5.98</v>
      </c>
      <c r="G874">
        <v>5.99</v>
      </c>
      <c r="H874">
        <v>46748</v>
      </c>
      <c r="I874">
        <v>627</v>
      </c>
      <c r="J874">
        <v>0</v>
      </c>
      <c r="K874">
        <v>0.94</v>
      </c>
      <c r="L874">
        <v>2784.79</v>
      </c>
      <c r="M874" t="s">
        <v>1884</v>
      </c>
      <c r="N874" t="s">
        <v>91</v>
      </c>
      <c r="O874">
        <v>5.93</v>
      </c>
      <c r="P874">
        <v>6</v>
      </c>
      <c r="Q874">
        <v>5.89</v>
      </c>
      <c r="R874">
        <v>5.93</v>
      </c>
      <c r="S874">
        <v>14.14</v>
      </c>
      <c r="T874">
        <v>0.91</v>
      </c>
      <c r="U874" t="s">
        <v>224</v>
      </c>
    </row>
    <row r="875" spans="1:21">
      <c r="A875" t="str">
        <f>"002407"</f>
        <v>002407</v>
      </c>
      <c r="B875" t="s">
        <v>1885</v>
      </c>
      <c r="C875">
        <v>-1.6</v>
      </c>
      <c r="D875">
        <v>50.99</v>
      </c>
      <c r="E875">
        <v>-0.83</v>
      </c>
      <c r="F875">
        <v>50.98</v>
      </c>
      <c r="G875">
        <v>50.99</v>
      </c>
      <c r="H875">
        <v>336198</v>
      </c>
      <c r="I875">
        <v>4305</v>
      </c>
      <c r="J875">
        <v>0.02</v>
      </c>
      <c r="K875">
        <v>5.49</v>
      </c>
      <c r="L875">
        <v>171289.83</v>
      </c>
      <c r="M875" t="s">
        <v>1886</v>
      </c>
      <c r="N875" t="s">
        <v>309</v>
      </c>
      <c r="O875">
        <v>51.2</v>
      </c>
      <c r="P875">
        <v>51.57</v>
      </c>
      <c r="Q875">
        <v>50.5</v>
      </c>
      <c r="R875">
        <v>51.82</v>
      </c>
      <c r="S875">
        <v>39.73</v>
      </c>
      <c r="T875">
        <v>0.7</v>
      </c>
      <c r="U875" t="s">
        <v>224</v>
      </c>
    </row>
    <row r="876" spans="1:21">
      <c r="A876" t="str">
        <f>"002408"</f>
        <v>002408</v>
      </c>
      <c r="B876" t="s">
        <v>1887</v>
      </c>
      <c r="C876">
        <v>-10</v>
      </c>
      <c r="D876">
        <v>8.64</v>
      </c>
      <c r="E876">
        <v>-0.96</v>
      </c>
      <c r="F876" t="s">
        <v>40</v>
      </c>
      <c r="G876">
        <v>8.64</v>
      </c>
      <c r="H876">
        <v>208429</v>
      </c>
      <c r="I876">
        <v>4581</v>
      </c>
      <c r="J876">
        <v>0</v>
      </c>
      <c r="K876">
        <v>0.75</v>
      </c>
      <c r="L876">
        <v>18008.27</v>
      </c>
      <c r="M876" t="s">
        <v>1888</v>
      </c>
      <c r="N876" t="s">
        <v>309</v>
      </c>
      <c r="O876">
        <v>8.64</v>
      </c>
      <c r="P876">
        <v>8.64</v>
      </c>
      <c r="Q876">
        <v>8.64</v>
      </c>
      <c r="R876">
        <v>9.6</v>
      </c>
      <c r="S876">
        <v>8.52</v>
      </c>
      <c r="T876">
        <v>0.49</v>
      </c>
      <c r="U876" t="s">
        <v>221</v>
      </c>
    </row>
    <row r="877" spans="1:21">
      <c r="A877" t="str">
        <f>"002409"</f>
        <v>002409</v>
      </c>
      <c r="B877" t="s">
        <v>1889</v>
      </c>
      <c r="C877">
        <v>2.19</v>
      </c>
      <c r="D877">
        <v>84</v>
      </c>
      <c r="E877">
        <v>1.8</v>
      </c>
      <c r="F877">
        <v>84</v>
      </c>
      <c r="G877">
        <v>84.01</v>
      </c>
      <c r="H877">
        <v>52645</v>
      </c>
      <c r="I877">
        <v>330</v>
      </c>
      <c r="J877">
        <v>0</v>
      </c>
      <c r="K877">
        <v>1.78</v>
      </c>
      <c r="L877">
        <v>44147.73</v>
      </c>
      <c r="M877" t="s">
        <v>1890</v>
      </c>
      <c r="N877" t="s">
        <v>309</v>
      </c>
      <c r="O877">
        <v>82</v>
      </c>
      <c r="P877">
        <v>85.81</v>
      </c>
      <c r="Q877">
        <v>82</v>
      </c>
      <c r="R877">
        <v>82.2</v>
      </c>
      <c r="S877">
        <v>76.93</v>
      </c>
      <c r="T877">
        <v>0.79</v>
      </c>
      <c r="U877" t="s">
        <v>102</v>
      </c>
    </row>
    <row r="878" spans="1:21">
      <c r="A878" t="str">
        <f>"002410"</f>
        <v>002410</v>
      </c>
      <c r="B878" t="s">
        <v>1891</v>
      </c>
      <c r="C878">
        <v>0.2</v>
      </c>
      <c r="D878">
        <v>65.13</v>
      </c>
      <c r="E878">
        <v>0.13</v>
      </c>
      <c r="F878">
        <v>65.13</v>
      </c>
      <c r="G878">
        <v>65.16</v>
      </c>
      <c r="H878">
        <v>22717</v>
      </c>
      <c r="I878">
        <v>133</v>
      </c>
      <c r="J878">
        <v>-0.04</v>
      </c>
      <c r="K878">
        <v>0.23</v>
      </c>
      <c r="L878">
        <v>14780.25</v>
      </c>
      <c r="M878" t="s">
        <v>1892</v>
      </c>
      <c r="N878" t="s">
        <v>30</v>
      </c>
      <c r="O878">
        <v>64.49</v>
      </c>
      <c r="P878">
        <v>65.53</v>
      </c>
      <c r="Q878">
        <v>64.32</v>
      </c>
      <c r="R878">
        <v>65</v>
      </c>
      <c r="S878">
        <v>122.05</v>
      </c>
      <c r="T878">
        <v>0.68</v>
      </c>
      <c r="U878" t="s">
        <v>44</v>
      </c>
    </row>
    <row r="879" spans="1:21">
      <c r="A879" t="str">
        <f>"002411"</f>
        <v>002411</v>
      </c>
      <c r="B879" t="s">
        <v>1893</v>
      </c>
      <c r="C879">
        <v>-2.38</v>
      </c>
      <c r="D879">
        <v>12.3</v>
      </c>
      <c r="E879">
        <v>-0.3</v>
      </c>
      <c r="F879">
        <v>12.3</v>
      </c>
      <c r="G879">
        <v>12.31</v>
      </c>
      <c r="H879">
        <v>368982</v>
      </c>
      <c r="I879">
        <v>5046</v>
      </c>
      <c r="J879">
        <v>0</v>
      </c>
      <c r="K879">
        <v>2.41</v>
      </c>
      <c r="L879">
        <v>45638.49</v>
      </c>
      <c r="M879" t="s">
        <v>1894</v>
      </c>
      <c r="N879" t="s">
        <v>192</v>
      </c>
      <c r="O879">
        <v>12.5</v>
      </c>
      <c r="P879">
        <v>12.6</v>
      </c>
      <c r="Q879">
        <v>12.22</v>
      </c>
      <c r="R879">
        <v>12.6</v>
      </c>
      <c r="S879">
        <v>23.2</v>
      </c>
      <c r="T879">
        <v>0.69</v>
      </c>
      <c r="U879" t="s">
        <v>317</v>
      </c>
    </row>
    <row r="880" spans="1:21">
      <c r="A880" t="str">
        <f>"002412"</f>
        <v>002412</v>
      </c>
      <c r="B880" t="s">
        <v>1895</v>
      </c>
      <c r="C880">
        <v>0.78</v>
      </c>
      <c r="D880">
        <v>5.17</v>
      </c>
      <c r="E880">
        <v>0.04</v>
      </c>
      <c r="F880">
        <v>5.16</v>
      </c>
      <c r="G880">
        <v>5.17</v>
      </c>
      <c r="H880">
        <v>26407</v>
      </c>
      <c r="I880">
        <v>1067</v>
      </c>
      <c r="J880">
        <v>0</v>
      </c>
      <c r="K880">
        <v>0.53</v>
      </c>
      <c r="L880">
        <v>1360.53</v>
      </c>
      <c r="M880" t="s">
        <v>1896</v>
      </c>
      <c r="N880" t="s">
        <v>270</v>
      </c>
      <c r="O880">
        <v>5.12</v>
      </c>
      <c r="P880">
        <v>5.2</v>
      </c>
      <c r="Q880">
        <v>5.11</v>
      </c>
      <c r="R880">
        <v>5.13</v>
      </c>
      <c r="S880">
        <v>17.19</v>
      </c>
      <c r="T880">
        <v>0.99</v>
      </c>
      <c r="U880" t="s">
        <v>204</v>
      </c>
    </row>
    <row r="881" spans="1:21">
      <c r="A881" t="str">
        <f>"002413"</f>
        <v>002413</v>
      </c>
      <c r="B881" t="s">
        <v>1897</v>
      </c>
      <c r="C881">
        <v>0.94</v>
      </c>
      <c r="D881">
        <v>6.43</v>
      </c>
      <c r="E881">
        <v>0.06</v>
      </c>
      <c r="F881">
        <v>6.43</v>
      </c>
      <c r="G881">
        <v>6.44</v>
      </c>
      <c r="H881">
        <v>193913</v>
      </c>
      <c r="I881">
        <v>1312</v>
      </c>
      <c r="J881">
        <v>0</v>
      </c>
      <c r="K881">
        <v>1.61</v>
      </c>
      <c r="L881">
        <v>12502.98</v>
      </c>
      <c r="M881" t="s">
        <v>1898</v>
      </c>
      <c r="N881" t="s">
        <v>153</v>
      </c>
      <c r="O881">
        <v>6.36</v>
      </c>
      <c r="P881">
        <v>6.51</v>
      </c>
      <c r="Q881">
        <v>6.35</v>
      </c>
      <c r="R881">
        <v>6.37</v>
      </c>
      <c r="S881">
        <v>61.06</v>
      </c>
      <c r="T881">
        <v>0.73</v>
      </c>
      <c r="U881" t="s">
        <v>102</v>
      </c>
    </row>
    <row r="882" spans="1:21">
      <c r="A882" t="str">
        <f>"002414"</f>
        <v>002414</v>
      </c>
      <c r="B882" t="s">
        <v>1899</v>
      </c>
      <c r="C882">
        <v>-0.28</v>
      </c>
      <c r="D882">
        <v>24.92</v>
      </c>
      <c r="E882">
        <v>-0.07</v>
      </c>
      <c r="F882">
        <v>24.91</v>
      </c>
      <c r="G882">
        <v>24.92</v>
      </c>
      <c r="H882">
        <v>245265</v>
      </c>
      <c r="I882">
        <v>2248</v>
      </c>
      <c r="J882">
        <v>0.04</v>
      </c>
      <c r="K882">
        <v>1.31</v>
      </c>
      <c r="L882">
        <v>61242.74</v>
      </c>
      <c r="M882" t="s">
        <v>1900</v>
      </c>
      <c r="N882" t="s">
        <v>1028</v>
      </c>
      <c r="O882">
        <v>24.81</v>
      </c>
      <c r="P882">
        <v>25.3</v>
      </c>
      <c r="Q882">
        <v>24.71</v>
      </c>
      <c r="R882">
        <v>24.99</v>
      </c>
      <c r="S882">
        <v>47.71</v>
      </c>
      <c r="T882">
        <v>0.98</v>
      </c>
      <c r="U882" t="s">
        <v>267</v>
      </c>
    </row>
    <row r="883" spans="1:21">
      <c r="A883" t="str">
        <f>"002415"</f>
        <v>002415</v>
      </c>
      <c r="B883" t="s">
        <v>1901</v>
      </c>
      <c r="C883">
        <v>0.62</v>
      </c>
      <c r="D883">
        <v>50.49</v>
      </c>
      <c r="E883">
        <v>0.31</v>
      </c>
      <c r="F883">
        <v>50.48</v>
      </c>
      <c r="G883">
        <v>50.49</v>
      </c>
      <c r="H883">
        <v>279976</v>
      </c>
      <c r="I883">
        <v>2010</v>
      </c>
      <c r="J883">
        <v>0.14</v>
      </c>
      <c r="K883">
        <v>0.34</v>
      </c>
      <c r="L883">
        <v>140697.72</v>
      </c>
      <c r="M883" t="s">
        <v>1902</v>
      </c>
      <c r="N883" t="s">
        <v>1028</v>
      </c>
      <c r="O883">
        <v>50.19</v>
      </c>
      <c r="P883">
        <v>50.69</v>
      </c>
      <c r="Q883">
        <v>49.98</v>
      </c>
      <c r="R883">
        <v>50.18</v>
      </c>
      <c r="S883">
        <v>32.24</v>
      </c>
      <c r="T883">
        <v>1.25</v>
      </c>
      <c r="U883" t="s">
        <v>200</v>
      </c>
    </row>
    <row r="884" spans="1:21">
      <c r="A884" t="str">
        <f>"002416"</f>
        <v>002416</v>
      </c>
      <c r="B884" t="s">
        <v>1903</v>
      </c>
      <c r="C884">
        <v>8.75</v>
      </c>
      <c r="D884">
        <v>12.31</v>
      </c>
      <c r="E884">
        <v>0.99</v>
      </c>
      <c r="F884">
        <v>12.3</v>
      </c>
      <c r="G884">
        <v>12.31</v>
      </c>
      <c r="H884">
        <v>440609</v>
      </c>
      <c r="I884">
        <v>5302</v>
      </c>
      <c r="J884">
        <v>-0.39</v>
      </c>
      <c r="K884">
        <v>3.6</v>
      </c>
      <c r="L884">
        <v>52760.35</v>
      </c>
      <c r="M884" t="s">
        <v>1904</v>
      </c>
      <c r="N884" t="s">
        <v>1142</v>
      </c>
      <c r="O884">
        <v>11.33</v>
      </c>
      <c r="P884">
        <v>12.38</v>
      </c>
      <c r="Q884">
        <v>11.33</v>
      </c>
      <c r="R884">
        <v>11.32</v>
      </c>
      <c r="S884">
        <v>15.3</v>
      </c>
      <c r="T884">
        <v>2.27</v>
      </c>
      <c r="U884" t="s">
        <v>24</v>
      </c>
    </row>
    <row r="885" spans="1:21">
      <c r="A885" t="str">
        <f>"002417"</f>
        <v>002417</v>
      </c>
      <c r="B885" t="s">
        <v>1905</v>
      </c>
      <c r="C885">
        <v>0.41</v>
      </c>
      <c r="D885">
        <v>4.85</v>
      </c>
      <c r="E885">
        <v>0.02</v>
      </c>
      <c r="F885">
        <v>4.85</v>
      </c>
      <c r="G885">
        <v>4.86</v>
      </c>
      <c r="H885">
        <v>41931</v>
      </c>
      <c r="I885">
        <v>752</v>
      </c>
      <c r="J885">
        <v>0.21</v>
      </c>
      <c r="K885">
        <v>1.87</v>
      </c>
      <c r="L885">
        <v>2043.23</v>
      </c>
      <c r="M885" t="s">
        <v>1906</v>
      </c>
      <c r="N885" t="s">
        <v>30</v>
      </c>
      <c r="O885">
        <v>4.86</v>
      </c>
      <c r="P885">
        <v>4.95</v>
      </c>
      <c r="Q885">
        <v>4.8</v>
      </c>
      <c r="R885">
        <v>4.83</v>
      </c>
      <c r="S885" t="s">
        <v>40</v>
      </c>
      <c r="T885">
        <v>0.69</v>
      </c>
      <c r="U885" t="s">
        <v>102</v>
      </c>
    </row>
    <row r="886" spans="1:21">
      <c r="A886" t="str">
        <f>"002418"</f>
        <v>002418</v>
      </c>
      <c r="B886" t="s">
        <v>1907</v>
      </c>
      <c r="C886">
        <v>9.92</v>
      </c>
      <c r="D886">
        <v>4.21</v>
      </c>
      <c r="E886">
        <v>0.38</v>
      </c>
      <c r="F886">
        <v>4.21</v>
      </c>
      <c r="G886" t="s">
        <v>40</v>
      </c>
      <c r="H886">
        <v>881196</v>
      </c>
      <c r="I886">
        <v>914</v>
      </c>
      <c r="J886">
        <v>0</v>
      </c>
      <c r="K886">
        <v>7.76</v>
      </c>
      <c r="L886">
        <v>35744.25</v>
      </c>
      <c r="M886" t="s">
        <v>1908</v>
      </c>
      <c r="N886" t="s">
        <v>60</v>
      </c>
      <c r="O886">
        <v>3.85</v>
      </c>
      <c r="P886">
        <v>4.21</v>
      </c>
      <c r="Q886">
        <v>3.73</v>
      </c>
      <c r="R886">
        <v>3.83</v>
      </c>
      <c r="S886">
        <v>287.64</v>
      </c>
      <c r="T886">
        <v>4.57</v>
      </c>
      <c r="U886" t="s">
        <v>200</v>
      </c>
    </row>
    <row r="887" spans="1:21">
      <c r="A887" t="str">
        <f>"002419"</f>
        <v>002419</v>
      </c>
      <c r="B887" t="s">
        <v>1909</v>
      </c>
      <c r="C887">
        <v>0.67</v>
      </c>
      <c r="D887">
        <v>6.02</v>
      </c>
      <c r="E887">
        <v>0.04</v>
      </c>
      <c r="F887">
        <v>6.01</v>
      </c>
      <c r="G887">
        <v>6.02</v>
      </c>
      <c r="H887">
        <v>37957</v>
      </c>
      <c r="I887">
        <v>1051</v>
      </c>
      <c r="J887">
        <v>0</v>
      </c>
      <c r="K887">
        <v>0.32</v>
      </c>
      <c r="L887">
        <v>2273.48</v>
      </c>
      <c r="M887" t="s">
        <v>1910</v>
      </c>
      <c r="N887" t="s">
        <v>258</v>
      </c>
      <c r="O887">
        <v>5.97</v>
      </c>
      <c r="P887">
        <v>6.03</v>
      </c>
      <c r="Q887">
        <v>5.96</v>
      </c>
      <c r="R887">
        <v>5.98</v>
      </c>
      <c r="S887">
        <v>21.12</v>
      </c>
      <c r="T887">
        <v>0.57</v>
      </c>
      <c r="U887" t="s">
        <v>24</v>
      </c>
    </row>
    <row r="888" spans="1:21">
      <c r="A888" t="str">
        <f>"002420"</f>
        <v>002420</v>
      </c>
      <c r="B888" t="s">
        <v>1911</v>
      </c>
      <c r="C888">
        <v>3.41</v>
      </c>
      <c r="D888">
        <v>7.27</v>
      </c>
      <c r="E888">
        <v>0.24</v>
      </c>
      <c r="F888">
        <v>7.27</v>
      </c>
      <c r="G888">
        <v>7.28</v>
      </c>
      <c r="H888">
        <v>109202</v>
      </c>
      <c r="I888">
        <v>3430</v>
      </c>
      <c r="J888">
        <v>0</v>
      </c>
      <c r="K888">
        <v>2.8</v>
      </c>
      <c r="L888">
        <v>7847.45</v>
      </c>
      <c r="M888" t="s">
        <v>1912</v>
      </c>
      <c r="N888" t="s">
        <v>60</v>
      </c>
      <c r="O888">
        <v>7.04</v>
      </c>
      <c r="P888">
        <v>7.35</v>
      </c>
      <c r="Q888">
        <v>6.98</v>
      </c>
      <c r="R888">
        <v>7.03</v>
      </c>
      <c r="S888">
        <v>35.84</v>
      </c>
      <c r="T888">
        <v>0.94</v>
      </c>
      <c r="U888" t="s">
        <v>183</v>
      </c>
    </row>
    <row r="889" spans="1:21">
      <c r="A889" t="str">
        <f>"002421"</f>
        <v>002421</v>
      </c>
      <c r="B889" t="s">
        <v>1913</v>
      </c>
      <c r="C889">
        <v>1.13</v>
      </c>
      <c r="D889">
        <v>3.57</v>
      </c>
      <c r="E889">
        <v>0.04</v>
      </c>
      <c r="F889">
        <v>3.57</v>
      </c>
      <c r="G889">
        <v>3.58</v>
      </c>
      <c r="H889">
        <v>99039</v>
      </c>
      <c r="I889">
        <v>1152</v>
      </c>
      <c r="J889">
        <v>-0.27</v>
      </c>
      <c r="K889">
        <v>0.56</v>
      </c>
      <c r="L889">
        <v>3511.96</v>
      </c>
      <c r="M889" t="s">
        <v>1914</v>
      </c>
      <c r="N889" t="s">
        <v>30</v>
      </c>
      <c r="O889">
        <v>3.53</v>
      </c>
      <c r="P889">
        <v>3.58</v>
      </c>
      <c r="Q889">
        <v>3.51</v>
      </c>
      <c r="R889">
        <v>3.53</v>
      </c>
      <c r="S889">
        <v>20.89</v>
      </c>
      <c r="T889">
        <v>0.92</v>
      </c>
      <c r="U889" t="s">
        <v>24</v>
      </c>
    </row>
    <row r="890" spans="1:21">
      <c r="A890" t="str">
        <f>"002422"</f>
        <v>002422</v>
      </c>
      <c r="B890" t="s">
        <v>1915</v>
      </c>
      <c r="C890">
        <v>0.54</v>
      </c>
      <c r="D890">
        <v>18.49</v>
      </c>
      <c r="E890">
        <v>0.1</v>
      </c>
      <c r="F890">
        <v>18.49</v>
      </c>
      <c r="G890">
        <v>18.5</v>
      </c>
      <c r="H890">
        <v>85589</v>
      </c>
      <c r="I890">
        <v>894</v>
      </c>
      <c r="J890">
        <v>-0.04</v>
      </c>
      <c r="K890">
        <v>0.79</v>
      </c>
      <c r="L890">
        <v>15716.43</v>
      </c>
      <c r="M890" t="s">
        <v>1916</v>
      </c>
      <c r="N890" t="s">
        <v>192</v>
      </c>
      <c r="O890">
        <v>18.41</v>
      </c>
      <c r="P890">
        <v>18.52</v>
      </c>
      <c r="Q890">
        <v>18.19</v>
      </c>
      <c r="R890">
        <v>18.39</v>
      </c>
      <c r="S890">
        <v>23.3</v>
      </c>
      <c r="T890">
        <v>0.76</v>
      </c>
      <c r="U890" t="s">
        <v>196</v>
      </c>
    </row>
    <row r="891" spans="1:21">
      <c r="A891" t="str">
        <f>"002423"</f>
        <v>002423</v>
      </c>
      <c r="B891" t="s">
        <v>1917</v>
      </c>
      <c r="C891">
        <v>0.37</v>
      </c>
      <c r="D891">
        <v>8.09</v>
      </c>
      <c r="E891">
        <v>0.03</v>
      </c>
      <c r="F891">
        <v>8.08</v>
      </c>
      <c r="G891">
        <v>8.09</v>
      </c>
      <c r="H891">
        <v>29150</v>
      </c>
      <c r="I891">
        <v>296</v>
      </c>
      <c r="J891">
        <v>0</v>
      </c>
      <c r="K891">
        <v>0.24</v>
      </c>
      <c r="L891">
        <v>2341.98</v>
      </c>
      <c r="M891" t="s">
        <v>1918</v>
      </c>
      <c r="N891" t="s">
        <v>121</v>
      </c>
      <c r="O891">
        <v>8.09</v>
      </c>
      <c r="P891">
        <v>8.09</v>
      </c>
      <c r="Q891">
        <v>7.97</v>
      </c>
      <c r="R891">
        <v>8.06</v>
      </c>
      <c r="S891">
        <v>13.86</v>
      </c>
      <c r="T891">
        <v>0.95</v>
      </c>
      <c r="U891" t="s">
        <v>224</v>
      </c>
    </row>
    <row r="892" spans="1:21">
      <c r="A892" t="str">
        <f>"002424"</f>
        <v>002424</v>
      </c>
      <c r="B892" t="s">
        <v>1919</v>
      </c>
      <c r="C892">
        <v>0.33</v>
      </c>
      <c r="D892">
        <v>6</v>
      </c>
      <c r="E892">
        <v>0.02</v>
      </c>
      <c r="F892">
        <v>6</v>
      </c>
      <c r="G892">
        <v>6.01</v>
      </c>
      <c r="H892">
        <v>70649</v>
      </c>
      <c r="I892">
        <v>346</v>
      </c>
      <c r="J892">
        <v>-0.16</v>
      </c>
      <c r="K892">
        <v>0.75</v>
      </c>
      <c r="L892">
        <v>4219.82</v>
      </c>
      <c r="M892" t="s">
        <v>1920</v>
      </c>
      <c r="N892" t="s">
        <v>270</v>
      </c>
      <c r="O892">
        <v>6</v>
      </c>
      <c r="P892">
        <v>6.01</v>
      </c>
      <c r="Q892">
        <v>5.93</v>
      </c>
      <c r="R892">
        <v>5.98</v>
      </c>
      <c r="S892">
        <v>52.63</v>
      </c>
      <c r="T892">
        <v>1.05</v>
      </c>
      <c r="U892" t="s">
        <v>368</v>
      </c>
    </row>
    <row r="893" spans="1:21">
      <c r="A893" t="str">
        <f>"002425"</f>
        <v>002425</v>
      </c>
      <c r="B893" t="s">
        <v>1921</v>
      </c>
      <c r="C893">
        <v>2.82</v>
      </c>
      <c r="D893">
        <v>8.01</v>
      </c>
      <c r="E893">
        <v>0.22</v>
      </c>
      <c r="F893">
        <v>8.01</v>
      </c>
      <c r="G893">
        <v>8.02</v>
      </c>
      <c r="H893">
        <v>1027758</v>
      </c>
      <c r="I893">
        <v>11881</v>
      </c>
      <c r="J893">
        <v>0</v>
      </c>
      <c r="K893">
        <v>10.75</v>
      </c>
      <c r="L893">
        <v>83589.93</v>
      </c>
      <c r="M893" t="s">
        <v>1922</v>
      </c>
      <c r="N893" t="s">
        <v>479</v>
      </c>
      <c r="O893">
        <v>7.82</v>
      </c>
      <c r="P893">
        <v>8.45</v>
      </c>
      <c r="Q893">
        <v>7.7</v>
      </c>
      <c r="R893">
        <v>7.79</v>
      </c>
      <c r="S893">
        <v>23.74</v>
      </c>
      <c r="T893">
        <v>0.92</v>
      </c>
      <c r="U893" t="s">
        <v>183</v>
      </c>
    </row>
    <row r="894" spans="1:21">
      <c r="A894" t="str">
        <f>"002426"</f>
        <v>002426</v>
      </c>
      <c r="B894" t="s">
        <v>1923</v>
      </c>
      <c r="C894">
        <v>2.73</v>
      </c>
      <c r="D894">
        <v>2.63</v>
      </c>
      <c r="E894">
        <v>0.07</v>
      </c>
      <c r="F894">
        <v>2.63</v>
      </c>
      <c r="G894">
        <v>2.64</v>
      </c>
      <c r="H894">
        <v>1355214</v>
      </c>
      <c r="I894">
        <v>7636</v>
      </c>
      <c r="J894">
        <v>0</v>
      </c>
      <c r="K894">
        <v>4.48</v>
      </c>
      <c r="L894">
        <v>36016.06</v>
      </c>
      <c r="M894" t="s">
        <v>1924</v>
      </c>
      <c r="N894" t="s">
        <v>69</v>
      </c>
      <c r="O894">
        <v>2.58</v>
      </c>
      <c r="P894">
        <v>2.77</v>
      </c>
      <c r="Q894">
        <v>2.55</v>
      </c>
      <c r="R894">
        <v>2.56</v>
      </c>
      <c r="S894">
        <v>1456.02</v>
      </c>
      <c r="T894">
        <v>1.89</v>
      </c>
      <c r="U894" t="s">
        <v>102</v>
      </c>
    </row>
    <row r="895" spans="1:21">
      <c r="A895" t="str">
        <f>"002427"</f>
        <v>002427</v>
      </c>
      <c r="B895" t="s">
        <v>1925</v>
      </c>
      <c r="C895">
        <v>4.95</v>
      </c>
      <c r="D895">
        <v>6.99</v>
      </c>
      <c r="E895">
        <v>0.33</v>
      </c>
      <c r="F895">
        <v>6.99</v>
      </c>
      <c r="G895" t="s">
        <v>40</v>
      </c>
      <c r="H895">
        <v>43474</v>
      </c>
      <c r="I895">
        <v>337</v>
      </c>
      <c r="J895">
        <v>0</v>
      </c>
      <c r="K895">
        <v>0.99</v>
      </c>
      <c r="L895">
        <v>2981.96</v>
      </c>
      <c r="M895" t="s">
        <v>1926</v>
      </c>
      <c r="N895" t="s">
        <v>216</v>
      </c>
      <c r="O895">
        <v>6.77</v>
      </c>
      <c r="P895">
        <v>6.99</v>
      </c>
      <c r="Q895">
        <v>6.66</v>
      </c>
      <c r="R895">
        <v>6.66</v>
      </c>
      <c r="S895" t="s">
        <v>40</v>
      </c>
      <c r="T895">
        <v>1.37</v>
      </c>
      <c r="U895" t="s">
        <v>200</v>
      </c>
    </row>
    <row r="896" spans="1:21">
      <c r="A896" t="str">
        <f>"002428"</f>
        <v>002428</v>
      </c>
      <c r="B896" t="s">
        <v>1927</v>
      </c>
      <c r="C896">
        <v>-0.95</v>
      </c>
      <c r="D896">
        <v>11.53</v>
      </c>
      <c r="E896">
        <v>-0.11</v>
      </c>
      <c r="F896">
        <v>11.53</v>
      </c>
      <c r="G896">
        <v>11.54</v>
      </c>
      <c r="H896">
        <v>182699</v>
      </c>
      <c r="I896">
        <v>3029</v>
      </c>
      <c r="J896">
        <v>-0.08</v>
      </c>
      <c r="K896">
        <v>2.84</v>
      </c>
      <c r="L896">
        <v>20868.87</v>
      </c>
      <c r="M896" t="s">
        <v>1928</v>
      </c>
      <c r="N896" t="s">
        <v>523</v>
      </c>
      <c r="O896">
        <v>11.62</v>
      </c>
      <c r="P896">
        <v>11.62</v>
      </c>
      <c r="Q896">
        <v>11.25</v>
      </c>
      <c r="R896">
        <v>11.64</v>
      </c>
      <c r="S896">
        <v>367.62</v>
      </c>
      <c r="T896">
        <v>1.04</v>
      </c>
      <c r="U896" t="s">
        <v>363</v>
      </c>
    </row>
    <row r="897" spans="1:21">
      <c r="A897" t="str">
        <f>"002429"</f>
        <v>002429</v>
      </c>
      <c r="B897" t="s">
        <v>1929</v>
      </c>
      <c r="C897">
        <v>2.18</v>
      </c>
      <c r="D897">
        <v>5.15</v>
      </c>
      <c r="E897">
        <v>0.11</v>
      </c>
      <c r="F897">
        <v>5.14</v>
      </c>
      <c r="G897">
        <v>5.15</v>
      </c>
      <c r="H897">
        <v>304416</v>
      </c>
      <c r="I897">
        <v>4007</v>
      </c>
      <c r="J897">
        <v>0</v>
      </c>
      <c r="K897">
        <v>0.68</v>
      </c>
      <c r="L897">
        <v>15556.22</v>
      </c>
      <c r="M897" t="s">
        <v>1930</v>
      </c>
      <c r="N897" t="s">
        <v>60</v>
      </c>
      <c r="O897">
        <v>5.06</v>
      </c>
      <c r="P897">
        <v>5.17</v>
      </c>
      <c r="Q897">
        <v>5.05</v>
      </c>
      <c r="R897">
        <v>5.04</v>
      </c>
      <c r="S897">
        <v>11.09</v>
      </c>
      <c r="T897">
        <v>0.84</v>
      </c>
      <c r="U897" t="s">
        <v>24</v>
      </c>
    </row>
    <row r="898" spans="1:21">
      <c r="A898" t="str">
        <f>"002430"</f>
        <v>002430</v>
      </c>
      <c r="B898" t="s">
        <v>1931</v>
      </c>
      <c r="C898">
        <v>5.71</v>
      </c>
      <c r="D898">
        <v>27.78</v>
      </c>
      <c r="E898">
        <v>1.5</v>
      </c>
      <c r="F898">
        <v>27.78</v>
      </c>
      <c r="G898">
        <v>27.79</v>
      </c>
      <c r="H898">
        <v>160555</v>
      </c>
      <c r="I898">
        <v>1217</v>
      </c>
      <c r="J898">
        <v>0.04</v>
      </c>
      <c r="K898">
        <v>1.67</v>
      </c>
      <c r="L898">
        <v>43630.65</v>
      </c>
      <c r="M898" t="s">
        <v>1932</v>
      </c>
      <c r="N898" t="s">
        <v>832</v>
      </c>
      <c r="O898">
        <v>26.08</v>
      </c>
      <c r="P898">
        <v>28</v>
      </c>
      <c r="Q898">
        <v>26.04</v>
      </c>
      <c r="R898">
        <v>26.28</v>
      </c>
      <c r="S898">
        <v>19.2</v>
      </c>
      <c r="T898">
        <v>1.91</v>
      </c>
      <c r="U898" t="s">
        <v>200</v>
      </c>
    </row>
    <row r="899" spans="1:21">
      <c r="A899" t="str">
        <f>"002431"</f>
        <v>002431</v>
      </c>
      <c r="B899" t="s">
        <v>1933</v>
      </c>
      <c r="C899">
        <v>0.99</v>
      </c>
      <c r="D899">
        <v>3.07</v>
      </c>
      <c r="E899">
        <v>0.03</v>
      </c>
      <c r="F899">
        <v>3.06</v>
      </c>
      <c r="G899">
        <v>3.07</v>
      </c>
      <c r="H899">
        <v>359552</v>
      </c>
      <c r="I899">
        <v>3214</v>
      </c>
      <c r="J899">
        <v>0</v>
      </c>
      <c r="K899">
        <v>2.47</v>
      </c>
      <c r="L899">
        <v>11168.53</v>
      </c>
      <c r="M899" t="s">
        <v>1934</v>
      </c>
      <c r="N899" t="s">
        <v>50</v>
      </c>
      <c r="O899">
        <v>3.06</v>
      </c>
      <c r="P899">
        <v>3.2</v>
      </c>
      <c r="Q899">
        <v>3.04</v>
      </c>
      <c r="R899">
        <v>3.04</v>
      </c>
      <c r="S899">
        <v>101.22</v>
      </c>
      <c r="T899">
        <v>0.79</v>
      </c>
      <c r="U899" t="s">
        <v>183</v>
      </c>
    </row>
    <row r="900" spans="1:21">
      <c r="A900" t="str">
        <f>"002432"</f>
        <v>002432</v>
      </c>
      <c r="B900" t="s">
        <v>1935</v>
      </c>
      <c r="C900">
        <v>10.04</v>
      </c>
      <c r="D900">
        <v>10.96</v>
      </c>
      <c r="E900">
        <v>1</v>
      </c>
      <c r="F900">
        <v>10.96</v>
      </c>
      <c r="G900" t="s">
        <v>40</v>
      </c>
      <c r="H900">
        <v>380467</v>
      </c>
      <c r="I900">
        <v>303</v>
      </c>
      <c r="J900">
        <v>0</v>
      </c>
      <c r="K900">
        <v>8.15</v>
      </c>
      <c r="L900">
        <v>40753.43</v>
      </c>
      <c r="M900" t="s">
        <v>1936</v>
      </c>
      <c r="N900" t="s">
        <v>186</v>
      </c>
      <c r="O900">
        <v>10.1</v>
      </c>
      <c r="P900">
        <v>10.96</v>
      </c>
      <c r="Q900">
        <v>10</v>
      </c>
      <c r="R900">
        <v>9.96</v>
      </c>
      <c r="S900">
        <v>78.48</v>
      </c>
      <c r="T900">
        <v>1.21</v>
      </c>
      <c r="U900" t="s">
        <v>360</v>
      </c>
    </row>
    <row r="901" spans="1:21">
      <c r="A901" t="str">
        <f>"002433"</f>
        <v>002433</v>
      </c>
      <c r="B901" t="s">
        <v>1937</v>
      </c>
      <c r="C901">
        <v>-0.96</v>
      </c>
      <c r="D901">
        <v>6.16</v>
      </c>
      <c r="E901">
        <v>-0.06</v>
      </c>
      <c r="F901">
        <v>6.15</v>
      </c>
      <c r="G901">
        <v>6.16</v>
      </c>
      <c r="H901">
        <v>395374</v>
      </c>
      <c r="I901">
        <v>6297</v>
      </c>
      <c r="J901">
        <v>0</v>
      </c>
      <c r="K901">
        <v>5.31</v>
      </c>
      <c r="L901">
        <v>24271.96</v>
      </c>
      <c r="M901" t="s">
        <v>1938</v>
      </c>
      <c r="N901" t="s">
        <v>270</v>
      </c>
      <c r="O901">
        <v>6.24</v>
      </c>
      <c r="P901">
        <v>6.29</v>
      </c>
      <c r="Q901">
        <v>6.04</v>
      </c>
      <c r="R901">
        <v>6.22</v>
      </c>
      <c r="S901">
        <v>6.41</v>
      </c>
      <c r="T901">
        <v>0.61</v>
      </c>
      <c r="U901" t="s">
        <v>183</v>
      </c>
    </row>
    <row r="902" spans="1:21">
      <c r="A902" t="str">
        <f>"002434"</f>
        <v>002434</v>
      </c>
      <c r="B902" t="s">
        <v>1939</v>
      </c>
      <c r="C902">
        <v>4.17</v>
      </c>
      <c r="D902">
        <v>16.5</v>
      </c>
      <c r="E902">
        <v>0.66</v>
      </c>
      <c r="F902">
        <v>16.49</v>
      </c>
      <c r="G902">
        <v>16.5</v>
      </c>
      <c r="H902">
        <v>694205</v>
      </c>
      <c r="I902">
        <v>3591</v>
      </c>
      <c r="J902">
        <v>0.3</v>
      </c>
      <c r="K902">
        <v>5.18</v>
      </c>
      <c r="L902">
        <v>115114.07</v>
      </c>
      <c r="M902" t="s">
        <v>1940</v>
      </c>
      <c r="N902" t="s">
        <v>91</v>
      </c>
      <c r="O902">
        <v>16.12</v>
      </c>
      <c r="P902">
        <v>17.05</v>
      </c>
      <c r="Q902">
        <v>15.85</v>
      </c>
      <c r="R902">
        <v>15.84</v>
      </c>
      <c r="S902">
        <v>32.48</v>
      </c>
      <c r="T902">
        <v>2.41</v>
      </c>
      <c r="U902" t="s">
        <v>200</v>
      </c>
    </row>
    <row r="903" spans="1:21">
      <c r="A903" t="str">
        <f>"002435"</f>
        <v>002435</v>
      </c>
      <c r="B903" t="s">
        <v>1941</v>
      </c>
      <c r="C903">
        <v>-0.41</v>
      </c>
      <c r="D903">
        <v>4.88</v>
      </c>
      <c r="E903">
        <v>-0.02</v>
      </c>
      <c r="F903">
        <v>4.88</v>
      </c>
      <c r="G903">
        <v>4.89</v>
      </c>
      <c r="H903">
        <v>58388</v>
      </c>
      <c r="I903">
        <v>935</v>
      </c>
      <c r="J903">
        <v>0</v>
      </c>
      <c r="K903">
        <v>0.49</v>
      </c>
      <c r="L903">
        <v>2840.63</v>
      </c>
      <c r="M903" t="s">
        <v>1942</v>
      </c>
      <c r="N903" t="s">
        <v>192</v>
      </c>
      <c r="O903">
        <v>4.87</v>
      </c>
      <c r="P903">
        <v>4.89</v>
      </c>
      <c r="Q903">
        <v>4.82</v>
      </c>
      <c r="R903">
        <v>4.9</v>
      </c>
      <c r="S903">
        <v>14.24</v>
      </c>
      <c r="T903">
        <v>0.74</v>
      </c>
      <c r="U903" t="s">
        <v>102</v>
      </c>
    </row>
    <row r="904" spans="1:21">
      <c r="A904" t="str">
        <f>"002436"</f>
        <v>002436</v>
      </c>
      <c r="B904" t="s">
        <v>1943</v>
      </c>
      <c r="C904">
        <v>5.2</v>
      </c>
      <c r="D904">
        <v>14.37</v>
      </c>
      <c r="E904">
        <v>0.71</v>
      </c>
      <c r="F904">
        <v>14.36</v>
      </c>
      <c r="G904">
        <v>14.37</v>
      </c>
      <c r="H904">
        <v>619661</v>
      </c>
      <c r="I904">
        <v>5638</v>
      </c>
      <c r="J904">
        <v>0.28</v>
      </c>
      <c r="K904">
        <v>4.87</v>
      </c>
      <c r="L904">
        <v>87601.7</v>
      </c>
      <c r="M904" t="s">
        <v>1944</v>
      </c>
      <c r="N904" t="s">
        <v>69</v>
      </c>
      <c r="O904">
        <v>13.8</v>
      </c>
      <c r="P904">
        <v>14.54</v>
      </c>
      <c r="Q904">
        <v>13.6</v>
      </c>
      <c r="R904">
        <v>13.66</v>
      </c>
      <c r="S904">
        <v>32.74</v>
      </c>
      <c r="T904">
        <v>1.06</v>
      </c>
      <c r="U904" t="s">
        <v>24</v>
      </c>
    </row>
    <row r="905" spans="1:21">
      <c r="A905" t="str">
        <f>"002437"</f>
        <v>002437</v>
      </c>
      <c r="B905" t="s">
        <v>1945</v>
      </c>
      <c r="C905">
        <v>0.42</v>
      </c>
      <c r="D905">
        <v>2.41</v>
      </c>
      <c r="E905">
        <v>0.01</v>
      </c>
      <c r="F905">
        <v>2.4</v>
      </c>
      <c r="G905">
        <v>2.41</v>
      </c>
      <c r="H905">
        <v>88032</v>
      </c>
      <c r="I905">
        <v>1546</v>
      </c>
      <c r="J905">
        <v>0.42</v>
      </c>
      <c r="K905">
        <v>0.4</v>
      </c>
      <c r="L905">
        <v>2104.72</v>
      </c>
      <c r="M905" t="s">
        <v>1946</v>
      </c>
      <c r="N905" t="s">
        <v>192</v>
      </c>
      <c r="O905">
        <v>2.4</v>
      </c>
      <c r="P905">
        <v>2.41</v>
      </c>
      <c r="Q905">
        <v>2.37</v>
      </c>
      <c r="R905">
        <v>2.4</v>
      </c>
      <c r="S905">
        <v>35.95</v>
      </c>
      <c r="T905">
        <v>0.63</v>
      </c>
      <c r="U905" t="s">
        <v>445</v>
      </c>
    </row>
    <row r="906" spans="1:21">
      <c r="A906" t="str">
        <f>"002438"</f>
        <v>002438</v>
      </c>
      <c r="B906" t="s">
        <v>1947</v>
      </c>
      <c r="C906">
        <v>3.3</v>
      </c>
      <c r="D906">
        <v>17.22</v>
      </c>
      <c r="E906">
        <v>0.55</v>
      </c>
      <c r="F906">
        <v>17.22</v>
      </c>
      <c r="G906">
        <v>17.23</v>
      </c>
      <c r="H906">
        <v>136106</v>
      </c>
      <c r="I906">
        <v>2071</v>
      </c>
      <c r="J906">
        <v>0.41</v>
      </c>
      <c r="K906">
        <v>3.04</v>
      </c>
      <c r="L906">
        <v>23179.58</v>
      </c>
      <c r="M906" t="s">
        <v>1948</v>
      </c>
      <c r="N906" t="s">
        <v>347</v>
      </c>
      <c r="O906">
        <v>16.7</v>
      </c>
      <c r="P906">
        <v>17.45</v>
      </c>
      <c r="Q906">
        <v>16.35</v>
      </c>
      <c r="R906">
        <v>16.67</v>
      </c>
      <c r="S906">
        <v>29.44</v>
      </c>
      <c r="T906">
        <v>1.11</v>
      </c>
      <c r="U906" t="s">
        <v>102</v>
      </c>
    </row>
    <row r="907" spans="1:21">
      <c r="A907" t="str">
        <f>"002439"</f>
        <v>002439</v>
      </c>
      <c r="B907" t="s">
        <v>1949</v>
      </c>
      <c r="C907">
        <v>2.83</v>
      </c>
      <c r="D907">
        <v>28.69</v>
      </c>
      <c r="E907">
        <v>0.79</v>
      </c>
      <c r="F907">
        <v>28.68</v>
      </c>
      <c r="G907">
        <v>28.69</v>
      </c>
      <c r="H907">
        <v>58973</v>
      </c>
      <c r="I907">
        <v>940</v>
      </c>
      <c r="J907">
        <v>0.1</v>
      </c>
      <c r="K907">
        <v>0.82</v>
      </c>
      <c r="L907">
        <v>16927.1</v>
      </c>
      <c r="M907" t="s">
        <v>1950</v>
      </c>
      <c r="N907" t="s">
        <v>30</v>
      </c>
      <c r="O907">
        <v>28</v>
      </c>
      <c r="P907">
        <v>29.04</v>
      </c>
      <c r="Q907">
        <v>28</v>
      </c>
      <c r="R907">
        <v>27.9</v>
      </c>
      <c r="S907" t="s">
        <v>40</v>
      </c>
      <c r="T907">
        <v>1.07</v>
      </c>
      <c r="U907" t="s">
        <v>44</v>
      </c>
    </row>
    <row r="908" spans="1:21">
      <c r="A908" t="str">
        <f>"002440"</f>
        <v>002440</v>
      </c>
      <c r="B908" t="s">
        <v>1951</v>
      </c>
      <c r="C908">
        <v>0.67</v>
      </c>
      <c r="D908">
        <v>9</v>
      </c>
      <c r="E908">
        <v>0.06</v>
      </c>
      <c r="F908">
        <v>9</v>
      </c>
      <c r="G908">
        <v>9.01</v>
      </c>
      <c r="H908">
        <v>76253</v>
      </c>
      <c r="I908">
        <v>379</v>
      </c>
      <c r="J908">
        <v>-0.1</v>
      </c>
      <c r="K908">
        <v>0.8</v>
      </c>
      <c r="L908">
        <v>6799.64</v>
      </c>
      <c r="M908" t="s">
        <v>1952</v>
      </c>
      <c r="N908" t="s">
        <v>416</v>
      </c>
      <c r="O908">
        <v>8.95</v>
      </c>
      <c r="P908">
        <v>9.01</v>
      </c>
      <c r="Q908">
        <v>8.8</v>
      </c>
      <c r="R908">
        <v>8.94</v>
      </c>
      <c r="S908">
        <v>11.61</v>
      </c>
      <c r="T908">
        <v>1.33</v>
      </c>
      <c r="U908" t="s">
        <v>200</v>
      </c>
    </row>
    <row r="909" spans="1:21">
      <c r="A909" t="str">
        <f>"002441"</f>
        <v>002441</v>
      </c>
      <c r="B909" t="s">
        <v>1953</v>
      </c>
      <c r="C909">
        <v>-0.11</v>
      </c>
      <c r="D909">
        <v>8.99</v>
      </c>
      <c r="E909">
        <v>-0.01</v>
      </c>
      <c r="F909">
        <v>8.98</v>
      </c>
      <c r="G909">
        <v>8.99</v>
      </c>
      <c r="H909">
        <v>81265</v>
      </c>
      <c r="I909">
        <v>648</v>
      </c>
      <c r="J909">
        <v>0.11</v>
      </c>
      <c r="K909">
        <v>2.04</v>
      </c>
      <c r="L909">
        <v>7263.22</v>
      </c>
      <c r="M909" t="s">
        <v>1954</v>
      </c>
      <c r="N909" t="s">
        <v>150</v>
      </c>
      <c r="O909">
        <v>9.01</v>
      </c>
      <c r="P909">
        <v>9.1</v>
      </c>
      <c r="Q909">
        <v>8.8</v>
      </c>
      <c r="R909">
        <v>9</v>
      </c>
      <c r="S909">
        <v>11.52</v>
      </c>
      <c r="T909">
        <v>0.89</v>
      </c>
      <c r="U909" t="s">
        <v>183</v>
      </c>
    </row>
    <row r="910" spans="1:21">
      <c r="A910" t="str">
        <f>"002442"</f>
        <v>002442</v>
      </c>
      <c r="B910" t="s">
        <v>1955</v>
      </c>
      <c r="C910">
        <v>1.95</v>
      </c>
      <c r="D910">
        <v>6.26</v>
      </c>
      <c r="E910">
        <v>0.12</v>
      </c>
      <c r="F910">
        <v>6.25</v>
      </c>
      <c r="G910">
        <v>6.26</v>
      </c>
      <c r="H910">
        <v>190416</v>
      </c>
      <c r="I910">
        <v>1265</v>
      </c>
      <c r="J910">
        <v>0.32</v>
      </c>
      <c r="K910">
        <v>3.98</v>
      </c>
      <c r="L910">
        <v>11805.51</v>
      </c>
      <c r="M910" t="s">
        <v>1956</v>
      </c>
      <c r="N910" t="s">
        <v>309</v>
      </c>
      <c r="O910">
        <v>6.15</v>
      </c>
      <c r="P910">
        <v>6.32</v>
      </c>
      <c r="Q910">
        <v>6.03</v>
      </c>
      <c r="R910">
        <v>6.14</v>
      </c>
      <c r="S910">
        <v>16.15</v>
      </c>
      <c r="T910">
        <v>1.44</v>
      </c>
      <c r="U910" t="s">
        <v>207</v>
      </c>
    </row>
    <row r="911" spans="1:21">
      <c r="A911" t="str">
        <f>"002443"</f>
        <v>002443</v>
      </c>
      <c r="B911" t="s">
        <v>1957</v>
      </c>
      <c r="C911">
        <v>0</v>
      </c>
      <c r="D911">
        <v>5.88</v>
      </c>
      <c r="E911">
        <v>0</v>
      </c>
      <c r="F911">
        <v>5.87</v>
      </c>
      <c r="G911">
        <v>5.88</v>
      </c>
      <c r="H911">
        <v>56216</v>
      </c>
      <c r="I911">
        <v>893</v>
      </c>
      <c r="J911">
        <v>0.17</v>
      </c>
      <c r="K911">
        <v>1.08</v>
      </c>
      <c r="L911">
        <v>3286.43</v>
      </c>
      <c r="M911" t="s">
        <v>1926</v>
      </c>
      <c r="N911" t="s">
        <v>724</v>
      </c>
      <c r="O911">
        <v>5.89</v>
      </c>
      <c r="P911">
        <v>5.91</v>
      </c>
      <c r="Q911">
        <v>5.8</v>
      </c>
      <c r="R911">
        <v>5.88</v>
      </c>
      <c r="S911">
        <v>7.99</v>
      </c>
      <c r="T911">
        <v>1.32</v>
      </c>
      <c r="U911" t="s">
        <v>200</v>
      </c>
    </row>
    <row r="912" spans="1:21">
      <c r="A912" t="str">
        <f>"002444"</f>
        <v>002444</v>
      </c>
      <c r="B912" t="s">
        <v>1958</v>
      </c>
      <c r="C912">
        <v>0.33</v>
      </c>
      <c r="D912">
        <v>33.75</v>
      </c>
      <c r="E912">
        <v>0.11</v>
      </c>
      <c r="F912">
        <v>33.69</v>
      </c>
      <c r="G912">
        <v>33.75</v>
      </c>
      <c r="H912">
        <v>27689</v>
      </c>
      <c r="I912">
        <v>368</v>
      </c>
      <c r="J912">
        <v>0.06</v>
      </c>
      <c r="K912">
        <v>0.26</v>
      </c>
      <c r="L912">
        <v>9343.07</v>
      </c>
      <c r="M912" t="s">
        <v>1959</v>
      </c>
      <c r="N912" t="s">
        <v>111</v>
      </c>
      <c r="O912">
        <v>33.86</v>
      </c>
      <c r="P912">
        <v>34.09</v>
      </c>
      <c r="Q912">
        <v>33.38</v>
      </c>
      <c r="R912">
        <v>33.64</v>
      </c>
      <c r="S912">
        <v>25.15</v>
      </c>
      <c r="T912">
        <v>0.62</v>
      </c>
      <c r="U912" t="s">
        <v>200</v>
      </c>
    </row>
    <row r="913" spans="1:21">
      <c r="A913" t="str">
        <f>"002445"</f>
        <v>002445</v>
      </c>
      <c r="B913" t="s">
        <v>1960</v>
      </c>
      <c r="C913">
        <v>-1.43</v>
      </c>
      <c r="D913">
        <v>2.76</v>
      </c>
      <c r="E913">
        <v>-0.04</v>
      </c>
      <c r="F913">
        <v>2.75</v>
      </c>
      <c r="G913">
        <v>2.76</v>
      </c>
      <c r="H913">
        <v>274922</v>
      </c>
      <c r="I913">
        <v>3878</v>
      </c>
      <c r="J913">
        <v>0</v>
      </c>
      <c r="K913">
        <v>1.19</v>
      </c>
      <c r="L913">
        <v>7502.51</v>
      </c>
      <c r="M913" t="s">
        <v>1961</v>
      </c>
      <c r="N913" t="s">
        <v>199</v>
      </c>
      <c r="O913">
        <v>2.79</v>
      </c>
      <c r="P913">
        <v>2.8</v>
      </c>
      <c r="Q913">
        <v>2.68</v>
      </c>
      <c r="R913">
        <v>2.8</v>
      </c>
      <c r="S913">
        <v>13.34</v>
      </c>
      <c r="T913">
        <v>0.86</v>
      </c>
      <c r="U913" t="s">
        <v>102</v>
      </c>
    </row>
    <row r="914" spans="1:21">
      <c r="A914" t="str">
        <f>"002446"</f>
        <v>002446</v>
      </c>
      <c r="B914" t="s">
        <v>1962</v>
      </c>
      <c r="C914">
        <v>7.64</v>
      </c>
      <c r="D914">
        <v>6.76</v>
      </c>
      <c r="E914">
        <v>0.48</v>
      </c>
      <c r="F914">
        <v>6.75</v>
      </c>
      <c r="G914">
        <v>6.76</v>
      </c>
      <c r="H914">
        <v>941965</v>
      </c>
      <c r="I914">
        <v>10758</v>
      </c>
      <c r="J914">
        <v>0.45</v>
      </c>
      <c r="K914">
        <v>11.31</v>
      </c>
      <c r="L914">
        <v>62568.94</v>
      </c>
      <c r="M914" t="s">
        <v>1963</v>
      </c>
      <c r="N914" t="s">
        <v>153</v>
      </c>
      <c r="O914">
        <v>6.32</v>
      </c>
      <c r="P914">
        <v>6.86</v>
      </c>
      <c r="Q914">
        <v>6.27</v>
      </c>
      <c r="R914">
        <v>6.28</v>
      </c>
      <c r="S914">
        <v>315.42</v>
      </c>
      <c r="T914">
        <v>3.19</v>
      </c>
      <c r="U914" t="s">
        <v>183</v>
      </c>
    </row>
    <row r="915" spans="1:21">
      <c r="A915" t="str">
        <f>"002447"</f>
        <v>002447</v>
      </c>
      <c r="B915" t="s">
        <v>1964</v>
      </c>
      <c r="C915">
        <v>0</v>
      </c>
      <c r="D915">
        <v>1.87</v>
      </c>
      <c r="E915">
        <v>0</v>
      </c>
      <c r="F915">
        <v>1.87</v>
      </c>
      <c r="G915">
        <v>1.88</v>
      </c>
      <c r="H915">
        <v>69785</v>
      </c>
      <c r="I915">
        <v>199</v>
      </c>
      <c r="J915">
        <v>-0.52</v>
      </c>
      <c r="K915">
        <v>0.49</v>
      </c>
      <c r="L915">
        <v>1306.61</v>
      </c>
      <c r="M915" t="s">
        <v>1965</v>
      </c>
      <c r="N915" t="s">
        <v>479</v>
      </c>
      <c r="O915">
        <v>1.86</v>
      </c>
      <c r="P915">
        <v>1.88</v>
      </c>
      <c r="Q915">
        <v>1.86</v>
      </c>
      <c r="R915">
        <v>1.87</v>
      </c>
      <c r="S915" t="s">
        <v>40</v>
      </c>
      <c r="T915">
        <v>0.64</v>
      </c>
      <c r="U915" t="s">
        <v>141</v>
      </c>
    </row>
    <row r="916" spans="1:21">
      <c r="A916" t="str">
        <f>"002448"</f>
        <v>002448</v>
      </c>
      <c r="B916" t="s">
        <v>1966</v>
      </c>
      <c r="C916">
        <v>-3.23</v>
      </c>
      <c r="D916">
        <v>7.79</v>
      </c>
      <c r="E916">
        <v>-0.26</v>
      </c>
      <c r="F916">
        <v>7.78</v>
      </c>
      <c r="G916">
        <v>7.79</v>
      </c>
      <c r="H916">
        <v>533113</v>
      </c>
      <c r="I916">
        <v>5609</v>
      </c>
      <c r="J916">
        <v>-0.12</v>
      </c>
      <c r="K916">
        <v>11.18</v>
      </c>
      <c r="L916">
        <v>40976.94</v>
      </c>
      <c r="M916" t="s">
        <v>1967</v>
      </c>
      <c r="N916" t="s">
        <v>91</v>
      </c>
      <c r="O916">
        <v>7.99</v>
      </c>
      <c r="P916">
        <v>7.99</v>
      </c>
      <c r="Q916">
        <v>7.35</v>
      </c>
      <c r="R916">
        <v>8.05</v>
      </c>
      <c r="S916">
        <v>19.12</v>
      </c>
      <c r="T916">
        <v>1.44</v>
      </c>
      <c r="U916" t="s">
        <v>224</v>
      </c>
    </row>
    <row r="917" spans="1:21">
      <c r="A917" t="str">
        <f>"002449"</f>
        <v>002449</v>
      </c>
      <c r="B917" t="s">
        <v>1968</v>
      </c>
      <c r="C917">
        <v>0.36</v>
      </c>
      <c r="D917">
        <v>11.06</v>
      </c>
      <c r="E917">
        <v>0.04</v>
      </c>
      <c r="F917">
        <v>11.05</v>
      </c>
      <c r="G917">
        <v>11.06</v>
      </c>
      <c r="H917">
        <v>120436</v>
      </c>
      <c r="I917">
        <v>682</v>
      </c>
      <c r="J917">
        <v>0.27</v>
      </c>
      <c r="K917">
        <v>1.97</v>
      </c>
      <c r="L917">
        <v>13240.69</v>
      </c>
      <c r="M917" t="s">
        <v>1969</v>
      </c>
      <c r="N917" t="s">
        <v>1246</v>
      </c>
      <c r="O917">
        <v>11.01</v>
      </c>
      <c r="P917">
        <v>11.13</v>
      </c>
      <c r="Q917">
        <v>10.81</v>
      </c>
      <c r="R917">
        <v>11.02</v>
      </c>
      <c r="S917">
        <v>28.88</v>
      </c>
      <c r="T917">
        <v>0.64</v>
      </c>
      <c r="U917" t="s">
        <v>183</v>
      </c>
    </row>
    <row r="918" spans="1:21">
      <c r="A918" t="str">
        <f>"002451"</f>
        <v>002451</v>
      </c>
      <c r="B918" t="s">
        <v>1970</v>
      </c>
      <c r="C918">
        <v>2.07</v>
      </c>
      <c r="D918">
        <v>8.39</v>
      </c>
      <c r="E918">
        <v>0.17</v>
      </c>
      <c r="F918">
        <v>8.39</v>
      </c>
      <c r="G918">
        <v>8.4</v>
      </c>
      <c r="H918">
        <v>125149</v>
      </c>
      <c r="I918">
        <v>3418</v>
      </c>
      <c r="J918">
        <v>0.12</v>
      </c>
      <c r="K918">
        <v>2.85</v>
      </c>
      <c r="L918">
        <v>10373.5</v>
      </c>
      <c r="M918" t="s">
        <v>1971</v>
      </c>
      <c r="N918" t="s">
        <v>47</v>
      </c>
      <c r="O918">
        <v>8.16</v>
      </c>
      <c r="P918">
        <v>8.4</v>
      </c>
      <c r="Q918">
        <v>8.14</v>
      </c>
      <c r="R918">
        <v>8.22</v>
      </c>
      <c r="S918">
        <v>336.97</v>
      </c>
      <c r="T918">
        <v>0.8</v>
      </c>
      <c r="U918" t="s">
        <v>848</v>
      </c>
    </row>
    <row r="919" spans="1:21">
      <c r="A919" t="str">
        <f>"002452"</f>
        <v>002452</v>
      </c>
      <c r="B919" t="s">
        <v>1972</v>
      </c>
      <c r="C919">
        <v>0.33</v>
      </c>
      <c r="D919">
        <v>9.17</v>
      </c>
      <c r="E919">
        <v>0.03</v>
      </c>
      <c r="F919">
        <v>9.17</v>
      </c>
      <c r="G919">
        <v>9.18</v>
      </c>
      <c r="H919">
        <v>402273</v>
      </c>
      <c r="I919">
        <v>6836</v>
      </c>
      <c r="J919">
        <v>0</v>
      </c>
      <c r="K919">
        <v>9.46</v>
      </c>
      <c r="L919">
        <v>37156.99</v>
      </c>
      <c r="M919" t="s">
        <v>1973</v>
      </c>
      <c r="N919" t="s">
        <v>47</v>
      </c>
      <c r="O919">
        <v>9.38</v>
      </c>
      <c r="P919">
        <v>9.52</v>
      </c>
      <c r="Q919">
        <v>9.05</v>
      </c>
      <c r="R919">
        <v>9.14</v>
      </c>
      <c r="S919">
        <v>22.23</v>
      </c>
      <c r="T919">
        <v>0.73</v>
      </c>
      <c r="U919" t="s">
        <v>204</v>
      </c>
    </row>
    <row r="920" spans="1:21">
      <c r="A920" t="str">
        <f>"002453"</f>
        <v>002453</v>
      </c>
      <c r="B920" t="s">
        <v>1974</v>
      </c>
      <c r="C920">
        <v>-0.2</v>
      </c>
      <c r="D920">
        <v>20</v>
      </c>
      <c r="E920">
        <v>-0.04</v>
      </c>
      <c r="F920">
        <v>19.99</v>
      </c>
      <c r="G920">
        <v>20</v>
      </c>
      <c r="H920">
        <v>234855</v>
      </c>
      <c r="I920">
        <v>1688</v>
      </c>
      <c r="J920">
        <v>0</v>
      </c>
      <c r="K920">
        <v>3.84</v>
      </c>
      <c r="L920">
        <v>46905.86</v>
      </c>
      <c r="M920" t="s">
        <v>1975</v>
      </c>
      <c r="N920" t="s">
        <v>30</v>
      </c>
      <c r="O920">
        <v>20.24</v>
      </c>
      <c r="P920">
        <v>20.42</v>
      </c>
      <c r="Q920">
        <v>19.55</v>
      </c>
      <c r="R920">
        <v>20.04</v>
      </c>
      <c r="S920">
        <v>215.22</v>
      </c>
      <c r="T920">
        <v>0.52</v>
      </c>
      <c r="U920" t="s">
        <v>102</v>
      </c>
    </row>
    <row r="921" spans="1:21">
      <c r="A921" t="str">
        <f>"002454"</f>
        <v>002454</v>
      </c>
      <c r="B921" t="s">
        <v>1976</v>
      </c>
      <c r="C921">
        <v>6.7</v>
      </c>
      <c r="D921">
        <v>10.99</v>
      </c>
      <c r="E921">
        <v>0.69</v>
      </c>
      <c r="F921">
        <v>10.98</v>
      </c>
      <c r="G921">
        <v>10.99</v>
      </c>
      <c r="H921">
        <v>308930</v>
      </c>
      <c r="I921">
        <v>6055</v>
      </c>
      <c r="J921">
        <v>1.29</v>
      </c>
      <c r="K921">
        <v>4.94</v>
      </c>
      <c r="L921">
        <v>33176.5</v>
      </c>
      <c r="M921" t="s">
        <v>1977</v>
      </c>
      <c r="N921" t="s">
        <v>91</v>
      </c>
      <c r="O921">
        <v>10.3</v>
      </c>
      <c r="P921">
        <v>11.11</v>
      </c>
      <c r="Q921">
        <v>10.19</v>
      </c>
      <c r="R921">
        <v>10.3</v>
      </c>
      <c r="S921">
        <v>51.48</v>
      </c>
      <c r="T921">
        <v>0.9</v>
      </c>
      <c r="U921" t="s">
        <v>848</v>
      </c>
    </row>
    <row r="922" spans="1:21">
      <c r="A922" t="str">
        <f>"002455"</f>
        <v>002455</v>
      </c>
      <c r="B922" t="s">
        <v>1978</v>
      </c>
      <c r="C922">
        <v>0.75</v>
      </c>
      <c r="D922">
        <v>16.13</v>
      </c>
      <c r="E922">
        <v>0.12</v>
      </c>
      <c r="F922">
        <v>16.12</v>
      </c>
      <c r="G922">
        <v>16.13</v>
      </c>
      <c r="H922">
        <v>218362</v>
      </c>
      <c r="I922">
        <v>3414</v>
      </c>
      <c r="J922">
        <v>0.31</v>
      </c>
      <c r="K922">
        <v>4.85</v>
      </c>
      <c r="L922">
        <v>35052.37</v>
      </c>
      <c r="M922" t="s">
        <v>1979</v>
      </c>
      <c r="N922" t="s">
        <v>309</v>
      </c>
      <c r="O922">
        <v>15.89</v>
      </c>
      <c r="P922">
        <v>16.28</v>
      </c>
      <c r="Q922">
        <v>15.82</v>
      </c>
      <c r="R922">
        <v>16.01</v>
      </c>
      <c r="S922">
        <v>55.04</v>
      </c>
      <c r="T922">
        <v>0.7</v>
      </c>
      <c r="U922" t="s">
        <v>102</v>
      </c>
    </row>
    <row r="923" spans="1:21">
      <c r="A923" t="str">
        <f>"002456"</f>
        <v>002456</v>
      </c>
      <c r="B923" t="s">
        <v>1980</v>
      </c>
      <c r="C923">
        <v>0.57</v>
      </c>
      <c r="D923">
        <v>8.8</v>
      </c>
      <c r="E923">
        <v>0.05</v>
      </c>
      <c r="F923">
        <v>8.8</v>
      </c>
      <c r="G923">
        <v>8.81</v>
      </c>
      <c r="H923">
        <v>515776</v>
      </c>
      <c r="I923">
        <v>4176</v>
      </c>
      <c r="J923">
        <v>-0.1</v>
      </c>
      <c r="K923">
        <v>1.92</v>
      </c>
      <c r="L923">
        <v>45364.83</v>
      </c>
      <c r="M923" t="s">
        <v>1981</v>
      </c>
      <c r="N923" t="s">
        <v>69</v>
      </c>
      <c r="O923">
        <v>8.8</v>
      </c>
      <c r="P923">
        <v>8.9</v>
      </c>
      <c r="Q923">
        <v>8.68</v>
      </c>
      <c r="R923">
        <v>8.75</v>
      </c>
      <c r="S923" t="s">
        <v>40</v>
      </c>
      <c r="T923">
        <v>0.71</v>
      </c>
      <c r="U923" t="s">
        <v>24</v>
      </c>
    </row>
    <row r="924" spans="1:21">
      <c r="A924" t="str">
        <f>"002457"</f>
        <v>002457</v>
      </c>
      <c r="B924" t="s">
        <v>1982</v>
      </c>
      <c r="C924">
        <v>0.52</v>
      </c>
      <c r="D924">
        <v>7.69</v>
      </c>
      <c r="E924">
        <v>0.04</v>
      </c>
      <c r="F924">
        <v>7.68</v>
      </c>
      <c r="G924">
        <v>7.69</v>
      </c>
      <c r="H924">
        <v>27955</v>
      </c>
      <c r="I924">
        <v>447</v>
      </c>
      <c r="J924">
        <v>0.13</v>
      </c>
      <c r="K924">
        <v>0.83</v>
      </c>
      <c r="L924">
        <v>2142.69</v>
      </c>
      <c r="M924" t="s">
        <v>1983</v>
      </c>
      <c r="N924" t="s">
        <v>839</v>
      </c>
      <c r="O924">
        <v>7.61</v>
      </c>
      <c r="P924">
        <v>7.71</v>
      </c>
      <c r="Q924">
        <v>7.61</v>
      </c>
      <c r="R924">
        <v>7.65</v>
      </c>
      <c r="S924">
        <v>22.51</v>
      </c>
      <c r="T924">
        <v>0.88</v>
      </c>
      <c r="U924" t="s">
        <v>401</v>
      </c>
    </row>
    <row r="925" spans="1:21">
      <c r="A925" t="str">
        <f>"002458"</f>
        <v>002458</v>
      </c>
      <c r="B925" t="s">
        <v>1984</v>
      </c>
      <c r="C925">
        <v>-1.58</v>
      </c>
      <c r="D925">
        <v>11.19</v>
      </c>
      <c r="E925">
        <v>-0.18</v>
      </c>
      <c r="F925">
        <v>11.19</v>
      </c>
      <c r="G925">
        <v>11.2</v>
      </c>
      <c r="H925">
        <v>238716</v>
      </c>
      <c r="I925">
        <v>4644</v>
      </c>
      <c r="J925">
        <v>-0.08</v>
      </c>
      <c r="K925">
        <v>3.53</v>
      </c>
      <c r="L925">
        <v>26523.57</v>
      </c>
      <c r="M925" t="s">
        <v>1985</v>
      </c>
      <c r="N925" t="s">
        <v>147</v>
      </c>
      <c r="O925">
        <v>11.54</v>
      </c>
      <c r="P925">
        <v>11.55</v>
      </c>
      <c r="Q925">
        <v>10.97</v>
      </c>
      <c r="R925">
        <v>11.37</v>
      </c>
      <c r="S925">
        <v>36.46</v>
      </c>
      <c r="T925">
        <v>0.98</v>
      </c>
      <c r="U925" t="s">
        <v>221</v>
      </c>
    </row>
    <row r="926" spans="1:21">
      <c r="A926" t="str">
        <f>"002459"</f>
        <v>002459</v>
      </c>
      <c r="B926" t="s">
        <v>1986</v>
      </c>
      <c r="C926">
        <v>5.91</v>
      </c>
      <c r="D926">
        <v>100</v>
      </c>
      <c r="E926">
        <v>5.58</v>
      </c>
      <c r="F926">
        <v>100</v>
      </c>
      <c r="G926">
        <v>100.01</v>
      </c>
      <c r="H926">
        <v>261035</v>
      </c>
      <c r="I926">
        <v>2922</v>
      </c>
      <c r="J926">
        <v>0.24</v>
      </c>
      <c r="K926">
        <v>4.09</v>
      </c>
      <c r="L926">
        <v>253601.95</v>
      </c>
      <c r="M926" t="s">
        <v>1987</v>
      </c>
      <c r="N926" t="s">
        <v>47</v>
      </c>
      <c r="O926">
        <v>92.81</v>
      </c>
      <c r="P926">
        <v>101.03</v>
      </c>
      <c r="Q926">
        <v>91.25</v>
      </c>
      <c r="R926">
        <v>94.42</v>
      </c>
      <c r="S926">
        <v>91.34</v>
      </c>
      <c r="T926">
        <v>1.64</v>
      </c>
      <c r="U926" t="s">
        <v>207</v>
      </c>
    </row>
    <row r="927" spans="1:21">
      <c r="A927" t="str">
        <f>"002460"</f>
        <v>002460</v>
      </c>
      <c r="B927" t="s">
        <v>1988</v>
      </c>
      <c r="C927">
        <v>-2.35</v>
      </c>
      <c r="D927">
        <v>158.7</v>
      </c>
      <c r="E927">
        <v>-3.82</v>
      </c>
      <c r="F927">
        <v>158.68</v>
      </c>
      <c r="G927">
        <v>158.7</v>
      </c>
      <c r="H927">
        <v>296465</v>
      </c>
      <c r="I927">
        <v>7984</v>
      </c>
      <c r="J927">
        <v>0.56</v>
      </c>
      <c r="K927">
        <v>3.45</v>
      </c>
      <c r="L927">
        <v>470756.15</v>
      </c>
      <c r="M927" t="s">
        <v>1989</v>
      </c>
      <c r="N927" t="s">
        <v>523</v>
      </c>
      <c r="O927">
        <v>160.8</v>
      </c>
      <c r="P927">
        <v>161.99</v>
      </c>
      <c r="Q927">
        <v>156.58</v>
      </c>
      <c r="R927">
        <v>162.52</v>
      </c>
      <c r="S927">
        <v>69.19</v>
      </c>
      <c r="T927">
        <v>0.97</v>
      </c>
      <c r="U927" t="s">
        <v>235</v>
      </c>
    </row>
    <row r="928" spans="1:21">
      <c r="A928" t="str">
        <f>"002461"</f>
        <v>002461</v>
      </c>
      <c r="B928" t="s">
        <v>1990</v>
      </c>
      <c r="C928">
        <v>0.85</v>
      </c>
      <c r="D928">
        <v>9.52</v>
      </c>
      <c r="E928">
        <v>0.08</v>
      </c>
      <c r="F928">
        <v>9.51</v>
      </c>
      <c r="G928">
        <v>9.52</v>
      </c>
      <c r="H928">
        <v>60554</v>
      </c>
      <c r="I928">
        <v>1075</v>
      </c>
      <c r="J928">
        <v>0.11</v>
      </c>
      <c r="K928">
        <v>0.27</v>
      </c>
      <c r="L928">
        <v>5775.01</v>
      </c>
      <c r="M928" t="s">
        <v>1991</v>
      </c>
      <c r="N928" t="s">
        <v>671</v>
      </c>
      <c r="O928">
        <v>9.42</v>
      </c>
      <c r="P928">
        <v>9.62</v>
      </c>
      <c r="Q928">
        <v>9.38</v>
      </c>
      <c r="R928">
        <v>9.44</v>
      </c>
      <c r="S928">
        <v>26.58</v>
      </c>
      <c r="T928">
        <v>0.85</v>
      </c>
      <c r="U928" t="s">
        <v>183</v>
      </c>
    </row>
    <row r="929" spans="1:21">
      <c r="A929" t="str">
        <f>"002462"</f>
        <v>002462</v>
      </c>
      <c r="B929" t="s">
        <v>1992</v>
      </c>
      <c r="C929">
        <v>0.66</v>
      </c>
      <c r="D929">
        <v>12.25</v>
      </c>
      <c r="E929">
        <v>0.08</v>
      </c>
      <c r="F929">
        <v>12.24</v>
      </c>
      <c r="G929">
        <v>12.25</v>
      </c>
      <c r="H929">
        <v>8517</v>
      </c>
      <c r="I929">
        <v>52</v>
      </c>
      <c r="J929">
        <v>0</v>
      </c>
      <c r="K929">
        <v>0.34</v>
      </c>
      <c r="L929">
        <v>1038.23</v>
      </c>
      <c r="M929" t="s">
        <v>1993</v>
      </c>
      <c r="N929" t="s">
        <v>86</v>
      </c>
      <c r="O929">
        <v>12.18</v>
      </c>
      <c r="P929">
        <v>12.27</v>
      </c>
      <c r="Q929">
        <v>12.11</v>
      </c>
      <c r="R929">
        <v>12.17</v>
      </c>
      <c r="S929">
        <v>10.09</v>
      </c>
      <c r="T929">
        <v>0.87</v>
      </c>
      <c r="U929" t="s">
        <v>44</v>
      </c>
    </row>
    <row r="930" spans="1:21">
      <c r="A930" t="str">
        <f>"002463"</f>
        <v>002463</v>
      </c>
      <c r="B930" t="s">
        <v>1994</v>
      </c>
      <c r="C930">
        <v>1.46</v>
      </c>
      <c r="D930">
        <v>13.87</v>
      </c>
      <c r="E930">
        <v>0.2</v>
      </c>
      <c r="F930">
        <v>13.87</v>
      </c>
      <c r="G930">
        <v>13.88</v>
      </c>
      <c r="H930">
        <v>598539</v>
      </c>
      <c r="I930">
        <v>3431</v>
      </c>
      <c r="J930">
        <v>-0.21</v>
      </c>
      <c r="K930">
        <v>3.16</v>
      </c>
      <c r="L930">
        <v>82879.11</v>
      </c>
      <c r="M930" t="s">
        <v>1995</v>
      </c>
      <c r="N930" t="s">
        <v>69</v>
      </c>
      <c r="O930">
        <v>13.69</v>
      </c>
      <c r="P930">
        <v>14.1</v>
      </c>
      <c r="Q930">
        <v>13.55</v>
      </c>
      <c r="R930">
        <v>13.67</v>
      </c>
      <c r="S930">
        <v>25.11</v>
      </c>
      <c r="T930">
        <v>0.6</v>
      </c>
      <c r="U930" t="s">
        <v>102</v>
      </c>
    </row>
    <row r="931" spans="1:21">
      <c r="A931" t="str">
        <f>"002464"</f>
        <v>002464</v>
      </c>
      <c r="B931" t="s">
        <v>1996</v>
      </c>
      <c r="C931">
        <v>-2.9</v>
      </c>
      <c r="D931">
        <v>5.02</v>
      </c>
      <c r="E931">
        <v>-0.15</v>
      </c>
      <c r="F931">
        <v>5.01</v>
      </c>
      <c r="G931">
        <v>5.02</v>
      </c>
      <c r="H931">
        <v>377129</v>
      </c>
      <c r="I931">
        <v>5187</v>
      </c>
      <c r="J931">
        <v>0</v>
      </c>
      <c r="K931">
        <v>7.23</v>
      </c>
      <c r="L931">
        <v>19460.18</v>
      </c>
      <c r="M931" t="s">
        <v>1997</v>
      </c>
      <c r="N931" t="s">
        <v>479</v>
      </c>
      <c r="O931">
        <v>5.26</v>
      </c>
      <c r="P931">
        <v>5.39</v>
      </c>
      <c r="Q931">
        <v>4.99</v>
      </c>
      <c r="R931">
        <v>5.17</v>
      </c>
      <c r="S931" t="s">
        <v>40</v>
      </c>
      <c r="T931">
        <v>1.19</v>
      </c>
      <c r="U931" t="s">
        <v>102</v>
      </c>
    </row>
    <row r="932" spans="1:21">
      <c r="A932" t="str">
        <f>"002465"</f>
        <v>002465</v>
      </c>
      <c r="B932" t="s">
        <v>1998</v>
      </c>
      <c r="C932">
        <v>0.4</v>
      </c>
      <c r="D932">
        <v>10.01</v>
      </c>
      <c r="E932">
        <v>0.04</v>
      </c>
      <c r="F932">
        <v>10</v>
      </c>
      <c r="G932">
        <v>10.01</v>
      </c>
      <c r="H932">
        <v>231865</v>
      </c>
      <c r="I932">
        <v>2177</v>
      </c>
      <c r="J932">
        <v>0</v>
      </c>
      <c r="K932">
        <v>1.02</v>
      </c>
      <c r="L932">
        <v>23141.24</v>
      </c>
      <c r="M932" t="s">
        <v>1999</v>
      </c>
      <c r="N932" t="s">
        <v>153</v>
      </c>
      <c r="O932">
        <v>9.96</v>
      </c>
      <c r="P932">
        <v>10.04</v>
      </c>
      <c r="Q932">
        <v>9.9</v>
      </c>
      <c r="R932">
        <v>9.97</v>
      </c>
      <c r="S932">
        <v>45.27</v>
      </c>
      <c r="T932">
        <v>0.76</v>
      </c>
      <c r="U932" t="s">
        <v>183</v>
      </c>
    </row>
    <row r="933" spans="1:21">
      <c r="A933" t="str">
        <f>"002466"</f>
        <v>002466</v>
      </c>
      <c r="B933" t="s">
        <v>2000</v>
      </c>
      <c r="C933">
        <v>0.22</v>
      </c>
      <c r="D933">
        <v>109</v>
      </c>
      <c r="E933">
        <v>0.24</v>
      </c>
      <c r="F933">
        <v>109</v>
      </c>
      <c r="G933">
        <v>109.01</v>
      </c>
      <c r="H933">
        <v>714410</v>
      </c>
      <c r="I933">
        <v>9890</v>
      </c>
      <c r="J933">
        <v>0.18</v>
      </c>
      <c r="K933">
        <v>4.85</v>
      </c>
      <c r="L933">
        <v>772090.42</v>
      </c>
      <c r="M933" t="s">
        <v>2001</v>
      </c>
      <c r="N933" t="s">
        <v>523</v>
      </c>
      <c r="O933">
        <v>108</v>
      </c>
      <c r="P933">
        <v>110.6</v>
      </c>
      <c r="Q933">
        <v>105.49</v>
      </c>
      <c r="R933">
        <v>108.76</v>
      </c>
      <c r="S933">
        <v>227.92</v>
      </c>
      <c r="T933">
        <v>0.96</v>
      </c>
      <c r="U933" t="s">
        <v>196</v>
      </c>
    </row>
    <row r="934" spans="1:21">
      <c r="A934" t="str">
        <f>"002467"</f>
        <v>002467</v>
      </c>
      <c r="B934" t="s">
        <v>2002</v>
      </c>
      <c r="C934">
        <v>10.05</v>
      </c>
      <c r="D934">
        <v>4.38</v>
      </c>
      <c r="E934">
        <v>0.4</v>
      </c>
      <c r="F934">
        <v>4.38</v>
      </c>
      <c r="G934" t="s">
        <v>40</v>
      </c>
      <c r="H934">
        <v>356878</v>
      </c>
      <c r="I934">
        <v>3785</v>
      </c>
      <c r="J934">
        <v>0</v>
      </c>
      <c r="K934">
        <v>3.04</v>
      </c>
      <c r="L934">
        <v>15359.82</v>
      </c>
      <c r="M934" t="s">
        <v>2003</v>
      </c>
      <c r="N934" t="s">
        <v>1279</v>
      </c>
      <c r="O934">
        <v>4.01</v>
      </c>
      <c r="P934">
        <v>4.38</v>
      </c>
      <c r="Q934">
        <v>3.97</v>
      </c>
      <c r="R934">
        <v>3.98</v>
      </c>
      <c r="S934">
        <v>52.35</v>
      </c>
      <c r="T934">
        <v>2.98</v>
      </c>
      <c r="U934" t="s">
        <v>44</v>
      </c>
    </row>
    <row r="935" spans="1:21">
      <c r="A935" t="str">
        <f>"002468"</f>
        <v>002468</v>
      </c>
      <c r="B935" t="s">
        <v>2004</v>
      </c>
      <c r="C935">
        <v>10.03</v>
      </c>
      <c r="D935">
        <v>8.56</v>
      </c>
      <c r="E935">
        <v>0.78</v>
      </c>
      <c r="F935">
        <v>8.56</v>
      </c>
      <c r="G935" t="s">
        <v>40</v>
      </c>
      <c r="H935">
        <v>358895</v>
      </c>
      <c r="I935">
        <v>218</v>
      </c>
      <c r="J935">
        <v>0</v>
      </c>
      <c r="K935">
        <v>2.41</v>
      </c>
      <c r="L935">
        <v>30004.27</v>
      </c>
      <c r="M935" t="s">
        <v>2005</v>
      </c>
      <c r="N935" t="s">
        <v>1049</v>
      </c>
      <c r="O935">
        <v>7.95</v>
      </c>
      <c r="P935">
        <v>8.56</v>
      </c>
      <c r="Q935">
        <v>7.91</v>
      </c>
      <c r="R935">
        <v>7.78</v>
      </c>
      <c r="S935" t="s">
        <v>40</v>
      </c>
      <c r="T935">
        <v>3.42</v>
      </c>
      <c r="U935" t="s">
        <v>200</v>
      </c>
    </row>
    <row r="936" spans="1:21">
      <c r="A936" t="str">
        <f>"002469"</f>
        <v>002469</v>
      </c>
      <c r="B936" t="s">
        <v>2006</v>
      </c>
      <c r="C936">
        <v>1.82</v>
      </c>
      <c r="D936">
        <v>6.16</v>
      </c>
      <c r="E936">
        <v>0.11</v>
      </c>
      <c r="F936">
        <v>6.16</v>
      </c>
      <c r="G936">
        <v>6.17</v>
      </c>
      <c r="H936">
        <v>140114</v>
      </c>
      <c r="I936">
        <v>863</v>
      </c>
      <c r="J936">
        <v>0</v>
      </c>
      <c r="K936">
        <v>2.7</v>
      </c>
      <c r="L936">
        <v>8595.37</v>
      </c>
      <c r="M936" t="s">
        <v>2007</v>
      </c>
      <c r="N936" t="s">
        <v>309</v>
      </c>
      <c r="O936">
        <v>6.01</v>
      </c>
      <c r="P936">
        <v>6.22</v>
      </c>
      <c r="Q936">
        <v>5.98</v>
      </c>
      <c r="R936">
        <v>6.05</v>
      </c>
      <c r="S936">
        <v>11.48</v>
      </c>
      <c r="T936">
        <v>1.28</v>
      </c>
      <c r="U936" t="s">
        <v>221</v>
      </c>
    </row>
    <row r="937" spans="1:21">
      <c r="A937" t="str">
        <f>"002470"</f>
        <v>002470</v>
      </c>
      <c r="B937" t="s">
        <v>2008</v>
      </c>
      <c r="C937">
        <v>1.35</v>
      </c>
      <c r="D937">
        <v>2.26</v>
      </c>
      <c r="E937">
        <v>0.03</v>
      </c>
      <c r="F937">
        <v>2.26</v>
      </c>
      <c r="G937">
        <v>2.27</v>
      </c>
      <c r="H937">
        <v>482698</v>
      </c>
      <c r="I937">
        <v>3307</v>
      </c>
      <c r="J937">
        <v>0</v>
      </c>
      <c r="K937">
        <v>1.61</v>
      </c>
      <c r="L937">
        <v>10770.35</v>
      </c>
      <c r="M937" t="s">
        <v>2009</v>
      </c>
      <c r="N937" t="s">
        <v>241</v>
      </c>
      <c r="O937">
        <v>2.22</v>
      </c>
      <c r="P937">
        <v>2.27</v>
      </c>
      <c r="Q937">
        <v>2.19</v>
      </c>
      <c r="R937">
        <v>2.23</v>
      </c>
      <c r="S937" t="s">
        <v>40</v>
      </c>
      <c r="T937">
        <v>0.97</v>
      </c>
      <c r="U937" t="s">
        <v>221</v>
      </c>
    </row>
    <row r="938" spans="1:21">
      <c r="A938" t="str">
        <f>"002471"</f>
        <v>002471</v>
      </c>
      <c r="B938" t="s">
        <v>2010</v>
      </c>
      <c r="C938">
        <v>0</v>
      </c>
      <c r="D938">
        <v>3.03</v>
      </c>
      <c r="E938">
        <v>0</v>
      </c>
      <c r="F938">
        <v>3.03</v>
      </c>
      <c r="G938">
        <v>3.04</v>
      </c>
      <c r="H938">
        <v>101440</v>
      </c>
      <c r="I938">
        <v>4310</v>
      </c>
      <c r="J938">
        <v>-0.32</v>
      </c>
      <c r="K938">
        <v>0.8</v>
      </c>
      <c r="L938">
        <v>3079.63</v>
      </c>
      <c r="M938" t="s">
        <v>2011</v>
      </c>
      <c r="N938" t="s">
        <v>47</v>
      </c>
      <c r="O938">
        <v>3.02</v>
      </c>
      <c r="P938">
        <v>3.07</v>
      </c>
      <c r="Q938">
        <v>3.02</v>
      </c>
      <c r="R938">
        <v>3.03</v>
      </c>
      <c r="S938" t="s">
        <v>40</v>
      </c>
      <c r="T938">
        <v>0.54</v>
      </c>
      <c r="U938" t="s">
        <v>102</v>
      </c>
    </row>
    <row r="939" spans="1:21">
      <c r="A939" t="str">
        <f>"002472"</f>
        <v>002472</v>
      </c>
      <c r="B939" t="s">
        <v>2012</v>
      </c>
      <c r="C939">
        <v>-0.95</v>
      </c>
      <c r="D939">
        <v>31.23</v>
      </c>
      <c r="E939">
        <v>-0.3</v>
      </c>
      <c r="F939">
        <v>31.1</v>
      </c>
      <c r="G939">
        <v>31.23</v>
      </c>
      <c r="H939">
        <v>118231</v>
      </c>
      <c r="I939">
        <v>1136</v>
      </c>
      <c r="J939">
        <v>0.81</v>
      </c>
      <c r="K939">
        <v>1.8</v>
      </c>
      <c r="L939">
        <v>36832.96</v>
      </c>
      <c r="M939" t="s">
        <v>2013</v>
      </c>
      <c r="N939" t="s">
        <v>91</v>
      </c>
      <c r="O939">
        <v>31.55</v>
      </c>
      <c r="P939">
        <v>31.91</v>
      </c>
      <c r="Q939">
        <v>30.51</v>
      </c>
      <c r="R939">
        <v>31.53</v>
      </c>
      <c r="S939">
        <v>80.41</v>
      </c>
      <c r="T939">
        <v>0.84</v>
      </c>
      <c r="U939" t="s">
        <v>200</v>
      </c>
    </row>
    <row r="940" spans="1:21">
      <c r="A940" t="str">
        <f>"002473"</f>
        <v>002473</v>
      </c>
      <c r="B940" t="s">
        <v>2014</v>
      </c>
      <c r="C940">
        <v>-5.03</v>
      </c>
      <c r="D940">
        <v>12.65</v>
      </c>
      <c r="E940">
        <v>-0.67</v>
      </c>
      <c r="F940" t="s">
        <v>40</v>
      </c>
      <c r="G940">
        <v>12.65</v>
      </c>
      <c r="H940">
        <v>50805</v>
      </c>
      <c r="I940">
        <v>525</v>
      </c>
      <c r="J940">
        <v>0</v>
      </c>
      <c r="K940">
        <v>3.18</v>
      </c>
      <c r="L940">
        <v>6584.09</v>
      </c>
      <c r="M940" t="s">
        <v>2015</v>
      </c>
      <c r="N940" t="s">
        <v>60</v>
      </c>
      <c r="O940">
        <v>13.08</v>
      </c>
      <c r="P940">
        <v>13.73</v>
      </c>
      <c r="Q940">
        <v>12.65</v>
      </c>
      <c r="R940">
        <v>13.32</v>
      </c>
      <c r="S940" t="s">
        <v>40</v>
      </c>
      <c r="T940">
        <v>1.08</v>
      </c>
      <c r="U940" t="s">
        <v>200</v>
      </c>
    </row>
    <row r="941" spans="1:21">
      <c r="A941" t="str">
        <f>"002474"</f>
        <v>002474</v>
      </c>
      <c r="B941" t="s">
        <v>2016</v>
      </c>
      <c r="C941">
        <v>-2.54</v>
      </c>
      <c r="D941">
        <v>7.28</v>
      </c>
      <c r="E941">
        <v>-0.19</v>
      </c>
      <c r="F941">
        <v>7.28</v>
      </c>
      <c r="G941">
        <v>7.29</v>
      </c>
      <c r="H941">
        <v>244867</v>
      </c>
      <c r="I941">
        <v>4677</v>
      </c>
      <c r="J941">
        <v>-0.26</v>
      </c>
      <c r="K941">
        <v>4.98</v>
      </c>
      <c r="L941">
        <v>17934.31</v>
      </c>
      <c r="M941" t="s">
        <v>2017</v>
      </c>
      <c r="N941" t="s">
        <v>30</v>
      </c>
      <c r="O941">
        <v>7.45</v>
      </c>
      <c r="P941">
        <v>7.5</v>
      </c>
      <c r="Q941">
        <v>7.26</v>
      </c>
      <c r="R941">
        <v>7.47</v>
      </c>
      <c r="S941">
        <v>115.5</v>
      </c>
      <c r="T941">
        <v>0.66</v>
      </c>
      <c r="U941" t="s">
        <v>339</v>
      </c>
    </row>
    <row r="942" spans="1:21">
      <c r="A942" t="str">
        <f>"002475"</f>
        <v>002475</v>
      </c>
      <c r="B942" t="s">
        <v>2018</v>
      </c>
      <c r="C942">
        <v>5.51</v>
      </c>
      <c r="D942">
        <v>43.1</v>
      </c>
      <c r="E942">
        <v>2.25</v>
      </c>
      <c r="F942">
        <v>43.09</v>
      </c>
      <c r="G942">
        <v>43.1</v>
      </c>
      <c r="H942">
        <v>1006741</v>
      </c>
      <c r="I942">
        <v>8938</v>
      </c>
      <c r="J942">
        <v>0</v>
      </c>
      <c r="K942">
        <v>1.43</v>
      </c>
      <c r="L942">
        <v>432772.35</v>
      </c>
      <c r="M942" t="s">
        <v>2019</v>
      </c>
      <c r="N942" t="s">
        <v>69</v>
      </c>
      <c r="O942">
        <v>40.77</v>
      </c>
      <c r="P942">
        <v>43.95</v>
      </c>
      <c r="Q942">
        <v>40.77</v>
      </c>
      <c r="R942">
        <v>40.85</v>
      </c>
      <c r="S942">
        <v>48.58</v>
      </c>
      <c r="T942">
        <v>1.67</v>
      </c>
      <c r="U942" t="s">
        <v>24</v>
      </c>
    </row>
    <row r="943" spans="1:21">
      <c r="A943" t="str">
        <f>"002476"</f>
        <v>002476</v>
      </c>
      <c r="B943" t="s">
        <v>2020</v>
      </c>
      <c r="C943">
        <v>3.9</v>
      </c>
      <c r="D943">
        <v>4.8</v>
      </c>
      <c r="E943">
        <v>0.18</v>
      </c>
      <c r="F943">
        <v>4.8</v>
      </c>
      <c r="G943">
        <v>4.81</v>
      </c>
      <c r="H943">
        <v>159801</v>
      </c>
      <c r="I943">
        <v>1724</v>
      </c>
      <c r="J943">
        <v>0.21</v>
      </c>
      <c r="K943">
        <v>2.61</v>
      </c>
      <c r="L943">
        <v>7606.17</v>
      </c>
      <c r="M943" t="s">
        <v>2021</v>
      </c>
      <c r="N943" t="s">
        <v>309</v>
      </c>
      <c r="O943">
        <v>4.61</v>
      </c>
      <c r="P943">
        <v>4.85</v>
      </c>
      <c r="Q943">
        <v>4.58</v>
      </c>
      <c r="R943">
        <v>4.62</v>
      </c>
      <c r="S943">
        <v>140.77</v>
      </c>
      <c r="T943">
        <v>1.78</v>
      </c>
      <c r="U943" t="s">
        <v>221</v>
      </c>
    </row>
    <row r="944" spans="1:21">
      <c r="A944" t="str">
        <f>"002478"</f>
        <v>002478</v>
      </c>
      <c r="B944" t="s">
        <v>2022</v>
      </c>
      <c r="C944">
        <v>-0.24</v>
      </c>
      <c r="D944">
        <v>4.13</v>
      </c>
      <c r="E944">
        <v>-0.01</v>
      </c>
      <c r="F944">
        <v>4.13</v>
      </c>
      <c r="G944">
        <v>4.14</v>
      </c>
      <c r="H944">
        <v>17170</v>
      </c>
      <c r="I944">
        <v>46</v>
      </c>
      <c r="J944">
        <v>0.24</v>
      </c>
      <c r="K944">
        <v>0.29</v>
      </c>
      <c r="L944">
        <v>706.13</v>
      </c>
      <c r="M944" t="s">
        <v>2023</v>
      </c>
      <c r="N944" t="s">
        <v>724</v>
      </c>
      <c r="O944">
        <v>4.16</v>
      </c>
      <c r="P944">
        <v>4.16</v>
      </c>
      <c r="Q944">
        <v>4.09</v>
      </c>
      <c r="R944">
        <v>4.14</v>
      </c>
      <c r="S944">
        <v>28.29</v>
      </c>
      <c r="T944">
        <v>0.83</v>
      </c>
      <c r="U944" t="s">
        <v>102</v>
      </c>
    </row>
    <row r="945" spans="1:21">
      <c r="A945" t="str">
        <f>"002479"</f>
        <v>002479</v>
      </c>
      <c r="B945" t="s">
        <v>2024</v>
      </c>
      <c r="C945">
        <v>0.36</v>
      </c>
      <c r="D945">
        <v>5.56</v>
      </c>
      <c r="E945">
        <v>0.02</v>
      </c>
      <c r="F945">
        <v>5.56</v>
      </c>
      <c r="G945">
        <v>5.57</v>
      </c>
      <c r="H945">
        <v>68640</v>
      </c>
      <c r="I945">
        <v>674</v>
      </c>
      <c r="J945">
        <v>-0.17</v>
      </c>
      <c r="K945">
        <v>0.8</v>
      </c>
      <c r="L945">
        <v>3800.15</v>
      </c>
      <c r="M945" t="s">
        <v>2025</v>
      </c>
      <c r="N945" t="s">
        <v>33</v>
      </c>
      <c r="O945">
        <v>5.53</v>
      </c>
      <c r="P945">
        <v>5.57</v>
      </c>
      <c r="Q945">
        <v>5.49</v>
      </c>
      <c r="R945">
        <v>5.54</v>
      </c>
      <c r="S945">
        <v>12.23</v>
      </c>
      <c r="T945">
        <v>1.03</v>
      </c>
      <c r="U945" t="s">
        <v>200</v>
      </c>
    </row>
    <row r="946" spans="1:21">
      <c r="A946" t="str">
        <f>"002480"</f>
        <v>002480</v>
      </c>
      <c r="B946" t="s">
        <v>2026</v>
      </c>
      <c r="C946">
        <v>1.5</v>
      </c>
      <c r="D946">
        <v>4.75</v>
      </c>
      <c r="E946">
        <v>0.07</v>
      </c>
      <c r="F946">
        <v>4.75</v>
      </c>
      <c r="G946">
        <v>4.76</v>
      </c>
      <c r="H946">
        <v>50596</v>
      </c>
      <c r="I946">
        <v>679</v>
      </c>
      <c r="J946">
        <v>0</v>
      </c>
      <c r="K946">
        <v>0.79</v>
      </c>
      <c r="L946">
        <v>2394.78</v>
      </c>
      <c r="M946" t="s">
        <v>2027</v>
      </c>
      <c r="N946" t="s">
        <v>347</v>
      </c>
      <c r="O946">
        <v>4.68</v>
      </c>
      <c r="P946">
        <v>4.8</v>
      </c>
      <c r="Q946">
        <v>4.64</v>
      </c>
      <c r="R946">
        <v>4.68</v>
      </c>
      <c r="S946" t="s">
        <v>40</v>
      </c>
      <c r="T946">
        <v>0.69</v>
      </c>
      <c r="U946" t="s">
        <v>196</v>
      </c>
    </row>
    <row r="947" spans="1:21">
      <c r="A947" t="str">
        <f>"002481"</f>
        <v>002481</v>
      </c>
      <c r="B947" t="s">
        <v>2028</v>
      </c>
      <c r="C947">
        <v>-0.75</v>
      </c>
      <c r="D947">
        <v>9.31</v>
      </c>
      <c r="E947">
        <v>-0.07</v>
      </c>
      <c r="F947">
        <v>9.31</v>
      </c>
      <c r="G947">
        <v>9.32</v>
      </c>
      <c r="H947">
        <v>84612</v>
      </c>
      <c r="I947">
        <v>1112</v>
      </c>
      <c r="J947">
        <v>-0.1</v>
      </c>
      <c r="K947">
        <v>0.77</v>
      </c>
      <c r="L947">
        <v>7851.49</v>
      </c>
      <c r="M947" t="s">
        <v>2029</v>
      </c>
      <c r="N947" t="s">
        <v>299</v>
      </c>
      <c r="O947">
        <v>9.36</v>
      </c>
      <c r="P947">
        <v>9.42</v>
      </c>
      <c r="Q947">
        <v>9.18</v>
      </c>
      <c r="R947">
        <v>9.38</v>
      </c>
      <c r="S947">
        <v>37.81</v>
      </c>
      <c r="T947">
        <v>0.83</v>
      </c>
      <c r="U947" t="s">
        <v>221</v>
      </c>
    </row>
    <row r="948" spans="1:21">
      <c r="A948" t="str">
        <f>"002482"</f>
        <v>002482</v>
      </c>
      <c r="B948" t="s">
        <v>2030</v>
      </c>
      <c r="C948">
        <v>0.87</v>
      </c>
      <c r="D948">
        <v>2.33</v>
      </c>
      <c r="E948">
        <v>0.02</v>
      </c>
      <c r="F948">
        <v>2.32</v>
      </c>
      <c r="G948">
        <v>2.33</v>
      </c>
      <c r="H948">
        <v>51329</v>
      </c>
      <c r="I948">
        <v>1067</v>
      </c>
      <c r="J948">
        <v>0.43</v>
      </c>
      <c r="K948">
        <v>0.34</v>
      </c>
      <c r="L948">
        <v>1186.39</v>
      </c>
      <c r="M948" t="s">
        <v>2031</v>
      </c>
      <c r="N948" t="s">
        <v>1189</v>
      </c>
      <c r="O948">
        <v>2.31</v>
      </c>
      <c r="P948">
        <v>2.33</v>
      </c>
      <c r="Q948">
        <v>2.29</v>
      </c>
      <c r="R948">
        <v>2.31</v>
      </c>
      <c r="S948" t="s">
        <v>40</v>
      </c>
      <c r="T948">
        <v>0.63</v>
      </c>
      <c r="U948" t="s">
        <v>24</v>
      </c>
    </row>
    <row r="949" spans="1:21">
      <c r="A949" t="str">
        <f>"002483"</f>
        <v>002483</v>
      </c>
      <c r="B949" t="s">
        <v>2032</v>
      </c>
      <c r="C949">
        <v>7.2</v>
      </c>
      <c r="D949">
        <v>8.93</v>
      </c>
      <c r="E949">
        <v>0.6</v>
      </c>
      <c r="F949">
        <v>8.92</v>
      </c>
      <c r="G949">
        <v>8.93</v>
      </c>
      <c r="H949">
        <v>594598</v>
      </c>
      <c r="I949">
        <v>6145</v>
      </c>
      <c r="J949">
        <v>0.11</v>
      </c>
      <c r="K949">
        <v>6.89</v>
      </c>
      <c r="L949">
        <v>52881.26</v>
      </c>
      <c r="M949" t="s">
        <v>2033</v>
      </c>
      <c r="N949" t="s">
        <v>203</v>
      </c>
      <c r="O949">
        <v>8.28</v>
      </c>
      <c r="P949">
        <v>9.15</v>
      </c>
      <c r="Q949">
        <v>8.25</v>
      </c>
      <c r="R949">
        <v>8.33</v>
      </c>
      <c r="S949">
        <v>23.84</v>
      </c>
      <c r="T949">
        <v>1.05</v>
      </c>
      <c r="U949" t="s">
        <v>102</v>
      </c>
    </row>
    <row r="950" spans="1:21">
      <c r="A950" t="str">
        <f>"002484"</f>
        <v>002484</v>
      </c>
      <c r="B950" t="s">
        <v>2034</v>
      </c>
      <c r="C950">
        <v>-1.28</v>
      </c>
      <c r="D950">
        <v>25.45</v>
      </c>
      <c r="E950">
        <v>-0.33</v>
      </c>
      <c r="F950">
        <v>25.45</v>
      </c>
      <c r="G950">
        <v>25.48</v>
      </c>
      <c r="H950">
        <v>80898</v>
      </c>
      <c r="I950">
        <v>1345</v>
      </c>
      <c r="J950">
        <v>0.2</v>
      </c>
      <c r="K950">
        <v>1.04</v>
      </c>
      <c r="L950">
        <v>20631.25</v>
      </c>
      <c r="M950" t="s">
        <v>2035</v>
      </c>
      <c r="N950" t="s">
        <v>69</v>
      </c>
      <c r="O950">
        <v>25.68</v>
      </c>
      <c r="P950">
        <v>25.87</v>
      </c>
      <c r="Q950">
        <v>25.3</v>
      </c>
      <c r="R950">
        <v>25.78</v>
      </c>
      <c r="S950">
        <v>48.25</v>
      </c>
      <c r="T950">
        <v>0.6</v>
      </c>
      <c r="U950" t="s">
        <v>102</v>
      </c>
    </row>
    <row r="951" spans="1:21">
      <c r="A951" t="str">
        <f>"002485"</f>
        <v>002485</v>
      </c>
      <c r="B951" t="s">
        <v>2036</v>
      </c>
      <c r="C951">
        <v>0</v>
      </c>
      <c r="D951">
        <v>4.43</v>
      </c>
      <c r="E951">
        <v>0</v>
      </c>
      <c r="F951">
        <v>4.43</v>
      </c>
      <c r="G951">
        <v>4.44</v>
      </c>
      <c r="H951">
        <v>45098</v>
      </c>
      <c r="I951">
        <v>998</v>
      </c>
      <c r="J951">
        <v>1.14</v>
      </c>
      <c r="K951">
        <v>0.83</v>
      </c>
      <c r="L951">
        <v>1934.59</v>
      </c>
      <c r="M951" t="s">
        <v>2037</v>
      </c>
      <c r="N951" t="s">
        <v>1061</v>
      </c>
      <c r="O951">
        <v>4.43</v>
      </c>
      <c r="P951">
        <v>4.46</v>
      </c>
      <c r="Q951">
        <v>4.11</v>
      </c>
      <c r="R951">
        <v>4.43</v>
      </c>
      <c r="S951" t="s">
        <v>40</v>
      </c>
      <c r="T951">
        <v>2.57</v>
      </c>
      <c r="U951" t="s">
        <v>221</v>
      </c>
    </row>
    <row r="952" spans="1:21">
      <c r="A952" t="str">
        <f>"002486"</f>
        <v>002486</v>
      </c>
      <c r="B952" t="s">
        <v>2038</v>
      </c>
      <c r="C952">
        <v>0.78</v>
      </c>
      <c r="D952">
        <v>2.57</v>
      </c>
      <c r="E952">
        <v>0.02</v>
      </c>
      <c r="F952">
        <v>2.57</v>
      </c>
      <c r="G952">
        <v>2.58</v>
      </c>
      <c r="H952">
        <v>29917</v>
      </c>
      <c r="I952">
        <v>329</v>
      </c>
      <c r="J952">
        <v>-0.38</v>
      </c>
      <c r="K952">
        <v>0.36</v>
      </c>
      <c r="L952">
        <v>767.19</v>
      </c>
      <c r="M952" t="s">
        <v>2039</v>
      </c>
      <c r="N952" t="s">
        <v>1061</v>
      </c>
      <c r="O952">
        <v>2.55</v>
      </c>
      <c r="P952">
        <v>2.58</v>
      </c>
      <c r="Q952">
        <v>2.55</v>
      </c>
      <c r="R952">
        <v>2.55</v>
      </c>
      <c r="S952">
        <v>1542.74</v>
      </c>
      <c r="T952">
        <v>0.63</v>
      </c>
      <c r="U952" t="s">
        <v>848</v>
      </c>
    </row>
    <row r="953" spans="1:21">
      <c r="A953" t="str">
        <f>"002487"</f>
        <v>002487</v>
      </c>
      <c r="B953" t="s">
        <v>2040</v>
      </c>
      <c r="C953">
        <v>-2.28</v>
      </c>
      <c r="D953">
        <v>48.42</v>
      </c>
      <c r="E953">
        <v>-1.13</v>
      </c>
      <c r="F953">
        <v>48.42</v>
      </c>
      <c r="G953">
        <v>48.43</v>
      </c>
      <c r="H953">
        <v>380731</v>
      </c>
      <c r="I953">
        <v>4627</v>
      </c>
      <c r="J953">
        <v>0.02</v>
      </c>
      <c r="K953">
        <v>6.98</v>
      </c>
      <c r="L953">
        <v>183120.47</v>
      </c>
      <c r="M953" t="s">
        <v>2041</v>
      </c>
      <c r="N953" t="s">
        <v>47</v>
      </c>
      <c r="O953">
        <v>48.22</v>
      </c>
      <c r="P953">
        <v>49.6</v>
      </c>
      <c r="Q953">
        <v>46</v>
      </c>
      <c r="R953">
        <v>49.55</v>
      </c>
      <c r="S953">
        <v>46.65</v>
      </c>
      <c r="T953">
        <v>0.9</v>
      </c>
      <c r="U953" t="s">
        <v>141</v>
      </c>
    </row>
    <row r="954" spans="1:21">
      <c r="A954" t="str">
        <f>"002488"</f>
        <v>002488</v>
      </c>
      <c r="B954" t="s">
        <v>2042</v>
      </c>
      <c r="C954">
        <v>9.97</v>
      </c>
      <c r="D954">
        <v>8.49</v>
      </c>
      <c r="E954">
        <v>0.77</v>
      </c>
      <c r="F954">
        <v>8.49</v>
      </c>
      <c r="G954" t="s">
        <v>40</v>
      </c>
      <c r="H954">
        <v>590332</v>
      </c>
      <c r="I954">
        <v>10566</v>
      </c>
      <c r="J954">
        <v>0</v>
      </c>
      <c r="K954">
        <v>6.48</v>
      </c>
      <c r="L954">
        <v>49831.32</v>
      </c>
      <c r="M954" t="s">
        <v>2043</v>
      </c>
      <c r="N954" t="s">
        <v>91</v>
      </c>
      <c r="O954">
        <v>7.88</v>
      </c>
      <c r="P954">
        <v>8.49</v>
      </c>
      <c r="Q954">
        <v>7.85</v>
      </c>
      <c r="R954">
        <v>7.72</v>
      </c>
      <c r="S954">
        <v>50.91</v>
      </c>
      <c r="T954">
        <v>1.4</v>
      </c>
      <c r="U954" t="s">
        <v>200</v>
      </c>
    </row>
    <row r="955" spans="1:21">
      <c r="A955" t="str">
        <f>"002489"</f>
        <v>002489</v>
      </c>
      <c r="B955" t="s">
        <v>2044</v>
      </c>
      <c r="C955">
        <v>0.58</v>
      </c>
      <c r="D955">
        <v>3.49</v>
      </c>
      <c r="E955">
        <v>0.02</v>
      </c>
      <c r="F955">
        <v>3.49</v>
      </c>
      <c r="G955">
        <v>3.5</v>
      </c>
      <c r="H955">
        <v>72836</v>
      </c>
      <c r="I955">
        <v>1026</v>
      </c>
      <c r="J955">
        <v>0</v>
      </c>
      <c r="K955">
        <v>0.39</v>
      </c>
      <c r="L955">
        <v>2525.4</v>
      </c>
      <c r="M955" t="s">
        <v>2045</v>
      </c>
      <c r="N955" t="s">
        <v>910</v>
      </c>
      <c r="O955">
        <v>3.46</v>
      </c>
      <c r="P955">
        <v>3.5</v>
      </c>
      <c r="Q955">
        <v>3.44</v>
      </c>
      <c r="R955">
        <v>3.47</v>
      </c>
      <c r="S955">
        <v>16.49</v>
      </c>
      <c r="T955">
        <v>0.75</v>
      </c>
      <c r="U955" t="s">
        <v>200</v>
      </c>
    </row>
    <row r="956" spans="1:21">
      <c r="A956" t="str">
        <f>"002490"</f>
        <v>002490</v>
      </c>
      <c r="B956" t="s">
        <v>2046</v>
      </c>
      <c r="C956">
        <v>2.36</v>
      </c>
      <c r="D956">
        <v>4.33</v>
      </c>
      <c r="E956">
        <v>0.1</v>
      </c>
      <c r="F956">
        <v>4.32</v>
      </c>
      <c r="G956">
        <v>4.33</v>
      </c>
      <c r="H956">
        <v>117442</v>
      </c>
      <c r="I956">
        <v>732</v>
      </c>
      <c r="J956">
        <v>0.23</v>
      </c>
      <c r="K956">
        <v>2.17</v>
      </c>
      <c r="L956">
        <v>5060.06</v>
      </c>
      <c r="M956" t="s">
        <v>2047</v>
      </c>
      <c r="N956" t="s">
        <v>832</v>
      </c>
      <c r="O956">
        <v>4.3</v>
      </c>
      <c r="P956">
        <v>4.4</v>
      </c>
      <c r="Q956">
        <v>4.23</v>
      </c>
      <c r="R956">
        <v>4.23</v>
      </c>
      <c r="S956" t="s">
        <v>40</v>
      </c>
      <c r="T956">
        <v>1.68</v>
      </c>
      <c r="U956" t="s">
        <v>221</v>
      </c>
    </row>
    <row r="957" spans="1:21">
      <c r="A957" t="str">
        <f>"002491"</f>
        <v>002491</v>
      </c>
      <c r="B957" t="s">
        <v>2048</v>
      </c>
      <c r="C957">
        <v>3.8</v>
      </c>
      <c r="D957">
        <v>5.74</v>
      </c>
      <c r="E957">
        <v>0.21</v>
      </c>
      <c r="F957">
        <v>5.73</v>
      </c>
      <c r="G957">
        <v>5.74</v>
      </c>
      <c r="H957">
        <v>746499</v>
      </c>
      <c r="I957">
        <v>15063</v>
      </c>
      <c r="J957">
        <v>-0.51</v>
      </c>
      <c r="K957">
        <v>6.29</v>
      </c>
      <c r="L957">
        <v>42493.04</v>
      </c>
      <c r="M957" t="s">
        <v>2049</v>
      </c>
      <c r="N957" t="s">
        <v>153</v>
      </c>
      <c r="O957">
        <v>5.56</v>
      </c>
      <c r="P957">
        <v>5.85</v>
      </c>
      <c r="Q957">
        <v>5.5</v>
      </c>
      <c r="R957">
        <v>5.53</v>
      </c>
      <c r="S957">
        <v>486.4</v>
      </c>
      <c r="T957">
        <v>1.31</v>
      </c>
      <c r="U957" t="s">
        <v>102</v>
      </c>
    </row>
    <row r="958" spans="1:21">
      <c r="A958" t="str">
        <f>"002492"</f>
        <v>002492</v>
      </c>
      <c r="B958" t="s">
        <v>2050</v>
      </c>
      <c r="C958">
        <v>1.32</v>
      </c>
      <c r="D958">
        <v>5.36</v>
      </c>
      <c r="E958">
        <v>0.07</v>
      </c>
      <c r="F958">
        <v>5.35</v>
      </c>
      <c r="G958">
        <v>5.36</v>
      </c>
      <c r="H958">
        <v>33751</v>
      </c>
      <c r="I958">
        <v>275</v>
      </c>
      <c r="J958">
        <v>0</v>
      </c>
      <c r="K958">
        <v>0.85</v>
      </c>
      <c r="L958">
        <v>1800.95</v>
      </c>
      <c r="M958" t="s">
        <v>2051</v>
      </c>
      <c r="N958" t="s">
        <v>1049</v>
      </c>
      <c r="O958">
        <v>5.29</v>
      </c>
      <c r="P958">
        <v>5.37</v>
      </c>
      <c r="Q958">
        <v>5.28</v>
      </c>
      <c r="R958">
        <v>5.29</v>
      </c>
      <c r="S958">
        <v>15.89</v>
      </c>
      <c r="T958">
        <v>0.91</v>
      </c>
      <c r="U958" t="s">
        <v>183</v>
      </c>
    </row>
    <row r="959" spans="1:21">
      <c r="A959" t="str">
        <f>"002493"</f>
        <v>002493</v>
      </c>
      <c r="B959" t="s">
        <v>2052</v>
      </c>
      <c r="C959">
        <v>1.38</v>
      </c>
      <c r="D959">
        <v>16.12</v>
      </c>
      <c r="E959">
        <v>0.22</v>
      </c>
      <c r="F959">
        <v>16.12</v>
      </c>
      <c r="G959">
        <v>16.13</v>
      </c>
      <c r="H959">
        <v>302512</v>
      </c>
      <c r="I959">
        <v>2668</v>
      </c>
      <c r="J959">
        <v>0</v>
      </c>
      <c r="K959">
        <v>0.32</v>
      </c>
      <c r="L959">
        <v>48631.69</v>
      </c>
      <c r="M959" t="s">
        <v>2053</v>
      </c>
      <c r="N959" t="s">
        <v>216</v>
      </c>
      <c r="O959">
        <v>15.9</v>
      </c>
      <c r="P959">
        <v>16.27</v>
      </c>
      <c r="Q959">
        <v>15.75</v>
      </c>
      <c r="R959">
        <v>15.9</v>
      </c>
      <c r="S959">
        <v>12.09</v>
      </c>
      <c r="T959">
        <v>1.11</v>
      </c>
      <c r="U959" t="s">
        <v>200</v>
      </c>
    </row>
    <row r="960" spans="1:21">
      <c r="A960" t="str">
        <f>"002494"</f>
        <v>002494</v>
      </c>
      <c r="B960" t="s">
        <v>2054</v>
      </c>
      <c r="C960">
        <v>1.56</v>
      </c>
      <c r="D960">
        <v>3.91</v>
      </c>
      <c r="E960">
        <v>0.06</v>
      </c>
      <c r="F960">
        <v>3.9</v>
      </c>
      <c r="G960">
        <v>3.91</v>
      </c>
      <c r="H960">
        <v>52986</v>
      </c>
      <c r="I960">
        <v>1918</v>
      </c>
      <c r="J960">
        <v>0.26</v>
      </c>
      <c r="K960">
        <v>1.8</v>
      </c>
      <c r="L960">
        <v>2050.03</v>
      </c>
      <c r="M960" t="s">
        <v>2055</v>
      </c>
      <c r="N960" t="s">
        <v>1061</v>
      </c>
      <c r="O960">
        <v>3.82</v>
      </c>
      <c r="P960">
        <v>3.92</v>
      </c>
      <c r="Q960">
        <v>3.79</v>
      </c>
      <c r="R960">
        <v>3.85</v>
      </c>
      <c r="S960">
        <v>197.43</v>
      </c>
      <c r="T960">
        <v>1.03</v>
      </c>
      <c r="U960" t="s">
        <v>207</v>
      </c>
    </row>
    <row r="961" spans="1:21">
      <c r="A961" t="str">
        <f>"002495"</f>
        <v>002495</v>
      </c>
      <c r="B961" t="s">
        <v>2056</v>
      </c>
      <c r="C961">
        <v>0.82</v>
      </c>
      <c r="D961">
        <v>2.46</v>
      </c>
      <c r="E961">
        <v>0.02</v>
      </c>
      <c r="F961">
        <v>2.46</v>
      </c>
      <c r="G961">
        <v>2.47</v>
      </c>
      <c r="H961">
        <v>99943</v>
      </c>
      <c r="I961">
        <v>820</v>
      </c>
      <c r="J961">
        <v>0</v>
      </c>
      <c r="K961">
        <v>1.4</v>
      </c>
      <c r="L961">
        <v>2440.42</v>
      </c>
      <c r="M961" t="s">
        <v>2057</v>
      </c>
      <c r="N961" t="s">
        <v>299</v>
      </c>
      <c r="O961">
        <v>2.43</v>
      </c>
      <c r="P961">
        <v>2.47</v>
      </c>
      <c r="Q961">
        <v>2.41</v>
      </c>
      <c r="R961">
        <v>2.44</v>
      </c>
      <c r="S961">
        <v>92.46</v>
      </c>
      <c r="T961">
        <v>0.55</v>
      </c>
      <c r="U961" t="s">
        <v>183</v>
      </c>
    </row>
    <row r="962" spans="1:21">
      <c r="A962" t="str">
        <f>"002496"</f>
        <v>002496</v>
      </c>
      <c r="B962" t="s">
        <v>2058</v>
      </c>
      <c r="C962">
        <v>0.76</v>
      </c>
      <c r="D962">
        <v>2.66</v>
      </c>
      <c r="E962">
        <v>0.02</v>
      </c>
      <c r="F962">
        <v>2.66</v>
      </c>
      <c r="G962">
        <v>2.67</v>
      </c>
      <c r="H962">
        <v>59927</v>
      </c>
      <c r="I962">
        <v>788</v>
      </c>
      <c r="J962">
        <v>0</v>
      </c>
      <c r="K962">
        <v>0.59</v>
      </c>
      <c r="L962">
        <v>1587.93</v>
      </c>
      <c r="M962" t="s">
        <v>2059</v>
      </c>
      <c r="N962" t="s">
        <v>241</v>
      </c>
      <c r="O962">
        <v>2.65</v>
      </c>
      <c r="P962">
        <v>2.67</v>
      </c>
      <c r="Q962">
        <v>2.63</v>
      </c>
      <c r="R962">
        <v>2.64</v>
      </c>
      <c r="S962">
        <v>5.7</v>
      </c>
      <c r="T962">
        <v>1.04</v>
      </c>
      <c r="U962" t="s">
        <v>102</v>
      </c>
    </row>
    <row r="963" spans="1:21">
      <c r="A963" t="str">
        <f>"002497"</f>
        <v>002497</v>
      </c>
      <c r="B963" t="s">
        <v>2060</v>
      </c>
      <c r="C963">
        <v>-1.73</v>
      </c>
      <c r="D963">
        <v>29.55</v>
      </c>
      <c r="E963">
        <v>-0.52</v>
      </c>
      <c r="F963">
        <v>29.54</v>
      </c>
      <c r="G963">
        <v>29.55</v>
      </c>
      <c r="H963">
        <v>585098</v>
      </c>
      <c r="I963">
        <v>6203</v>
      </c>
      <c r="J963">
        <v>0.24</v>
      </c>
      <c r="K963">
        <v>5.61</v>
      </c>
      <c r="L963">
        <v>174231.05</v>
      </c>
      <c r="M963" t="s">
        <v>2061</v>
      </c>
      <c r="N963" t="s">
        <v>309</v>
      </c>
      <c r="O963">
        <v>30</v>
      </c>
      <c r="P963">
        <v>30.52</v>
      </c>
      <c r="Q963">
        <v>29.19</v>
      </c>
      <c r="R963">
        <v>30.07</v>
      </c>
      <c r="S963">
        <v>40.39</v>
      </c>
      <c r="T963">
        <v>0.92</v>
      </c>
      <c r="U963" t="s">
        <v>196</v>
      </c>
    </row>
    <row r="964" spans="1:21">
      <c r="A964" t="str">
        <f>"002498"</f>
        <v>002498</v>
      </c>
      <c r="B964" t="s">
        <v>2062</v>
      </c>
      <c r="C964">
        <v>-1.4</v>
      </c>
      <c r="D964">
        <v>5.64</v>
      </c>
      <c r="E964">
        <v>-0.08</v>
      </c>
      <c r="F964">
        <v>5.64</v>
      </c>
      <c r="G964">
        <v>5.65</v>
      </c>
      <c r="H964">
        <v>1381685</v>
      </c>
      <c r="I964">
        <v>61668</v>
      </c>
      <c r="J964">
        <v>-0.34</v>
      </c>
      <c r="K964">
        <v>4.15</v>
      </c>
      <c r="L964">
        <v>78826.98</v>
      </c>
      <c r="M964" t="s">
        <v>2063</v>
      </c>
      <c r="N964" t="s">
        <v>47</v>
      </c>
      <c r="O964">
        <v>5.76</v>
      </c>
      <c r="P964">
        <v>5.92</v>
      </c>
      <c r="Q964">
        <v>5.59</v>
      </c>
      <c r="R964">
        <v>5.72</v>
      </c>
      <c r="S964">
        <v>20.11</v>
      </c>
      <c r="T964">
        <v>0.92</v>
      </c>
      <c r="U964" t="s">
        <v>221</v>
      </c>
    </row>
    <row r="965" spans="1:21">
      <c r="A965" t="str">
        <f>"002499"</f>
        <v>002499</v>
      </c>
      <c r="B965" t="s">
        <v>2064</v>
      </c>
      <c r="C965">
        <v>-0.18</v>
      </c>
      <c r="D965">
        <v>5.42</v>
      </c>
      <c r="E965">
        <v>-0.01</v>
      </c>
      <c r="F965">
        <v>5.4</v>
      </c>
      <c r="G965">
        <v>5.42</v>
      </c>
      <c r="H965">
        <v>2591</v>
      </c>
      <c r="I965">
        <v>15</v>
      </c>
      <c r="J965">
        <v>0.18</v>
      </c>
      <c r="K965">
        <v>0.14</v>
      </c>
      <c r="L965">
        <v>139.54</v>
      </c>
      <c r="M965" t="s">
        <v>2065</v>
      </c>
      <c r="N965" t="s">
        <v>33</v>
      </c>
      <c r="O965">
        <v>5.43</v>
      </c>
      <c r="P965">
        <v>5.43</v>
      </c>
      <c r="Q965">
        <v>5.32</v>
      </c>
      <c r="R965">
        <v>5.43</v>
      </c>
      <c r="S965" t="s">
        <v>40</v>
      </c>
      <c r="T965">
        <v>0.47</v>
      </c>
      <c r="U965" t="s">
        <v>102</v>
      </c>
    </row>
    <row r="966" spans="1:21">
      <c r="A966" t="str">
        <f>"002500"</f>
        <v>002500</v>
      </c>
      <c r="B966" t="s">
        <v>2066</v>
      </c>
      <c r="C966">
        <v>1.72</v>
      </c>
      <c r="D966">
        <v>6.49</v>
      </c>
      <c r="E966">
        <v>0.11</v>
      </c>
      <c r="F966">
        <v>6.49</v>
      </c>
      <c r="G966">
        <v>6.5</v>
      </c>
      <c r="H966">
        <v>176308</v>
      </c>
      <c r="I966">
        <v>1476</v>
      </c>
      <c r="J966">
        <v>0</v>
      </c>
      <c r="K966">
        <v>0.49</v>
      </c>
      <c r="L966">
        <v>11379.75</v>
      </c>
      <c r="M966" t="s">
        <v>2067</v>
      </c>
      <c r="N966" t="s">
        <v>213</v>
      </c>
      <c r="O966">
        <v>6.37</v>
      </c>
      <c r="P966">
        <v>6.5</v>
      </c>
      <c r="Q966">
        <v>6.36</v>
      </c>
      <c r="R966">
        <v>6.38</v>
      </c>
      <c r="S966">
        <v>28.34</v>
      </c>
      <c r="T966">
        <v>1.8</v>
      </c>
      <c r="U966" t="s">
        <v>232</v>
      </c>
    </row>
    <row r="967" spans="1:21">
      <c r="A967" t="str">
        <f>"002501"</f>
        <v>002501</v>
      </c>
      <c r="B967" t="s">
        <v>2068</v>
      </c>
      <c r="C967">
        <v>-1.46</v>
      </c>
      <c r="D967">
        <v>2.03</v>
      </c>
      <c r="E967">
        <v>-0.03</v>
      </c>
      <c r="F967">
        <v>2.03</v>
      </c>
      <c r="G967">
        <v>2.04</v>
      </c>
      <c r="H967">
        <v>92782</v>
      </c>
      <c r="I967">
        <v>2468</v>
      </c>
      <c r="J967">
        <v>-0.48</v>
      </c>
      <c r="K967">
        <v>0.27</v>
      </c>
      <c r="L967">
        <v>1883.53</v>
      </c>
      <c r="M967" t="s">
        <v>2069</v>
      </c>
      <c r="N967" t="s">
        <v>494</v>
      </c>
      <c r="O967">
        <v>2.06</v>
      </c>
      <c r="P967">
        <v>2.06</v>
      </c>
      <c r="Q967">
        <v>1.98</v>
      </c>
      <c r="R967">
        <v>2.06</v>
      </c>
      <c r="S967" t="s">
        <v>40</v>
      </c>
      <c r="T967">
        <v>1.51</v>
      </c>
      <c r="U967" t="s">
        <v>92</v>
      </c>
    </row>
    <row r="968" spans="1:21">
      <c r="A968" t="str">
        <f>"002502"</f>
        <v>002502</v>
      </c>
      <c r="B968" t="s">
        <v>2070</v>
      </c>
      <c r="C968">
        <v>-0.21</v>
      </c>
      <c r="D968">
        <v>4.83</v>
      </c>
      <c r="E968">
        <v>-0.01</v>
      </c>
      <c r="F968">
        <v>4.83</v>
      </c>
      <c r="G968">
        <v>4.84</v>
      </c>
      <c r="H968">
        <v>107785</v>
      </c>
      <c r="I968">
        <v>918</v>
      </c>
      <c r="J968">
        <v>0.21</v>
      </c>
      <c r="K968">
        <v>1.29</v>
      </c>
      <c r="L968">
        <v>5153.47</v>
      </c>
      <c r="M968" t="s">
        <v>2071</v>
      </c>
      <c r="N968" t="s">
        <v>199</v>
      </c>
      <c r="O968">
        <v>4.78</v>
      </c>
      <c r="P968">
        <v>4.85</v>
      </c>
      <c r="Q968">
        <v>4.72</v>
      </c>
      <c r="R968">
        <v>4.84</v>
      </c>
      <c r="S968" t="s">
        <v>40</v>
      </c>
      <c r="T968">
        <v>0.87</v>
      </c>
      <c r="U968" t="s">
        <v>183</v>
      </c>
    </row>
    <row r="969" spans="1:21">
      <c r="A969" t="str">
        <f>"002503"</f>
        <v>002503</v>
      </c>
      <c r="B969" t="s">
        <v>2072</v>
      </c>
      <c r="C969">
        <v>0</v>
      </c>
      <c r="D969">
        <v>1.52</v>
      </c>
      <c r="E969">
        <v>0</v>
      </c>
      <c r="F969">
        <v>1.51</v>
      </c>
      <c r="G969">
        <v>1.52</v>
      </c>
      <c r="H969">
        <v>508510</v>
      </c>
      <c r="I969">
        <v>6739</v>
      </c>
      <c r="J969">
        <v>0.66</v>
      </c>
      <c r="K969">
        <v>2</v>
      </c>
      <c r="L969">
        <v>7659.06</v>
      </c>
      <c r="M969" t="s">
        <v>2073</v>
      </c>
      <c r="N969" t="s">
        <v>1061</v>
      </c>
      <c r="O969">
        <v>1.52</v>
      </c>
      <c r="P969">
        <v>1.53</v>
      </c>
      <c r="Q969">
        <v>1.49</v>
      </c>
      <c r="R969">
        <v>1.52</v>
      </c>
      <c r="S969" t="s">
        <v>40</v>
      </c>
      <c r="T969">
        <v>0.83</v>
      </c>
      <c r="U969" t="s">
        <v>183</v>
      </c>
    </row>
    <row r="970" spans="1:21">
      <c r="A970" t="str">
        <f>"002504"</f>
        <v>002504</v>
      </c>
      <c r="B970" t="s">
        <v>2074</v>
      </c>
      <c r="C970">
        <v>-1.76</v>
      </c>
      <c r="D970">
        <v>1.67</v>
      </c>
      <c r="E970">
        <v>-0.03</v>
      </c>
      <c r="F970">
        <v>1.66</v>
      </c>
      <c r="G970">
        <v>1.67</v>
      </c>
      <c r="H970">
        <v>84142</v>
      </c>
      <c r="I970">
        <v>1641</v>
      </c>
      <c r="J970">
        <v>0</v>
      </c>
      <c r="K970">
        <v>2.03</v>
      </c>
      <c r="L970">
        <v>1406.98</v>
      </c>
      <c r="M970" t="s">
        <v>2075</v>
      </c>
      <c r="N970" t="s">
        <v>1189</v>
      </c>
      <c r="O970">
        <v>1.69</v>
      </c>
      <c r="P970">
        <v>1.7</v>
      </c>
      <c r="Q970">
        <v>1.65</v>
      </c>
      <c r="R970">
        <v>1.7</v>
      </c>
      <c r="S970" t="s">
        <v>40</v>
      </c>
      <c r="T970">
        <v>1.34</v>
      </c>
      <c r="U970" t="s">
        <v>44</v>
      </c>
    </row>
    <row r="971" spans="1:21">
      <c r="A971" t="str">
        <f>"002505"</f>
        <v>002505</v>
      </c>
      <c r="B971" t="s">
        <v>2076</v>
      </c>
      <c r="C971">
        <v>10.06</v>
      </c>
      <c r="D971">
        <v>3.39</v>
      </c>
      <c r="E971">
        <v>0.31</v>
      </c>
      <c r="F971">
        <v>3.39</v>
      </c>
      <c r="G971" t="s">
        <v>40</v>
      </c>
      <c r="H971">
        <v>1853075</v>
      </c>
      <c r="I971">
        <v>4945</v>
      </c>
      <c r="J971">
        <v>0</v>
      </c>
      <c r="K971">
        <v>2.91</v>
      </c>
      <c r="L971">
        <v>60470.46</v>
      </c>
      <c r="M971" t="s">
        <v>2077</v>
      </c>
      <c r="N971" t="s">
        <v>147</v>
      </c>
      <c r="O971">
        <v>3.12</v>
      </c>
      <c r="P971">
        <v>3.39</v>
      </c>
      <c r="Q971">
        <v>3.07</v>
      </c>
      <c r="R971">
        <v>3.08</v>
      </c>
      <c r="S971">
        <v>195.99</v>
      </c>
      <c r="T971">
        <v>1.56</v>
      </c>
      <c r="U971" t="s">
        <v>204</v>
      </c>
    </row>
    <row r="972" spans="1:21">
      <c r="A972" t="str">
        <f>"002506"</f>
        <v>002506</v>
      </c>
      <c r="B972" t="s">
        <v>2078</v>
      </c>
      <c r="C972">
        <v>0.46</v>
      </c>
      <c r="D972">
        <v>4.33</v>
      </c>
      <c r="E972">
        <v>0.02</v>
      </c>
      <c r="F972">
        <v>4.32</v>
      </c>
      <c r="G972">
        <v>4.33</v>
      </c>
      <c r="H972">
        <v>1487302</v>
      </c>
      <c r="I972">
        <v>11650</v>
      </c>
      <c r="J972">
        <v>-0.22</v>
      </c>
      <c r="K972">
        <v>2.54</v>
      </c>
      <c r="L972">
        <v>63694.45</v>
      </c>
      <c r="M972" t="s">
        <v>2079</v>
      </c>
      <c r="N972" t="s">
        <v>47</v>
      </c>
      <c r="O972">
        <v>4.28</v>
      </c>
      <c r="P972">
        <v>4.39</v>
      </c>
      <c r="Q972">
        <v>4.2</v>
      </c>
      <c r="R972">
        <v>4.31</v>
      </c>
      <c r="S972" t="s">
        <v>40</v>
      </c>
      <c r="T972">
        <v>0.96</v>
      </c>
      <c r="U972" t="s">
        <v>848</v>
      </c>
    </row>
    <row r="973" spans="1:21">
      <c r="A973" t="str">
        <f>"002507"</f>
        <v>002507</v>
      </c>
      <c r="B973" t="s">
        <v>2080</v>
      </c>
      <c r="C973">
        <v>-1.07</v>
      </c>
      <c r="D973">
        <v>32.29</v>
      </c>
      <c r="E973">
        <v>-0.35</v>
      </c>
      <c r="F973">
        <v>32.29</v>
      </c>
      <c r="G973">
        <v>32.3</v>
      </c>
      <c r="H973">
        <v>257913</v>
      </c>
      <c r="I973">
        <v>1559</v>
      </c>
      <c r="J973">
        <v>-0.48</v>
      </c>
      <c r="K973">
        <v>2.94</v>
      </c>
      <c r="L973">
        <v>83081.94</v>
      </c>
      <c r="M973" t="s">
        <v>2081</v>
      </c>
      <c r="N973" t="s">
        <v>299</v>
      </c>
      <c r="O973">
        <v>32.78</v>
      </c>
      <c r="P973">
        <v>33.15</v>
      </c>
      <c r="Q973">
        <v>31.45</v>
      </c>
      <c r="R973">
        <v>32.64</v>
      </c>
      <c r="S973">
        <v>42.68</v>
      </c>
      <c r="T973">
        <v>1.24</v>
      </c>
      <c r="U973" t="s">
        <v>314</v>
      </c>
    </row>
    <row r="974" spans="1:21">
      <c r="A974" t="str">
        <f>"002508"</f>
        <v>002508</v>
      </c>
      <c r="B974" t="s">
        <v>2082</v>
      </c>
      <c r="C974">
        <v>2.41</v>
      </c>
      <c r="D974">
        <v>32.78</v>
      </c>
      <c r="E974">
        <v>0.77</v>
      </c>
      <c r="F974">
        <v>32.78</v>
      </c>
      <c r="G974">
        <v>32.79</v>
      </c>
      <c r="H974">
        <v>100439</v>
      </c>
      <c r="I974">
        <v>2344</v>
      </c>
      <c r="J974">
        <v>-0.02</v>
      </c>
      <c r="K974">
        <v>1.07</v>
      </c>
      <c r="L974">
        <v>32412.64</v>
      </c>
      <c r="M974" t="s">
        <v>2083</v>
      </c>
      <c r="N974" t="s">
        <v>60</v>
      </c>
      <c r="O974">
        <v>32.09</v>
      </c>
      <c r="P974">
        <v>32.85</v>
      </c>
      <c r="Q974">
        <v>31.45</v>
      </c>
      <c r="R974">
        <v>32.01</v>
      </c>
      <c r="S974">
        <v>17.38</v>
      </c>
      <c r="T974">
        <v>0.98</v>
      </c>
      <c r="U974" t="s">
        <v>200</v>
      </c>
    </row>
    <row r="975" spans="1:21">
      <c r="A975" t="str">
        <f>"002510"</f>
        <v>002510</v>
      </c>
      <c r="B975" t="s">
        <v>2084</v>
      </c>
      <c r="C975">
        <v>-2.51</v>
      </c>
      <c r="D975">
        <v>4.67</v>
      </c>
      <c r="E975">
        <v>-0.12</v>
      </c>
      <c r="F975">
        <v>4.67</v>
      </c>
      <c r="G975">
        <v>4.68</v>
      </c>
      <c r="H975">
        <v>1066366</v>
      </c>
      <c r="I975">
        <v>16480</v>
      </c>
      <c r="J975">
        <v>0</v>
      </c>
      <c r="K975">
        <v>11.45</v>
      </c>
      <c r="L975">
        <v>50110.43</v>
      </c>
      <c r="M975" t="s">
        <v>2085</v>
      </c>
      <c r="N975" t="s">
        <v>91</v>
      </c>
      <c r="O975">
        <v>4.63</v>
      </c>
      <c r="P975">
        <v>4.79</v>
      </c>
      <c r="Q975">
        <v>4.6</v>
      </c>
      <c r="R975">
        <v>4.79</v>
      </c>
      <c r="S975">
        <v>210.3</v>
      </c>
      <c r="T975">
        <v>1.08</v>
      </c>
      <c r="U975" t="s">
        <v>360</v>
      </c>
    </row>
    <row r="976" spans="1:21">
      <c r="A976" t="str">
        <f>"002511"</f>
        <v>002511</v>
      </c>
      <c r="B976" t="s">
        <v>2086</v>
      </c>
      <c r="C976">
        <v>-1.74</v>
      </c>
      <c r="D976">
        <v>17.49</v>
      </c>
      <c r="E976">
        <v>-0.31</v>
      </c>
      <c r="F976">
        <v>17.48</v>
      </c>
      <c r="G976">
        <v>17.49</v>
      </c>
      <c r="H976">
        <v>168585</v>
      </c>
      <c r="I976">
        <v>3229</v>
      </c>
      <c r="J976">
        <v>0.11</v>
      </c>
      <c r="K976">
        <v>1.32</v>
      </c>
      <c r="L976">
        <v>29534.35</v>
      </c>
      <c r="M976" t="s">
        <v>2087</v>
      </c>
      <c r="N976" t="s">
        <v>285</v>
      </c>
      <c r="O976">
        <v>17.75</v>
      </c>
      <c r="P976">
        <v>17.8</v>
      </c>
      <c r="Q976">
        <v>17.4</v>
      </c>
      <c r="R976">
        <v>17.8</v>
      </c>
      <c r="S976">
        <v>35.47</v>
      </c>
      <c r="T976">
        <v>0.85</v>
      </c>
      <c r="U976" t="s">
        <v>183</v>
      </c>
    </row>
    <row r="977" spans="1:21">
      <c r="A977" t="str">
        <f>"002512"</f>
        <v>002512</v>
      </c>
      <c r="B977" t="s">
        <v>2088</v>
      </c>
      <c r="C977">
        <v>1.95</v>
      </c>
      <c r="D977">
        <v>3.13</v>
      </c>
      <c r="E977">
        <v>0.06</v>
      </c>
      <c r="F977">
        <v>3.13</v>
      </c>
      <c r="G977">
        <v>3.14</v>
      </c>
      <c r="H977">
        <v>168067</v>
      </c>
      <c r="I977">
        <v>2193</v>
      </c>
      <c r="J977">
        <v>0</v>
      </c>
      <c r="K977">
        <v>1.91</v>
      </c>
      <c r="L977">
        <v>5229.63</v>
      </c>
      <c r="M977" t="s">
        <v>2089</v>
      </c>
      <c r="N977" t="s">
        <v>69</v>
      </c>
      <c r="O977">
        <v>3.07</v>
      </c>
      <c r="P977">
        <v>3.15</v>
      </c>
      <c r="Q977">
        <v>3.05</v>
      </c>
      <c r="R977">
        <v>3.07</v>
      </c>
      <c r="S977" t="s">
        <v>40</v>
      </c>
      <c r="T977">
        <v>1.53</v>
      </c>
      <c r="U977" t="s">
        <v>339</v>
      </c>
    </row>
    <row r="978" spans="1:21">
      <c r="A978" t="str">
        <f>"002513"</f>
        <v>002513</v>
      </c>
      <c r="B978" t="s">
        <v>2090</v>
      </c>
      <c r="C978">
        <v>1.66</v>
      </c>
      <c r="D978">
        <v>4.9</v>
      </c>
      <c r="E978">
        <v>0.08</v>
      </c>
      <c r="F978">
        <v>4.9</v>
      </c>
      <c r="G978">
        <v>4.91</v>
      </c>
      <c r="H978">
        <v>11195</v>
      </c>
      <c r="I978">
        <v>176</v>
      </c>
      <c r="J978">
        <v>-0.4</v>
      </c>
      <c r="K978">
        <v>0.36</v>
      </c>
      <c r="L978">
        <v>546.07</v>
      </c>
      <c r="M978" t="s">
        <v>2091</v>
      </c>
      <c r="N978" t="s">
        <v>241</v>
      </c>
      <c r="O978">
        <v>4.82</v>
      </c>
      <c r="P978">
        <v>4.93</v>
      </c>
      <c r="Q978">
        <v>4.8</v>
      </c>
      <c r="R978">
        <v>4.82</v>
      </c>
      <c r="S978" t="s">
        <v>40</v>
      </c>
      <c r="T978">
        <v>0.39</v>
      </c>
      <c r="U978" t="s">
        <v>102</v>
      </c>
    </row>
    <row r="979" spans="1:21">
      <c r="A979" t="str">
        <f>"002514"</f>
        <v>002514</v>
      </c>
      <c r="B979" t="s">
        <v>2092</v>
      </c>
      <c r="C979">
        <v>0</v>
      </c>
      <c r="D979">
        <v>4.33</v>
      </c>
      <c r="E979">
        <v>0</v>
      </c>
      <c r="F979">
        <v>4.33</v>
      </c>
      <c r="G979">
        <v>4.34</v>
      </c>
      <c r="H979">
        <v>101481</v>
      </c>
      <c r="I979">
        <v>2139</v>
      </c>
      <c r="J979">
        <v>0</v>
      </c>
      <c r="K979">
        <v>2.55</v>
      </c>
      <c r="L979">
        <v>4384</v>
      </c>
      <c r="M979" t="s">
        <v>2093</v>
      </c>
      <c r="N979" t="s">
        <v>347</v>
      </c>
      <c r="O979">
        <v>4.33</v>
      </c>
      <c r="P979">
        <v>4.36</v>
      </c>
      <c r="Q979">
        <v>4.26</v>
      </c>
      <c r="R979">
        <v>4.33</v>
      </c>
      <c r="S979">
        <v>341.32</v>
      </c>
      <c r="T979">
        <v>0.62</v>
      </c>
      <c r="U979" t="s">
        <v>102</v>
      </c>
    </row>
    <row r="980" spans="1:21">
      <c r="A980" t="str">
        <f>"002515"</f>
        <v>002515</v>
      </c>
      <c r="B980" t="s">
        <v>2094</v>
      </c>
      <c r="C980">
        <v>0.89</v>
      </c>
      <c r="D980">
        <v>5.69</v>
      </c>
      <c r="E980">
        <v>0.05</v>
      </c>
      <c r="F980">
        <v>5.68</v>
      </c>
      <c r="G980">
        <v>5.69</v>
      </c>
      <c r="H980">
        <v>397588</v>
      </c>
      <c r="I980">
        <v>3893</v>
      </c>
      <c r="J980">
        <v>0.18</v>
      </c>
      <c r="K980">
        <v>4.45</v>
      </c>
      <c r="L980">
        <v>22474.67</v>
      </c>
      <c r="M980" t="s">
        <v>2095</v>
      </c>
      <c r="N980" t="s">
        <v>299</v>
      </c>
      <c r="O980">
        <v>5.54</v>
      </c>
      <c r="P980">
        <v>5.77</v>
      </c>
      <c r="Q980">
        <v>5.54</v>
      </c>
      <c r="R980">
        <v>5.64</v>
      </c>
      <c r="S980">
        <v>73.5</v>
      </c>
      <c r="T980">
        <v>1.4</v>
      </c>
      <c r="U980" t="s">
        <v>200</v>
      </c>
    </row>
    <row r="981" spans="1:21">
      <c r="A981" t="str">
        <f>"002516"</f>
        <v>002516</v>
      </c>
      <c r="B981" t="s">
        <v>2096</v>
      </c>
      <c r="C981">
        <v>0.17</v>
      </c>
      <c r="D981">
        <v>5.83</v>
      </c>
      <c r="E981">
        <v>0.01</v>
      </c>
      <c r="F981">
        <v>5.83</v>
      </c>
      <c r="G981">
        <v>5.84</v>
      </c>
      <c r="H981">
        <v>108228</v>
      </c>
      <c r="I981">
        <v>1633</v>
      </c>
      <c r="J981">
        <v>0.17</v>
      </c>
      <c r="K981">
        <v>1.14</v>
      </c>
      <c r="L981">
        <v>6272.5</v>
      </c>
      <c r="M981" t="s">
        <v>2097</v>
      </c>
      <c r="N981" t="s">
        <v>91</v>
      </c>
      <c r="O981">
        <v>5.8</v>
      </c>
      <c r="P981">
        <v>5.87</v>
      </c>
      <c r="Q981">
        <v>5.73</v>
      </c>
      <c r="R981">
        <v>5.82</v>
      </c>
      <c r="S981">
        <v>45.76</v>
      </c>
      <c r="T981">
        <v>0.61</v>
      </c>
      <c r="U981" t="s">
        <v>102</v>
      </c>
    </row>
    <row r="982" spans="1:21">
      <c r="A982" t="str">
        <f>"002517"</f>
        <v>002517</v>
      </c>
      <c r="B982" t="s">
        <v>2098</v>
      </c>
      <c r="C982">
        <v>-1.9</v>
      </c>
      <c r="D982">
        <v>5.17</v>
      </c>
      <c r="E982">
        <v>-0.1</v>
      </c>
      <c r="F982">
        <v>5.16</v>
      </c>
      <c r="G982">
        <v>5.17</v>
      </c>
      <c r="H982">
        <v>603877</v>
      </c>
      <c r="I982">
        <v>3828</v>
      </c>
      <c r="J982">
        <v>0.19</v>
      </c>
      <c r="K982">
        <v>3.66</v>
      </c>
      <c r="L982">
        <v>31693.76</v>
      </c>
      <c r="M982" t="s">
        <v>2099</v>
      </c>
      <c r="N982" t="s">
        <v>479</v>
      </c>
      <c r="O982">
        <v>5.3</v>
      </c>
      <c r="P982">
        <v>5.39</v>
      </c>
      <c r="Q982">
        <v>5.15</v>
      </c>
      <c r="R982">
        <v>5.27</v>
      </c>
      <c r="S982">
        <v>16.64</v>
      </c>
      <c r="T982">
        <v>0.86</v>
      </c>
      <c r="U982" t="s">
        <v>339</v>
      </c>
    </row>
    <row r="983" spans="1:21">
      <c r="A983" t="str">
        <f>"002518"</f>
        <v>002518</v>
      </c>
      <c r="B983" t="s">
        <v>2100</v>
      </c>
      <c r="C983">
        <v>0.71</v>
      </c>
      <c r="D983">
        <v>29.69</v>
      </c>
      <c r="E983">
        <v>0.21</v>
      </c>
      <c r="F983">
        <v>29.69</v>
      </c>
      <c r="G983">
        <v>29.7</v>
      </c>
      <c r="H983">
        <v>130325</v>
      </c>
      <c r="I983">
        <v>1777</v>
      </c>
      <c r="J983">
        <v>-0.12</v>
      </c>
      <c r="K983">
        <v>2.31</v>
      </c>
      <c r="L983">
        <v>38751.43</v>
      </c>
      <c r="M983" t="s">
        <v>2101</v>
      </c>
      <c r="N983" t="s">
        <v>47</v>
      </c>
      <c r="O983">
        <v>29.31</v>
      </c>
      <c r="P983">
        <v>30.08</v>
      </c>
      <c r="Q983">
        <v>29.1</v>
      </c>
      <c r="R983">
        <v>29.48</v>
      </c>
      <c r="S983">
        <v>46.13</v>
      </c>
      <c r="T983">
        <v>0.52</v>
      </c>
      <c r="U983" t="s">
        <v>24</v>
      </c>
    </row>
    <row r="984" spans="1:21">
      <c r="A984" t="str">
        <f>"002519"</f>
        <v>002519</v>
      </c>
      <c r="B984" t="s">
        <v>2102</v>
      </c>
      <c r="C984">
        <v>1.74</v>
      </c>
      <c r="D984">
        <v>4.69</v>
      </c>
      <c r="E984">
        <v>0.08</v>
      </c>
      <c r="F984">
        <v>4.68</v>
      </c>
      <c r="G984">
        <v>4.69</v>
      </c>
      <c r="H984">
        <v>266694</v>
      </c>
      <c r="I984">
        <v>1521</v>
      </c>
      <c r="J984">
        <v>0.21</v>
      </c>
      <c r="K984">
        <v>2.63</v>
      </c>
      <c r="L984">
        <v>12410.13</v>
      </c>
      <c r="M984" t="s">
        <v>2103</v>
      </c>
      <c r="N984" t="s">
        <v>153</v>
      </c>
      <c r="O984">
        <v>4.55</v>
      </c>
      <c r="P984">
        <v>4.77</v>
      </c>
      <c r="Q984">
        <v>4.45</v>
      </c>
      <c r="R984">
        <v>4.61</v>
      </c>
      <c r="S984" t="s">
        <v>40</v>
      </c>
      <c r="T984">
        <v>1.05</v>
      </c>
      <c r="U984" t="s">
        <v>102</v>
      </c>
    </row>
    <row r="985" spans="1:21">
      <c r="A985" t="str">
        <f>"002520"</f>
        <v>002520</v>
      </c>
      <c r="B985" t="s">
        <v>2104</v>
      </c>
      <c r="C985">
        <v>1.46</v>
      </c>
      <c r="D985">
        <v>11.12</v>
      </c>
      <c r="E985">
        <v>0.16</v>
      </c>
      <c r="F985">
        <v>11.11</v>
      </c>
      <c r="G985">
        <v>11.12</v>
      </c>
      <c r="H985">
        <v>530784</v>
      </c>
      <c r="I985">
        <v>5164</v>
      </c>
      <c r="J985">
        <v>0</v>
      </c>
      <c r="K985">
        <v>9.62</v>
      </c>
      <c r="L985">
        <v>58137.43</v>
      </c>
      <c r="M985" t="s">
        <v>2105</v>
      </c>
      <c r="N985" t="s">
        <v>247</v>
      </c>
      <c r="O985">
        <v>10.95</v>
      </c>
      <c r="P985">
        <v>11.25</v>
      </c>
      <c r="Q985">
        <v>10.6</v>
      </c>
      <c r="R985">
        <v>10.96</v>
      </c>
      <c r="S985">
        <v>55.45</v>
      </c>
      <c r="T985">
        <v>1.23</v>
      </c>
      <c r="U985" t="s">
        <v>200</v>
      </c>
    </row>
    <row r="986" spans="1:21">
      <c r="A986" t="str">
        <f>"002521"</f>
        <v>002521</v>
      </c>
      <c r="B986" t="s">
        <v>2106</v>
      </c>
      <c r="C986">
        <v>0.68</v>
      </c>
      <c r="D986">
        <v>5.9</v>
      </c>
      <c r="E986">
        <v>0.04</v>
      </c>
      <c r="F986">
        <v>5.89</v>
      </c>
      <c r="G986">
        <v>5.9</v>
      </c>
      <c r="H986">
        <v>28772</v>
      </c>
      <c r="I986">
        <v>526</v>
      </c>
      <c r="J986">
        <v>0.17</v>
      </c>
      <c r="K986">
        <v>0.71</v>
      </c>
      <c r="L986">
        <v>1687.2</v>
      </c>
      <c r="M986" t="s">
        <v>2107</v>
      </c>
      <c r="N986" t="s">
        <v>285</v>
      </c>
      <c r="O986">
        <v>5.86</v>
      </c>
      <c r="P986">
        <v>5.91</v>
      </c>
      <c r="Q986">
        <v>5.81</v>
      </c>
      <c r="R986">
        <v>5.86</v>
      </c>
      <c r="S986">
        <v>13.76</v>
      </c>
      <c r="T986">
        <v>0.7</v>
      </c>
      <c r="U986" t="s">
        <v>221</v>
      </c>
    </row>
    <row r="987" spans="1:21">
      <c r="A987" t="str">
        <f>"002522"</f>
        <v>002522</v>
      </c>
      <c r="B987" t="s">
        <v>2108</v>
      </c>
      <c r="C987">
        <v>-3.74</v>
      </c>
      <c r="D987">
        <v>7.73</v>
      </c>
      <c r="E987">
        <v>-0.3</v>
      </c>
      <c r="F987">
        <v>7.72</v>
      </c>
      <c r="G987">
        <v>7.73</v>
      </c>
      <c r="H987">
        <v>403544</v>
      </c>
      <c r="I987">
        <v>6154</v>
      </c>
      <c r="J987">
        <v>-0.12</v>
      </c>
      <c r="K987">
        <v>4.71</v>
      </c>
      <c r="L987">
        <v>31266.73</v>
      </c>
      <c r="M987" t="s">
        <v>2109</v>
      </c>
      <c r="N987" t="s">
        <v>839</v>
      </c>
      <c r="O987">
        <v>7.83</v>
      </c>
      <c r="P987">
        <v>7.91</v>
      </c>
      <c r="Q987">
        <v>7.57</v>
      </c>
      <c r="R987">
        <v>8.03</v>
      </c>
      <c r="S987">
        <v>36.51</v>
      </c>
      <c r="T987">
        <v>1.49</v>
      </c>
      <c r="U987" t="s">
        <v>200</v>
      </c>
    </row>
    <row r="988" spans="1:21">
      <c r="A988" t="str">
        <f>"002523"</f>
        <v>002523</v>
      </c>
      <c r="B988" t="s">
        <v>2110</v>
      </c>
      <c r="C988">
        <v>-0.37</v>
      </c>
      <c r="D988">
        <v>2.72</v>
      </c>
      <c r="E988">
        <v>-0.01</v>
      </c>
      <c r="F988">
        <v>2.71</v>
      </c>
      <c r="G988">
        <v>2.72</v>
      </c>
      <c r="H988">
        <v>195552</v>
      </c>
      <c r="I988">
        <v>2094</v>
      </c>
      <c r="J988">
        <v>0</v>
      </c>
      <c r="K988">
        <v>1.4</v>
      </c>
      <c r="L988">
        <v>5315.86</v>
      </c>
      <c r="M988" t="s">
        <v>927</v>
      </c>
      <c r="N988" t="s">
        <v>203</v>
      </c>
      <c r="O988">
        <v>2.71</v>
      </c>
      <c r="P988">
        <v>2.76</v>
      </c>
      <c r="Q988">
        <v>2.69</v>
      </c>
      <c r="R988">
        <v>2.73</v>
      </c>
      <c r="S988">
        <v>69.18</v>
      </c>
      <c r="T988">
        <v>0.75</v>
      </c>
      <c r="U988" t="s">
        <v>204</v>
      </c>
    </row>
    <row r="989" spans="1:21">
      <c r="A989" t="str">
        <f>"002524"</f>
        <v>002524</v>
      </c>
      <c r="B989" t="s">
        <v>2111</v>
      </c>
      <c r="C989">
        <v>-0.21</v>
      </c>
      <c r="D989">
        <v>9.33</v>
      </c>
      <c r="E989">
        <v>-0.02</v>
      </c>
      <c r="F989">
        <v>9.32</v>
      </c>
      <c r="G989">
        <v>9.33</v>
      </c>
      <c r="H989">
        <v>39953</v>
      </c>
      <c r="I989">
        <v>674</v>
      </c>
      <c r="J989">
        <v>0.11</v>
      </c>
      <c r="K989">
        <v>0.81</v>
      </c>
      <c r="L989">
        <v>3718.14</v>
      </c>
      <c r="M989" t="s">
        <v>2112</v>
      </c>
      <c r="N989" t="s">
        <v>186</v>
      </c>
      <c r="O989">
        <v>9.35</v>
      </c>
      <c r="P989">
        <v>9.38</v>
      </c>
      <c r="Q989">
        <v>9.25</v>
      </c>
      <c r="R989">
        <v>9.35</v>
      </c>
      <c r="S989">
        <v>78.55</v>
      </c>
      <c r="T989">
        <v>0.74</v>
      </c>
      <c r="U989" t="s">
        <v>210</v>
      </c>
    </row>
    <row r="990" spans="1:21">
      <c r="A990" t="str">
        <f>"002526"</f>
        <v>002526</v>
      </c>
      <c r="B990" t="s">
        <v>2113</v>
      </c>
      <c r="C990">
        <v>0.92</v>
      </c>
      <c r="D990">
        <v>2.2</v>
      </c>
      <c r="E990">
        <v>0.02</v>
      </c>
      <c r="F990">
        <v>2.19</v>
      </c>
      <c r="G990">
        <v>2.2</v>
      </c>
      <c r="H990">
        <v>169411</v>
      </c>
      <c r="I990">
        <v>1721</v>
      </c>
      <c r="J990">
        <v>0</v>
      </c>
      <c r="K990">
        <v>0.96</v>
      </c>
      <c r="L990">
        <v>3704.88</v>
      </c>
      <c r="M990" t="s">
        <v>2114</v>
      </c>
      <c r="N990" t="s">
        <v>203</v>
      </c>
      <c r="O990">
        <v>2.18</v>
      </c>
      <c r="P990">
        <v>2.21</v>
      </c>
      <c r="Q990">
        <v>2.16</v>
      </c>
      <c r="R990">
        <v>2.18</v>
      </c>
      <c r="S990">
        <v>22.93</v>
      </c>
      <c r="T990">
        <v>0.92</v>
      </c>
      <c r="U990" t="s">
        <v>221</v>
      </c>
    </row>
    <row r="991" spans="1:21">
      <c r="A991" t="str">
        <f>"002527"</f>
        <v>002527</v>
      </c>
      <c r="B991" t="s">
        <v>2115</v>
      </c>
      <c r="C991">
        <v>0.74</v>
      </c>
      <c r="D991">
        <v>8.16</v>
      </c>
      <c r="E991">
        <v>0.06</v>
      </c>
      <c r="F991">
        <v>8.15</v>
      </c>
      <c r="G991">
        <v>8.16</v>
      </c>
      <c r="H991">
        <v>95554</v>
      </c>
      <c r="I991">
        <v>451</v>
      </c>
      <c r="J991">
        <v>0.25</v>
      </c>
      <c r="K991">
        <v>1.84</v>
      </c>
      <c r="L991">
        <v>7755.55</v>
      </c>
      <c r="M991" t="s">
        <v>2116</v>
      </c>
      <c r="N991" t="s">
        <v>1028</v>
      </c>
      <c r="O991">
        <v>8.02</v>
      </c>
      <c r="P991">
        <v>8.2</v>
      </c>
      <c r="Q991">
        <v>7.97</v>
      </c>
      <c r="R991">
        <v>8.1</v>
      </c>
      <c r="S991">
        <v>31.35</v>
      </c>
      <c r="T991">
        <v>1.19</v>
      </c>
      <c r="U991" t="s">
        <v>848</v>
      </c>
    </row>
    <row r="992" spans="1:21">
      <c r="A992" t="str">
        <f>"002528"</f>
        <v>002528</v>
      </c>
      <c r="B992" t="s">
        <v>2117</v>
      </c>
      <c r="C992">
        <v>0.89</v>
      </c>
      <c r="D992">
        <v>3.4</v>
      </c>
      <c r="E992">
        <v>0.03</v>
      </c>
      <c r="F992">
        <v>3.4</v>
      </c>
      <c r="G992">
        <v>3.41</v>
      </c>
      <c r="H992">
        <v>42701</v>
      </c>
      <c r="I992">
        <v>503</v>
      </c>
      <c r="J992">
        <v>-0.28</v>
      </c>
      <c r="K992">
        <v>0.41</v>
      </c>
      <c r="L992">
        <v>1443.95</v>
      </c>
      <c r="M992" t="s">
        <v>1036</v>
      </c>
      <c r="N992" t="s">
        <v>72</v>
      </c>
      <c r="O992">
        <v>3.35</v>
      </c>
      <c r="P992">
        <v>3.41</v>
      </c>
      <c r="Q992">
        <v>3.34</v>
      </c>
      <c r="R992">
        <v>3.37</v>
      </c>
      <c r="S992" t="s">
        <v>40</v>
      </c>
      <c r="T992">
        <v>1.25</v>
      </c>
      <c r="U992" t="s">
        <v>24</v>
      </c>
    </row>
    <row r="993" spans="1:21">
      <c r="A993" t="str">
        <f>"002529"</f>
        <v>002529</v>
      </c>
      <c r="B993" t="s">
        <v>2118</v>
      </c>
      <c r="C993">
        <v>-3.07</v>
      </c>
      <c r="D993">
        <v>29.02</v>
      </c>
      <c r="E993">
        <v>-0.92</v>
      </c>
      <c r="F993">
        <v>29.01</v>
      </c>
      <c r="G993">
        <v>29.02</v>
      </c>
      <c r="H993">
        <v>170525</v>
      </c>
      <c r="I993">
        <v>1467</v>
      </c>
      <c r="J993">
        <v>0.14</v>
      </c>
      <c r="K993">
        <v>6.56</v>
      </c>
      <c r="L993">
        <v>49795.39</v>
      </c>
      <c r="M993" t="s">
        <v>2119</v>
      </c>
      <c r="N993" t="s">
        <v>324</v>
      </c>
      <c r="O993">
        <v>29.75</v>
      </c>
      <c r="P993">
        <v>30.42</v>
      </c>
      <c r="Q993">
        <v>28.39</v>
      </c>
      <c r="R993">
        <v>29.94</v>
      </c>
      <c r="S993" t="s">
        <v>40</v>
      </c>
      <c r="T993">
        <v>0.75</v>
      </c>
      <c r="U993" t="s">
        <v>235</v>
      </c>
    </row>
    <row r="994" spans="1:21">
      <c r="A994" t="str">
        <f>"002530"</f>
        <v>002530</v>
      </c>
      <c r="B994" t="s">
        <v>2120</v>
      </c>
      <c r="C994">
        <v>1.29</v>
      </c>
      <c r="D994">
        <v>6.26</v>
      </c>
      <c r="E994">
        <v>0.08</v>
      </c>
      <c r="F994">
        <v>6.25</v>
      </c>
      <c r="G994">
        <v>6.26</v>
      </c>
      <c r="H994">
        <v>44553</v>
      </c>
      <c r="I994">
        <v>555</v>
      </c>
      <c r="J994">
        <v>0.16</v>
      </c>
      <c r="K994">
        <v>0.69</v>
      </c>
      <c r="L994">
        <v>2792.63</v>
      </c>
      <c r="M994" t="s">
        <v>2121</v>
      </c>
      <c r="N994" t="s">
        <v>30</v>
      </c>
      <c r="O994">
        <v>6.2</v>
      </c>
      <c r="P994">
        <v>6.32</v>
      </c>
      <c r="Q994">
        <v>6.18</v>
      </c>
      <c r="R994">
        <v>6.18</v>
      </c>
      <c r="S994" t="s">
        <v>40</v>
      </c>
      <c r="T994">
        <v>0.68</v>
      </c>
      <c r="U994" t="s">
        <v>102</v>
      </c>
    </row>
    <row r="995" spans="1:21">
      <c r="A995" t="str">
        <f>"002531"</f>
        <v>002531</v>
      </c>
      <c r="B995" t="s">
        <v>2122</v>
      </c>
      <c r="C995">
        <v>-1.1</v>
      </c>
      <c r="D995">
        <v>20.76</v>
      </c>
      <c r="E995">
        <v>-0.23</v>
      </c>
      <c r="F995">
        <v>20.76</v>
      </c>
      <c r="G995">
        <v>20.77</v>
      </c>
      <c r="H995">
        <v>408660</v>
      </c>
      <c r="I995">
        <v>4653</v>
      </c>
      <c r="J995">
        <v>0.14</v>
      </c>
      <c r="K995">
        <v>2.31</v>
      </c>
      <c r="L995">
        <v>83609.39</v>
      </c>
      <c r="M995" t="s">
        <v>2123</v>
      </c>
      <c r="N995" t="s">
        <v>47</v>
      </c>
      <c r="O995">
        <v>20.54</v>
      </c>
      <c r="P995">
        <v>20.99</v>
      </c>
      <c r="Q995">
        <v>20.14</v>
      </c>
      <c r="R995">
        <v>20.99</v>
      </c>
      <c r="S995">
        <v>27.21</v>
      </c>
      <c r="T995">
        <v>0.73</v>
      </c>
      <c r="U995" t="s">
        <v>102</v>
      </c>
    </row>
    <row r="996" spans="1:21">
      <c r="A996" t="str">
        <f>"002532"</f>
        <v>002532</v>
      </c>
      <c r="B996" t="s">
        <v>2124</v>
      </c>
      <c r="C996">
        <v>4.71</v>
      </c>
      <c r="D996">
        <v>8.45</v>
      </c>
      <c r="E996">
        <v>0.38</v>
      </c>
      <c r="F996">
        <v>8.44</v>
      </c>
      <c r="G996">
        <v>8.45</v>
      </c>
      <c r="H996">
        <v>710881</v>
      </c>
      <c r="I996">
        <v>8938</v>
      </c>
      <c r="J996">
        <v>-0.23</v>
      </c>
      <c r="K996">
        <v>5.88</v>
      </c>
      <c r="L996">
        <v>59122.18</v>
      </c>
      <c r="M996" t="s">
        <v>2125</v>
      </c>
      <c r="N996" t="s">
        <v>494</v>
      </c>
      <c r="O996">
        <v>8.13</v>
      </c>
      <c r="P996">
        <v>8.58</v>
      </c>
      <c r="Q996">
        <v>7.98</v>
      </c>
      <c r="R996">
        <v>8.07</v>
      </c>
      <c r="S996">
        <v>9.12</v>
      </c>
      <c r="T996">
        <v>1.46</v>
      </c>
      <c r="U996" t="s">
        <v>200</v>
      </c>
    </row>
    <row r="997" spans="1:21">
      <c r="A997" t="str">
        <f>"002533"</f>
        <v>002533</v>
      </c>
      <c r="B997" t="s">
        <v>2126</v>
      </c>
      <c r="C997">
        <v>4.12</v>
      </c>
      <c r="D997">
        <v>9.36</v>
      </c>
      <c r="E997">
        <v>0.37</v>
      </c>
      <c r="F997">
        <v>9.36</v>
      </c>
      <c r="G997">
        <v>9.37</v>
      </c>
      <c r="H997">
        <v>304186</v>
      </c>
      <c r="I997">
        <v>3749</v>
      </c>
      <c r="J997">
        <v>0.11</v>
      </c>
      <c r="K997">
        <v>5.08</v>
      </c>
      <c r="L997">
        <v>27723.02</v>
      </c>
      <c r="M997" t="s">
        <v>2127</v>
      </c>
      <c r="N997" t="s">
        <v>47</v>
      </c>
      <c r="O997">
        <v>9</v>
      </c>
      <c r="P997">
        <v>9.38</v>
      </c>
      <c r="Q997">
        <v>8.86</v>
      </c>
      <c r="R997">
        <v>8.99</v>
      </c>
      <c r="S997">
        <v>19.7</v>
      </c>
      <c r="T997">
        <v>1.15</v>
      </c>
      <c r="U997" t="s">
        <v>204</v>
      </c>
    </row>
    <row r="998" spans="1:21">
      <c r="A998" t="str">
        <f>"002534"</f>
        <v>002534</v>
      </c>
      <c r="B998" t="s">
        <v>2128</v>
      </c>
      <c r="C998">
        <v>4.42</v>
      </c>
      <c r="D998">
        <v>24.09</v>
      </c>
      <c r="E998">
        <v>1.02</v>
      </c>
      <c r="F998">
        <v>24.08</v>
      </c>
      <c r="G998">
        <v>24.09</v>
      </c>
      <c r="H998">
        <v>86904</v>
      </c>
      <c r="I998">
        <v>1125</v>
      </c>
      <c r="J998">
        <v>-0.36</v>
      </c>
      <c r="K998">
        <v>1.2</v>
      </c>
      <c r="L998">
        <v>20377.34</v>
      </c>
      <c r="M998" t="s">
        <v>2129</v>
      </c>
      <c r="N998" t="s">
        <v>324</v>
      </c>
      <c r="O998">
        <v>23.1</v>
      </c>
      <c r="P998">
        <v>24.19</v>
      </c>
      <c r="Q998">
        <v>22.63</v>
      </c>
      <c r="R998">
        <v>23.07</v>
      </c>
      <c r="S998">
        <v>37.38</v>
      </c>
      <c r="T998">
        <v>1.04</v>
      </c>
      <c r="U998" t="s">
        <v>200</v>
      </c>
    </row>
    <row r="999" spans="1:21">
      <c r="A999" t="str">
        <f>"002535"</f>
        <v>002535</v>
      </c>
      <c r="B999" t="s">
        <v>2130</v>
      </c>
      <c r="C999">
        <v>1.2</v>
      </c>
      <c r="D999">
        <v>1.68</v>
      </c>
      <c r="E999">
        <v>0.02</v>
      </c>
      <c r="F999">
        <v>1.67</v>
      </c>
      <c r="G999">
        <v>1.68</v>
      </c>
      <c r="H999">
        <v>77331</v>
      </c>
      <c r="I999">
        <v>410</v>
      </c>
      <c r="J999">
        <v>0.6</v>
      </c>
      <c r="K999">
        <v>1.36</v>
      </c>
      <c r="L999">
        <v>1287.02</v>
      </c>
      <c r="M999" t="s">
        <v>2131</v>
      </c>
      <c r="N999" t="s">
        <v>203</v>
      </c>
      <c r="O999">
        <v>1.65</v>
      </c>
      <c r="P999">
        <v>1.69</v>
      </c>
      <c r="Q999">
        <v>1.64</v>
      </c>
      <c r="R999">
        <v>1.66</v>
      </c>
      <c r="S999" t="s">
        <v>40</v>
      </c>
      <c r="T999">
        <v>0.85</v>
      </c>
      <c r="U999" t="s">
        <v>224</v>
      </c>
    </row>
    <row r="1000" spans="1:21">
      <c r="A1000" t="str">
        <f>"002536"</f>
        <v>002536</v>
      </c>
      <c r="B1000" t="s">
        <v>2132</v>
      </c>
      <c r="C1000">
        <v>1.35</v>
      </c>
      <c r="D1000">
        <v>9.02</v>
      </c>
      <c r="E1000">
        <v>0.12</v>
      </c>
      <c r="F1000">
        <v>9.02</v>
      </c>
      <c r="G1000">
        <v>9.03</v>
      </c>
      <c r="H1000">
        <v>287367</v>
      </c>
      <c r="I1000">
        <v>3503</v>
      </c>
      <c r="J1000">
        <v>-0.21</v>
      </c>
      <c r="K1000">
        <v>6.1</v>
      </c>
      <c r="L1000">
        <v>26038.9</v>
      </c>
      <c r="M1000" t="s">
        <v>2133</v>
      </c>
      <c r="N1000" t="s">
        <v>91</v>
      </c>
      <c r="O1000">
        <v>9.02</v>
      </c>
      <c r="P1000">
        <v>9.23</v>
      </c>
      <c r="Q1000">
        <v>8.92</v>
      </c>
      <c r="R1000">
        <v>8.9</v>
      </c>
      <c r="S1000">
        <v>19.76</v>
      </c>
      <c r="T1000">
        <v>0.63</v>
      </c>
      <c r="U1000" t="s">
        <v>224</v>
      </c>
    </row>
    <row r="1001" spans="1:21">
      <c r="A1001" t="str">
        <f>"002537"</f>
        <v>002537</v>
      </c>
      <c r="B1001" t="s">
        <v>2134</v>
      </c>
      <c r="C1001">
        <v>0.85</v>
      </c>
      <c r="D1001">
        <v>5.93</v>
      </c>
      <c r="E1001">
        <v>0.05</v>
      </c>
      <c r="F1001">
        <v>5.92</v>
      </c>
      <c r="G1001">
        <v>5.93</v>
      </c>
      <c r="H1001">
        <v>233167</v>
      </c>
      <c r="I1001">
        <v>1338</v>
      </c>
      <c r="J1001">
        <v>0.17</v>
      </c>
      <c r="K1001">
        <v>1.99</v>
      </c>
      <c r="L1001">
        <v>13751.6</v>
      </c>
      <c r="M1001" t="s">
        <v>2135</v>
      </c>
      <c r="N1001" t="s">
        <v>91</v>
      </c>
      <c r="O1001">
        <v>5.9</v>
      </c>
      <c r="P1001">
        <v>5.98</v>
      </c>
      <c r="Q1001">
        <v>5.8</v>
      </c>
      <c r="R1001">
        <v>5.88</v>
      </c>
      <c r="S1001">
        <v>22.46</v>
      </c>
      <c r="T1001">
        <v>0.59</v>
      </c>
      <c r="U1001" t="s">
        <v>221</v>
      </c>
    </row>
    <row r="1002" spans="1:21">
      <c r="A1002" t="str">
        <f>"002538"</f>
        <v>002538</v>
      </c>
      <c r="B1002" t="s">
        <v>2136</v>
      </c>
      <c r="C1002">
        <v>0.8</v>
      </c>
      <c r="D1002">
        <v>10.05</v>
      </c>
      <c r="E1002">
        <v>0.08</v>
      </c>
      <c r="F1002">
        <v>10.04</v>
      </c>
      <c r="G1002">
        <v>10.05</v>
      </c>
      <c r="H1002">
        <v>346933</v>
      </c>
      <c r="I1002">
        <v>3139</v>
      </c>
      <c r="J1002">
        <v>-0.19</v>
      </c>
      <c r="K1002">
        <v>4.16</v>
      </c>
      <c r="L1002">
        <v>34550.29</v>
      </c>
      <c r="M1002" t="s">
        <v>2137</v>
      </c>
      <c r="N1002" t="s">
        <v>241</v>
      </c>
      <c r="O1002">
        <v>9.88</v>
      </c>
      <c r="P1002">
        <v>10.12</v>
      </c>
      <c r="Q1002">
        <v>9.73</v>
      </c>
      <c r="R1002">
        <v>9.97</v>
      </c>
      <c r="S1002">
        <v>16.63</v>
      </c>
      <c r="T1002">
        <v>0.73</v>
      </c>
      <c r="U1002" t="s">
        <v>193</v>
      </c>
    </row>
    <row r="1003" spans="1:21">
      <c r="A1003" t="str">
        <f>"002539"</f>
        <v>002539</v>
      </c>
      <c r="B1003" t="s">
        <v>2138</v>
      </c>
      <c r="C1003">
        <v>2.05</v>
      </c>
      <c r="D1003">
        <v>13.43</v>
      </c>
      <c r="E1003">
        <v>0.27</v>
      </c>
      <c r="F1003">
        <v>13.43</v>
      </c>
      <c r="G1003">
        <v>13.44</v>
      </c>
      <c r="H1003">
        <v>307165</v>
      </c>
      <c r="I1003">
        <v>4128</v>
      </c>
      <c r="J1003">
        <v>-0.06</v>
      </c>
      <c r="K1003">
        <v>4.67</v>
      </c>
      <c r="L1003">
        <v>40792.98</v>
      </c>
      <c r="M1003" t="s">
        <v>2139</v>
      </c>
      <c r="N1003" t="s">
        <v>241</v>
      </c>
      <c r="O1003">
        <v>13.09</v>
      </c>
      <c r="P1003">
        <v>13.55</v>
      </c>
      <c r="Q1003">
        <v>12.93</v>
      </c>
      <c r="R1003">
        <v>13.16</v>
      </c>
      <c r="S1003">
        <v>13.03</v>
      </c>
      <c r="T1003">
        <v>1.05</v>
      </c>
      <c r="U1003" t="s">
        <v>196</v>
      </c>
    </row>
    <row r="1004" spans="1:21">
      <c r="A1004" t="str">
        <f>"002540"</f>
        <v>002540</v>
      </c>
      <c r="B1004" t="s">
        <v>2140</v>
      </c>
      <c r="C1004">
        <v>-1.07</v>
      </c>
      <c r="D1004">
        <v>7.42</v>
      </c>
      <c r="E1004">
        <v>-0.08</v>
      </c>
      <c r="F1004">
        <v>7.42</v>
      </c>
      <c r="G1004">
        <v>7.43</v>
      </c>
      <c r="H1004">
        <v>392975</v>
      </c>
      <c r="I1004">
        <v>6419</v>
      </c>
      <c r="J1004">
        <v>0.13</v>
      </c>
      <c r="K1004">
        <v>4.39</v>
      </c>
      <c r="L1004">
        <v>29433.06</v>
      </c>
      <c r="M1004" t="s">
        <v>2141</v>
      </c>
      <c r="N1004" t="s">
        <v>494</v>
      </c>
      <c r="O1004">
        <v>7.5</v>
      </c>
      <c r="P1004">
        <v>7.62</v>
      </c>
      <c r="Q1004">
        <v>7.38</v>
      </c>
      <c r="R1004">
        <v>7.5</v>
      </c>
      <c r="S1004">
        <v>25.48</v>
      </c>
      <c r="T1004">
        <v>0.48</v>
      </c>
      <c r="U1004" t="s">
        <v>102</v>
      </c>
    </row>
    <row r="1005" spans="1:21">
      <c r="A1005" t="str">
        <f>"002541"</f>
        <v>002541</v>
      </c>
      <c r="B1005" t="s">
        <v>2142</v>
      </c>
      <c r="C1005">
        <v>0.14</v>
      </c>
      <c r="D1005">
        <v>48.45</v>
      </c>
      <c r="E1005">
        <v>0.07</v>
      </c>
      <c r="F1005">
        <v>48.45</v>
      </c>
      <c r="G1005">
        <v>48.46</v>
      </c>
      <c r="H1005">
        <v>15238</v>
      </c>
      <c r="I1005">
        <v>75</v>
      </c>
      <c r="J1005">
        <v>-0.01</v>
      </c>
      <c r="K1005">
        <v>0.4</v>
      </c>
      <c r="L1005">
        <v>7412.69</v>
      </c>
      <c r="M1005" t="s">
        <v>2143</v>
      </c>
      <c r="N1005" t="s">
        <v>724</v>
      </c>
      <c r="O1005">
        <v>48.22</v>
      </c>
      <c r="P1005">
        <v>49.5</v>
      </c>
      <c r="Q1005">
        <v>48</v>
      </c>
      <c r="R1005">
        <v>48.38</v>
      </c>
      <c r="S1005">
        <v>23.41</v>
      </c>
      <c r="T1005">
        <v>0.53</v>
      </c>
      <c r="U1005" t="s">
        <v>193</v>
      </c>
    </row>
    <row r="1006" spans="1:21">
      <c r="A1006" t="str">
        <f>"002542"</f>
        <v>002542</v>
      </c>
      <c r="B1006" t="s">
        <v>2144</v>
      </c>
      <c r="C1006">
        <v>0.74</v>
      </c>
      <c r="D1006">
        <v>2.73</v>
      </c>
      <c r="E1006">
        <v>0.02</v>
      </c>
      <c r="F1006">
        <v>2.72</v>
      </c>
      <c r="G1006">
        <v>2.73</v>
      </c>
      <c r="H1006">
        <v>86271</v>
      </c>
      <c r="I1006">
        <v>744</v>
      </c>
      <c r="J1006">
        <v>0.37</v>
      </c>
      <c r="K1006">
        <v>0.58</v>
      </c>
      <c r="L1006">
        <v>2341.49</v>
      </c>
      <c r="M1006" t="s">
        <v>2145</v>
      </c>
      <c r="N1006" t="s">
        <v>50</v>
      </c>
      <c r="O1006">
        <v>2.7</v>
      </c>
      <c r="P1006">
        <v>2.73</v>
      </c>
      <c r="Q1006">
        <v>2.69</v>
      </c>
      <c r="R1006">
        <v>2.71</v>
      </c>
      <c r="S1006">
        <v>35.18</v>
      </c>
      <c r="T1006">
        <v>1.03</v>
      </c>
      <c r="U1006" t="s">
        <v>44</v>
      </c>
    </row>
    <row r="1007" spans="1:21">
      <c r="A1007" t="str">
        <f>"002543"</f>
        <v>002543</v>
      </c>
      <c r="B1007" t="s">
        <v>2146</v>
      </c>
      <c r="C1007">
        <v>0</v>
      </c>
      <c r="D1007">
        <v>7.07</v>
      </c>
      <c r="E1007">
        <v>0</v>
      </c>
      <c r="F1007">
        <v>7.06</v>
      </c>
      <c r="G1007">
        <v>7.07</v>
      </c>
      <c r="H1007">
        <v>28666</v>
      </c>
      <c r="I1007">
        <v>248</v>
      </c>
      <c r="J1007">
        <v>0.14</v>
      </c>
      <c r="K1007">
        <v>0.45</v>
      </c>
      <c r="L1007">
        <v>2018.02</v>
      </c>
      <c r="M1007" t="s">
        <v>2147</v>
      </c>
      <c r="N1007" t="s">
        <v>60</v>
      </c>
      <c r="O1007">
        <v>7.04</v>
      </c>
      <c r="P1007">
        <v>7.09</v>
      </c>
      <c r="Q1007">
        <v>6.98</v>
      </c>
      <c r="R1007">
        <v>7.07</v>
      </c>
      <c r="S1007">
        <v>7.51</v>
      </c>
      <c r="T1007">
        <v>0.88</v>
      </c>
      <c r="U1007" t="s">
        <v>183</v>
      </c>
    </row>
    <row r="1008" spans="1:21">
      <c r="A1008" t="str">
        <f>"002544"</f>
        <v>002544</v>
      </c>
      <c r="B1008" t="s">
        <v>2148</v>
      </c>
      <c r="C1008">
        <v>3.37</v>
      </c>
      <c r="D1008">
        <v>26.36</v>
      </c>
      <c r="E1008">
        <v>0.86</v>
      </c>
      <c r="F1008">
        <v>26.35</v>
      </c>
      <c r="G1008">
        <v>26.36</v>
      </c>
      <c r="H1008">
        <v>181935</v>
      </c>
      <c r="I1008">
        <v>2376</v>
      </c>
      <c r="J1008">
        <v>-0.1</v>
      </c>
      <c r="K1008">
        <v>2.75</v>
      </c>
      <c r="L1008">
        <v>48094.63</v>
      </c>
      <c r="M1008" t="s">
        <v>2149</v>
      </c>
      <c r="N1008" t="s">
        <v>153</v>
      </c>
      <c r="O1008">
        <v>25.54</v>
      </c>
      <c r="P1008">
        <v>27.27</v>
      </c>
      <c r="Q1008">
        <v>25.44</v>
      </c>
      <c r="R1008">
        <v>25.5</v>
      </c>
      <c r="S1008">
        <v>103.11</v>
      </c>
      <c r="T1008">
        <v>0.68</v>
      </c>
      <c r="U1008" t="s">
        <v>183</v>
      </c>
    </row>
    <row r="1009" spans="1:21">
      <c r="A1009" t="str">
        <f>"002545"</f>
        <v>002545</v>
      </c>
      <c r="B1009" t="s">
        <v>2150</v>
      </c>
      <c r="C1009">
        <v>0.24</v>
      </c>
      <c r="D1009">
        <v>8.23</v>
      </c>
      <c r="E1009">
        <v>0.02</v>
      </c>
      <c r="F1009">
        <v>8.23</v>
      </c>
      <c r="G1009">
        <v>8.24</v>
      </c>
      <c r="H1009">
        <v>135493</v>
      </c>
      <c r="I1009">
        <v>1733</v>
      </c>
      <c r="J1009">
        <v>0</v>
      </c>
      <c r="K1009">
        <v>1.22</v>
      </c>
      <c r="L1009">
        <v>11084.39</v>
      </c>
      <c r="M1009" t="s">
        <v>2151</v>
      </c>
      <c r="N1009" t="s">
        <v>724</v>
      </c>
      <c r="O1009">
        <v>8.19</v>
      </c>
      <c r="P1009">
        <v>8.28</v>
      </c>
      <c r="Q1009">
        <v>8.09</v>
      </c>
      <c r="R1009">
        <v>8.21</v>
      </c>
      <c r="S1009">
        <v>21.8</v>
      </c>
      <c r="T1009">
        <v>1.01</v>
      </c>
      <c r="U1009" t="s">
        <v>221</v>
      </c>
    </row>
    <row r="1010" spans="1:21">
      <c r="A1010" t="str">
        <f>"002546"</f>
        <v>002546</v>
      </c>
      <c r="B1010" t="s">
        <v>2152</v>
      </c>
      <c r="C1010">
        <v>1.28</v>
      </c>
      <c r="D1010">
        <v>3.97</v>
      </c>
      <c r="E1010">
        <v>0.05</v>
      </c>
      <c r="F1010">
        <v>3.96</v>
      </c>
      <c r="G1010">
        <v>3.97</v>
      </c>
      <c r="H1010">
        <v>99130</v>
      </c>
      <c r="I1010">
        <v>528</v>
      </c>
      <c r="J1010">
        <v>0</v>
      </c>
      <c r="K1010">
        <v>1.26</v>
      </c>
      <c r="L1010">
        <v>3912.5</v>
      </c>
      <c r="M1010" t="s">
        <v>2153</v>
      </c>
      <c r="N1010" t="s">
        <v>47</v>
      </c>
      <c r="O1010">
        <v>3.91</v>
      </c>
      <c r="P1010">
        <v>3.99</v>
      </c>
      <c r="Q1010">
        <v>3.89</v>
      </c>
      <c r="R1010">
        <v>3.92</v>
      </c>
      <c r="S1010">
        <v>20.48</v>
      </c>
      <c r="T1010">
        <v>0.81</v>
      </c>
      <c r="U1010" t="s">
        <v>102</v>
      </c>
    </row>
    <row r="1011" spans="1:21">
      <c r="A1011" t="str">
        <f>"002547"</f>
        <v>002547</v>
      </c>
      <c r="B1011" t="s">
        <v>2154</v>
      </c>
      <c r="C1011">
        <v>0</v>
      </c>
      <c r="D1011">
        <v>4.05</v>
      </c>
      <c r="E1011">
        <v>0</v>
      </c>
      <c r="F1011">
        <v>4.05</v>
      </c>
      <c r="G1011">
        <v>4.06</v>
      </c>
      <c r="H1011">
        <v>167005</v>
      </c>
      <c r="I1011">
        <v>3433</v>
      </c>
      <c r="J1011">
        <v>0</v>
      </c>
      <c r="K1011">
        <v>2.04</v>
      </c>
      <c r="L1011">
        <v>6748.22</v>
      </c>
      <c r="M1011" t="s">
        <v>2155</v>
      </c>
      <c r="N1011" t="s">
        <v>153</v>
      </c>
      <c r="O1011">
        <v>4.08</v>
      </c>
      <c r="P1011">
        <v>4.08</v>
      </c>
      <c r="Q1011">
        <v>4.02</v>
      </c>
      <c r="R1011">
        <v>4.05</v>
      </c>
      <c r="S1011" t="s">
        <v>40</v>
      </c>
      <c r="T1011">
        <v>0.54</v>
      </c>
      <c r="U1011" t="s">
        <v>102</v>
      </c>
    </row>
    <row r="1012" spans="1:21">
      <c r="A1012" t="str">
        <f>"002548"</f>
        <v>002548</v>
      </c>
      <c r="B1012" t="s">
        <v>2156</v>
      </c>
      <c r="C1012">
        <v>0.69</v>
      </c>
      <c r="D1012">
        <v>5.81</v>
      </c>
      <c r="E1012">
        <v>0.04</v>
      </c>
      <c r="F1012">
        <v>5.81</v>
      </c>
      <c r="G1012">
        <v>5.82</v>
      </c>
      <c r="H1012">
        <v>97046</v>
      </c>
      <c r="I1012">
        <v>1510</v>
      </c>
      <c r="J1012">
        <v>0.17</v>
      </c>
      <c r="K1012">
        <v>1.8</v>
      </c>
      <c r="L1012">
        <v>5561.38</v>
      </c>
      <c r="M1012" t="s">
        <v>2157</v>
      </c>
      <c r="N1012" t="s">
        <v>124</v>
      </c>
      <c r="O1012">
        <v>5.74</v>
      </c>
      <c r="P1012">
        <v>5.82</v>
      </c>
      <c r="Q1012">
        <v>5.65</v>
      </c>
      <c r="R1012">
        <v>5.77</v>
      </c>
      <c r="S1012" t="s">
        <v>40</v>
      </c>
      <c r="T1012">
        <v>0.72</v>
      </c>
      <c r="U1012" t="s">
        <v>24</v>
      </c>
    </row>
    <row r="1013" spans="1:21">
      <c r="A1013" t="str">
        <f>"002549"</f>
        <v>002549</v>
      </c>
      <c r="B1013" t="s">
        <v>2158</v>
      </c>
      <c r="C1013">
        <v>3.66</v>
      </c>
      <c r="D1013">
        <v>15.28</v>
      </c>
      <c r="E1013">
        <v>0.54</v>
      </c>
      <c r="F1013">
        <v>15.28</v>
      </c>
      <c r="G1013">
        <v>15.29</v>
      </c>
      <c r="H1013">
        <v>209803</v>
      </c>
      <c r="I1013">
        <v>1450</v>
      </c>
      <c r="J1013">
        <v>0</v>
      </c>
      <c r="K1013">
        <v>3.38</v>
      </c>
      <c r="L1013">
        <v>31779.97</v>
      </c>
      <c r="M1013" t="s">
        <v>2159</v>
      </c>
      <c r="N1013" t="s">
        <v>309</v>
      </c>
      <c r="O1013">
        <v>14.51</v>
      </c>
      <c r="P1013">
        <v>15.45</v>
      </c>
      <c r="Q1013">
        <v>14.5</v>
      </c>
      <c r="R1013">
        <v>14.74</v>
      </c>
      <c r="S1013">
        <v>69.98</v>
      </c>
      <c r="T1013">
        <v>1.88</v>
      </c>
      <c r="U1013" t="s">
        <v>204</v>
      </c>
    </row>
    <row r="1014" spans="1:21">
      <c r="A1014" t="str">
        <f>"002550"</f>
        <v>002550</v>
      </c>
      <c r="B1014" t="s">
        <v>2160</v>
      </c>
      <c r="C1014">
        <v>0</v>
      </c>
      <c r="D1014">
        <v>4.35</v>
      </c>
      <c r="E1014">
        <v>0</v>
      </c>
      <c r="F1014">
        <v>4.34</v>
      </c>
      <c r="G1014">
        <v>4.35</v>
      </c>
      <c r="H1014">
        <v>44541</v>
      </c>
      <c r="I1014">
        <v>619</v>
      </c>
      <c r="J1014">
        <v>-0.22</v>
      </c>
      <c r="K1014">
        <v>0.48</v>
      </c>
      <c r="L1014">
        <v>1937.82</v>
      </c>
      <c r="M1014" t="s">
        <v>2095</v>
      </c>
      <c r="N1014" t="s">
        <v>231</v>
      </c>
      <c r="O1014">
        <v>4.35</v>
      </c>
      <c r="P1014">
        <v>4.37</v>
      </c>
      <c r="Q1014">
        <v>4.33</v>
      </c>
      <c r="R1014">
        <v>4.35</v>
      </c>
      <c r="S1014">
        <v>21.98</v>
      </c>
      <c r="T1014">
        <v>0.59</v>
      </c>
      <c r="U1014" t="s">
        <v>102</v>
      </c>
    </row>
    <row r="1015" spans="1:21">
      <c r="A1015" t="str">
        <f>"002551"</f>
        <v>002551</v>
      </c>
      <c r="B1015" t="s">
        <v>2161</v>
      </c>
      <c r="C1015">
        <v>0.21</v>
      </c>
      <c r="D1015">
        <v>4.77</v>
      </c>
      <c r="E1015">
        <v>0.01</v>
      </c>
      <c r="F1015">
        <v>4.76</v>
      </c>
      <c r="G1015">
        <v>4.77</v>
      </c>
      <c r="H1015">
        <v>45012</v>
      </c>
      <c r="I1015">
        <v>707</v>
      </c>
      <c r="J1015">
        <v>0.21</v>
      </c>
      <c r="K1015">
        <v>0.77</v>
      </c>
      <c r="L1015">
        <v>2135.44</v>
      </c>
      <c r="M1015" t="s">
        <v>2162</v>
      </c>
      <c r="N1015" t="s">
        <v>186</v>
      </c>
      <c r="O1015">
        <v>4.77</v>
      </c>
      <c r="P1015">
        <v>4.78</v>
      </c>
      <c r="Q1015">
        <v>4.71</v>
      </c>
      <c r="R1015">
        <v>4.76</v>
      </c>
      <c r="S1015">
        <v>39.96</v>
      </c>
      <c r="T1015">
        <v>1</v>
      </c>
      <c r="U1015" t="s">
        <v>24</v>
      </c>
    </row>
    <row r="1016" spans="1:21">
      <c r="A1016" t="str">
        <f>"002552"</f>
        <v>002552</v>
      </c>
      <c r="B1016" t="s">
        <v>2163</v>
      </c>
      <c r="C1016">
        <v>-2.52</v>
      </c>
      <c r="D1016">
        <v>15.07</v>
      </c>
      <c r="E1016">
        <v>-0.39</v>
      </c>
      <c r="F1016">
        <v>15.07</v>
      </c>
      <c r="G1016">
        <v>15.08</v>
      </c>
      <c r="H1016">
        <v>48716</v>
      </c>
      <c r="I1016">
        <v>519</v>
      </c>
      <c r="J1016">
        <v>0.07</v>
      </c>
      <c r="K1016">
        <v>2.11</v>
      </c>
      <c r="L1016">
        <v>7321.8</v>
      </c>
      <c r="M1016" t="s">
        <v>2164</v>
      </c>
      <c r="N1016" t="s">
        <v>347</v>
      </c>
      <c r="O1016">
        <v>15.42</v>
      </c>
      <c r="P1016">
        <v>15.42</v>
      </c>
      <c r="Q1016">
        <v>14.82</v>
      </c>
      <c r="R1016">
        <v>15.46</v>
      </c>
      <c r="S1016">
        <v>449.8</v>
      </c>
      <c r="T1016">
        <v>1.06</v>
      </c>
      <c r="U1016" t="s">
        <v>200</v>
      </c>
    </row>
    <row r="1017" spans="1:21">
      <c r="A1017" t="str">
        <f>"002553"</f>
        <v>002553</v>
      </c>
      <c r="B1017" t="s">
        <v>2165</v>
      </c>
      <c r="C1017">
        <v>1.88</v>
      </c>
      <c r="D1017">
        <v>11.4</v>
      </c>
      <c r="E1017">
        <v>0.21</v>
      </c>
      <c r="F1017">
        <v>11.39</v>
      </c>
      <c r="G1017">
        <v>11.4</v>
      </c>
      <c r="H1017">
        <v>68744</v>
      </c>
      <c r="I1017">
        <v>1763</v>
      </c>
      <c r="J1017">
        <v>0.09</v>
      </c>
      <c r="K1017">
        <v>2.93</v>
      </c>
      <c r="L1017">
        <v>7762</v>
      </c>
      <c r="M1017" t="s">
        <v>2166</v>
      </c>
      <c r="N1017" t="s">
        <v>91</v>
      </c>
      <c r="O1017">
        <v>11.15</v>
      </c>
      <c r="P1017">
        <v>11.4</v>
      </c>
      <c r="Q1017">
        <v>11.12</v>
      </c>
      <c r="R1017">
        <v>11.19</v>
      </c>
      <c r="S1017">
        <v>40.93</v>
      </c>
      <c r="T1017">
        <v>0.62</v>
      </c>
      <c r="U1017" t="s">
        <v>102</v>
      </c>
    </row>
    <row r="1018" spans="1:21">
      <c r="A1018" t="str">
        <f>"002554"</f>
        <v>002554</v>
      </c>
      <c r="B1018" t="s">
        <v>2167</v>
      </c>
      <c r="C1018">
        <v>1.35</v>
      </c>
      <c r="D1018">
        <v>3</v>
      </c>
      <c r="E1018">
        <v>0.04</v>
      </c>
      <c r="F1018">
        <v>3</v>
      </c>
      <c r="G1018">
        <v>3.01</v>
      </c>
      <c r="H1018">
        <v>233081</v>
      </c>
      <c r="I1018">
        <v>4366</v>
      </c>
      <c r="J1018">
        <v>-0.32</v>
      </c>
      <c r="K1018">
        <v>2.72</v>
      </c>
      <c r="L1018">
        <v>6934.88</v>
      </c>
      <c r="M1018" t="s">
        <v>438</v>
      </c>
      <c r="N1018" t="s">
        <v>996</v>
      </c>
      <c r="O1018">
        <v>2.97</v>
      </c>
      <c r="P1018">
        <v>3.01</v>
      </c>
      <c r="Q1018">
        <v>2.92</v>
      </c>
      <c r="R1018">
        <v>2.96</v>
      </c>
      <c r="S1018">
        <v>27.05</v>
      </c>
      <c r="T1018">
        <v>1.06</v>
      </c>
      <c r="U1018" t="s">
        <v>204</v>
      </c>
    </row>
    <row r="1019" spans="1:21">
      <c r="A1019" t="str">
        <f>"002555"</f>
        <v>002555</v>
      </c>
      <c r="B1019" t="s">
        <v>2168</v>
      </c>
      <c r="C1019">
        <v>-1.54</v>
      </c>
      <c r="D1019">
        <v>26.29</v>
      </c>
      <c r="E1019">
        <v>-0.41</v>
      </c>
      <c r="F1019">
        <v>26.28</v>
      </c>
      <c r="G1019">
        <v>26.29</v>
      </c>
      <c r="H1019">
        <v>434956</v>
      </c>
      <c r="I1019">
        <v>2117</v>
      </c>
      <c r="J1019">
        <v>0.08</v>
      </c>
      <c r="K1019">
        <v>2.82</v>
      </c>
      <c r="L1019">
        <v>115886.54</v>
      </c>
      <c r="M1019" t="s">
        <v>2169</v>
      </c>
      <c r="N1019" t="s">
        <v>479</v>
      </c>
      <c r="O1019">
        <v>26.52</v>
      </c>
      <c r="P1019">
        <v>27.4</v>
      </c>
      <c r="Q1019">
        <v>26.14</v>
      </c>
      <c r="R1019">
        <v>26.7</v>
      </c>
      <c r="S1019">
        <v>25.41</v>
      </c>
      <c r="T1019">
        <v>1.06</v>
      </c>
      <c r="U1019" t="s">
        <v>193</v>
      </c>
    </row>
    <row r="1020" spans="1:21">
      <c r="A1020" t="str">
        <f>"002556"</f>
        <v>002556</v>
      </c>
      <c r="B1020" t="s">
        <v>2170</v>
      </c>
      <c r="C1020">
        <v>0.56</v>
      </c>
      <c r="D1020">
        <v>10.72</v>
      </c>
      <c r="E1020">
        <v>0.06</v>
      </c>
      <c r="F1020">
        <v>10.71</v>
      </c>
      <c r="G1020">
        <v>10.72</v>
      </c>
      <c r="H1020">
        <v>80182</v>
      </c>
      <c r="I1020">
        <v>1565</v>
      </c>
      <c r="J1020">
        <v>0</v>
      </c>
      <c r="K1020">
        <v>0.97</v>
      </c>
      <c r="L1020">
        <v>8553.78</v>
      </c>
      <c r="M1020" t="s">
        <v>2171</v>
      </c>
      <c r="N1020" t="s">
        <v>241</v>
      </c>
      <c r="O1020">
        <v>10.66</v>
      </c>
      <c r="P1020">
        <v>10.75</v>
      </c>
      <c r="Q1020">
        <v>10.55</v>
      </c>
      <c r="R1020">
        <v>10.66</v>
      </c>
      <c r="S1020">
        <v>17.03</v>
      </c>
      <c r="T1020">
        <v>0.92</v>
      </c>
      <c r="U1020" t="s">
        <v>193</v>
      </c>
    </row>
    <row r="1021" spans="1:21">
      <c r="A1021" t="str">
        <f>"002557"</f>
        <v>002557</v>
      </c>
      <c r="B1021" t="s">
        <v>2172</v>
      </c>
      <c r="C1021">
        <v>-0.27</v>
      </c>
      <c r="D1021">
        <v>55.16</v>
      </c>
      <c r="E1021">
        <v>-0.15</v>
      </c>
      <c r="F1021">
        <v>55.15</v>
      </c>
      <c r="G1021">
        <v>55.16</v>
      </c>
      <c r="H1021">
        <v>28210</v>
      </c>
      <c r="I1021">
        <v>497</v>
      </c>
      <c r="J1021">
        <v>-0.04</v>
      </c>
      <c r="K1021">
        <v>0.56</v>
      </c>
      <c r="L1021">
        <v>15551.58</v>
      </c>
      <c r="M1021" t="s">
        <v>2173</v>
      </c>
      <c r="N1021" t="s">
        <v>299</v>
      </c>
      <c r="O1021">
        <v>54.41</v>
      </c>
      <c r="P1021">
        <v>55.78</v>
      </c>
      <c r="Q1021">
        <v>54.36</v>
      </c>
      <c r="R1021">
        <v>55.31</v>
      </c>
      <c r="S1021">
        <v>35.29</v>
      </c>
      <c r="T1021">
        <v>0.5</v>
      </c>
      <c r="U1021" t="s">
        <v>193</v>
      </c>
    </row>
    <row r="1022" spans="1:21">
      <c r="A1022" t="str">
        <f>"002558"</f>
        <v>002558</v>
      </c>
      <c r="B1022" t="s">
        <v>2174</v>
      </c>
      <c r="C1022">
        <v>0.36</v>
      </c>
      <c r="D1022">
        <v>11.04</v>
      </c>
      <c r="E1022">
        <v>0.04</v>
      </c>
      <c r="F1022">
        <v>11.04</v>
      </c>
      <c r="G1022">
        <v>11.05</v>
      </c>
      <c r="H1022">
        <v>157858</v>
      </c>
      <c r="I1022">
        <v>997</v>
      </c>
      <c r="J1022">
        <v>-0.17</v>
      </c>
      <c r="K1022">
        <v>0.78</v>
      </c>
      <c r="L1022">
        <v>17467.92</v>
      </c>
      <c r="M1022" t="s">
        <v>2175</v>
      </c>
      <c r="N1022" t="s">
        <v>479</v>
      </c>
      <c r="O1022">
        <v>11</v>
      </c>
      <c r="P1022">
        <v>11.18</v>
      </c>
      <c r="Q1022">
        <v>10.92</v>
      </c>
      <c r="R1022">
        <v>11</v>
      </c>
      <c r="S1022">
        <v>19.17</v>
      </c>
      <c r="T1022">
        <v>0.59</v>
      </c>
      <c r="U1022" t="s">
        <v>314</v>
      </c>
    </row>
    <row r="1023" spans="1:21">
      <c r="A1023" t="str">
        <f>"002559"</f>
        <v>002559</v>
      </c>
      <c r="B1023" t="s">
        <v>2176</v>
      </c>
      <c r="C1023">
        <v>9.97</v>
      </c>
      <c r="D1023">
        <v>9.6</v>
      </c>
      <c r="E1023">
        <v>0.87</v>
      </c>
      <c r="F1023">
        <v>9.6</v>
      </c>
      <c r="G1023" t="s">
        <v>40</v>
      </c>
      <c r="H1023">
        <v>625247</v>
      </c>
      <c r="I1023">
        <v>1037</v>
      </c>
      <c r="J1023">
        <v>0</v>
      </c>
      <c r="K1023">
        <v>13.08</v>
      </c>
      <c r="L1023">
        <v>58846.2</v>
      </c>
      <c r="M1023" t="s">
        <v>2177</v>
      </c>
      <c r="N1023" t="s">
        <v>247</v>
      </c>
      <c r="O1023">
        <v>8.7</v>
      </c>
      <c r="P1023">
        <v>9.6</v>
      </c>
      <c r="Q1023">
        <v>8.65</v>
      </c>
      <c r="R1023">
        <v>8.73</v>
      </c>
      <c r="S1023">
        <v>28.95</v>
      </c>
      <c r="T1023">
        <v>3.44</v>
      </c>
      <c r="U1023" t="s">
        <v>102</v>
      </c>
    </row>
    <row r="1024" spans="1:21">
      <c r="A1024" t="str">
        <f>"002560"</f>
        <v>002560</v>
      </c>
      <c r="B1024" t="s">
        <v>2178</v>
      </c>
      <c r="C1024">
        <v>1.02</v>
      </c>
      <c r="D1024">
        <v>5.97</v>
      </c>
      <c r="E1024">
        <v>0.06</v>
      </c>
      <c r="F1024">
        <v>5.96</v>
      </c>
      <c r="G1024">
        <v>5.97</v>
      </c>
      <c r="H1024">
        <v>63298</v>
      </c>
      <c r="I1024">
        <v>625</v>
      </c>
      <c r="J1024">
        <v>0.17</v>
      </c>
      <c r="K1024">
        <v>1.76</v>
      </c>
      <c r="L1024">
        <v>3767.43</v>
      </c>
      <c r="M1024" t="s">
        <v>2179</v>
      </c>
      <c r="N1024" t="s">
        <v>47</v>
      </c>
      <c r="O1024">
        <v>5.97</v>
      </c>
      <c r="P1024">
        <v>6</v>
      </c>
      <c r="Q1024">
        <v>5.9</v>
      </c>
      <c r="R1024">
        <v>5.91</v>
      </c>
      <c r="S1024">
        <v>49.3</v>
      </c>
      <c r="T1024">
        <v>0.92</v>
      </c>
      <c r="U1024" t="s">
        <v>224</v>
      </c>
    </row>
    <row r="1025" spans="1:21">
      <c r="A1025" t="str">
        <f>"002561"</f>
        <v>002561</v>
      </c>
      <c r="B1025" t="s">
        <v>2180</v>
      </c>
      <c r="C1025">
        <v>1.74</v>
      </c>
      <c r="D1025">
        <v>7.02</v>
      </c>
      <c r="E1025">
        <v>0.12</v>
      </c>
      <c r="F1025">
        <v>7.02</v>
      </c>
      <c r="G1025">
        <v>7.03</v>
      </c>
      <c r="H1025">
        <v>29653</v>
      </c>
      <c r="I1025">
        <v>480</v>
      </c>
      <c r="J1025">
        <v>0.14</v>
      </c>
      <c r="K1025">
        <v>0.72</v>
      </c>
      <c r="L1025">
        <v>2089.15</v>
      </c>
      <c r="M1025" t="s">
        <v>2107</v>
      </c>
      <c r="N1025" t="s">
        <v>258</v>
      </c>
      <c r="O1025">
        <v>7.12</v>
      </c>
      <c r="P1025">
        <v>7.12</v>
      </c>
      <c r="Q1025">
        <v>6.9</v>
      </c>
      <c r="R1025">
        <v>6.9</v>
      </c>
      <c r="S1025">
        <v>30.88</v>
      </c>
      <c r="T1025">
        <v>4.58</v>
      </c>
      <c r="U1025" t="s">
        <v>848</v>
      </c>
    </row>
    <row r="1026" spans="1:21">
      <c r="A1026" t="str">
        <f>"002562"</f>
        <v>002562</v>
      </c>
      <c r="B1026" t="s">
        <v>2181</v>
      </c>
      <c r="C1026">
        <v>-0.21</v>
      </c>
      <c r="D1026">
        <v>4.69</v>
      </c>
      <c r="E1026">
        <v>-0.01</v>
      </c>
      <c r="F1026">
        <v>4.68</v>
      </c>
      <c r="G1026">
        <v>4.69</v>
      </c>
      <c r="H1026">
        <v>159713</v>
      </c>
      <c r="I1026">
        <v>1671</v>
      </c>
      <c r="J1026">
        <v>0</v>
      </c>
      <c r="K1026">
        <v>2.28</v>
      </c>
      <c r="L1026">
        <v>7529.38</v>
      </c>
      <c r="M1026" t="s">
        <v>2182</v>
      </c>
      <c r="N1026" t="s">
        <v>192</v>
      </c>
      <c r="O1026">
        <v>4.7</v>
      </c>
      <c r="P1026">
        <v>4.78</v>
      </c>
      <c r="Q1026">
        <v>4.65</v>
      </c>
      <c r="R1026">
        <v>4.7</v>
      </c>
      <c r="S1026">
        <v>1254.16</v>
      </c>
      <c r="T1026">
        <v>0.62</v>
      </c>
      <c r="U1026" t="s">
        <v>200</v>
      </c>
    </row>
    <row r="1027" spans="1:21">
      <c r="A1027" t="str">
        <f>"002563"</f>
        <v>002563</v>
      </c>
      <c r="B1027" t="s">
        <v>2183</v>
      </c>
      <c r="C1027">
        <v>2.31</v>
      </c>
      <c r="D1027">
        <v>7.52</v>
      </c>
      <c r="E1027">
        <v>0.17</v>
      </c>
      <c r="F1027">
        <v>7.52</v>
      </c>
      <c r="G1027">
        <v>7.53</v>
      </c>
      <c r="H1027">
        <v>259280</v>
      </c>
      <c r="I1027">
        <v>9533</v>
      </c>
      <c r="J1027">
        <v>0.27</v>
      </c>
      <c r="K1027">
        <v>1.37</v>
      </c>
      <c r="L1027">
        <v>19328.42</v>
      </c>
      <c r="M1027" t="s">
        <v>2184</v>
      </c>
      <c r="N1027" t="s">
        <v>1061</v>
      </c>
      <c r="O1027">
        <v>7.35</v>
      </c>
      <c r="P1027">
        <v>7.52</v>
      </c>
      <c r="Q1027">
        <v>7.29</v>
      </c>
      <c r="R1027">
        <v>7.35</v>
      </c>
      <c r="S1027">
        <v>16.12</v>
      </c>
      <c r="T1027">
        <v>1.11</v>
      </c>
      <c r="U1027" t="s">
        <v>200</v>
      </c>
    </row>
    <row r="1028" spans="1:21">
      <c r="A1028" t="str">
        <f>"002564"</f>
        <v>002564</v>
      </c>
      <c r="B1028" t="s">
        <v>2185</v>
      </c>
      <c r="C1028">
        <v>1.68</v>
      </c>
      <c r="D1028">
        <v>4.23</v>
      </c>
      <c r="E1028">
        <v>0.07</v>
      </c>
      <c r="F1028">
        <v>4.22</v>
      </c>
      <c r="G1028">
        <v>4.23</v>
      </c>
      <c r="H1028">
        <v>261148</v>
      </c>
      <c r="I1028">
        <v>4454</v>
      </c>
      <c r="J1028">
        <v>0.24</v>
      </c>
      <c r="K1028">
        <v>3.01</v>
      </c>
      <c r="L1028">
        <v>10870.41</v>
      </c>
      <c r="M1028" t="s">
        <v>2186</v>
      </c>
      <c r="N1028" t="s">
        <v>50</v>
      </c>
      <c r="O1028">
        <v>4.17</v>
      </c>
      <c r="P1028">
        <v>4.24</v>
      </c>
      <c r="Q1028">
        <v>4.06</v>
      </c>
      <c r="R1028">
        <v>4.16</v>
      </c>
      <c r="S1028" t="s">
        <v>40</v>
      </c>
      <c r="T1028">
        <v>1.49</v>
      </c>
      <c r="U1028" t="s">
        <v>102</v>
      </c>
    </row>
    <row r="1029" spans="1:21">
      <c r="A1029" t="str">
        <f>"002565"</f>
        <v>002565</v>
      </c>
      <c r="B1029" t="s">
        <v>2187</v>
      </c>
      <c r="C1029">
        <v>-0.5</v>
      </c>
      <c r="D1029">
        <v>3.96</v>
      </c>
      <c r="E1029">
        <v>-0.02</v>
      </c>
      <c r="F1029">
        <v>3.95</v>
      </c>
      <c r="G1029">
        <v>3.96</v>
      </c>
      <c r="H1029">
        <v>287491</v>
      </c>
      <c r="I1029">
        <v>2873</v>
      </c>
      <c r="J1029">
        <v>0.51</v>
      </c>
      <c r="K1029">
        <v>2.72</v>
      </c>
      <c r="L1029">
        <v>11345.4</v>
      </c>
      <c r="M1029" t="s">
        <v>2188</v>
      </c>
      <c r="N1029" t="s">
        <v>285</v>
      </c>
      <c r="O1029">
        <v>4.01</v>
      </c>
      <c r="P1029">
        <v>4.03</v>
      </c>
      <c r="Q1029">
        <v>3.9</v>
      </c>
      <c r="R1029">
        <v>3.98</v>
      </c>
      <c r="S1029" t="s">
        <v>40</v>
      </c>
      <c r="T1029">
        <v>0.43</v>
      </c>
      <c r="U1029" t="s">
        <v>848</v>
      </c>
    </row>
    <row r="1030" spans="1:21">
      <c r="A1030" t="str">
        <f>"002566"</f>
        <v>002566</v>
      </c>
      <c r="B1030" t="s">
        <v>2189</v>
      </c>
      <c r="C1030">
        <v>0.39</v>
      </c>
      <c r="D1030">
        <v>7.75</v>
      </c>
      <c r="E1030">
        <v>0.03</v>
      </c>
      <c r="F1030">
        <v>7.75</v>
      </c>
      <c r="G1030">
        <v>7.76</v>
      </c>
      <c r="H1030">
        <v>25043</v>
      </c>
      <c r="I1030">
        <v>507</v>
      </c>
      <c r="J1030">
        <v>-0.38</v>
      </c>
      <c r="K1030">
        <v>1.08</v>
      </c>
      <c r="L1030">
        <v>1936.33</v>
      </c>
      <c r="M1030" t="s">
        <v>2190</v>
      </c>
      <c r="N1030" t="s">
        <v>270</v>
      </c>
      <c r="O1030">
        <v>7.71</v>
      </c>
      <c r="P1030">
        <v>7.79</v>
      </c>
      <c r="Q1030">
        <v>7.65</v>
      </c>
      <c r="R1030">
        <v>7.72</v>
      </c>
      <c r="S1030">
        <v>29.48</v>
      </c>
      <c r="T1030">
        <v>0.47</v>
      </c>
      <c r="U1030" t="s">
        <v>92</v>
      </c>
    </row>
    <row r="1031" spans="1:21">
      <c r="A1031" t="str">
        <f>"002567"</f>
        <v>002567</v>
      </c>
      <c r="B1031" t="s">
        <v>2191</v>
      </c>
      <c r="C1031">
        <v>-0.59</v>
      </c>
      <c r="D1031">
        <v>6.76</v>
      </c>
      <c r="E1031">
        <v>-0.04</v>
      </c>
      <c r="F1031">
        <v>6.75</v>
      </c>
      <c r="G1031">
        <v>6.76</v>
      </c>
      <c r="H1031">
        <v>146756</v>
      </c>
      <c r="I1031">
        <v>842</v>
      </c>
      <c r="J1031">
        <v>0</v>
      </c>
      <c r="K1031">
        <v>1.24</v>
      </c>
      <c r="L1031">
        <v>9918.1</v>
      </c>
      <c r="M1031" t="s">
        <v>2192</v>
      </c>
      <c r="N1031" t="s">
        <v>124</v>
      </c>
      <c r="O1031">
        <v>6.82</v>
      </c>
      <c r="P1031">
        <v>6.85</v>
      </c>
      <c r="Q1031">
        <v>6.7</v>
      </c>
      <c r="R1031">
        <v>6.8</v>
      </c>
      <c r="S1031" t="s">
        <v>40</v>
      </c>
      <c r="T1031">
        <v>0.56</v>
      </c>
      <c r="U1031" t="s">
        <v>204</v>
      </c>
    </row>
    <row r="1032" spans="1:21">
      <c r="A1032" t="str">
        <f>"002568"</f>
        <v>002568</v>
      </c>
      <c r="B1032" t="s">
        <v>2193</v>
      </c>
      <c r="C1032">
        <v>-1.27</v>
      </c>
      <c r="D1032">
        <v>60.72</v>
      </c>
      <c r="E1032">
        <v>-0.78</v>
      </c>
      <c r="F1032">
        <v>60.72</v>
      </c>
      <c r="G1032">
        <v>60.73</v>
      </c>
      <c r="H1032">
        <v>41185</v>
      </c>
      <c r="I1032">
        <v>280</v>
      </c>
      <c r="J1032">
        <v>0.16</v>
      </c>
      <c r="K1032">
        <v>0.8</v>
      </c>
      <c r="L1032">
        <v>25061.24</v>
      </c>
      <c r="M1032" t="s">
        <v>2194</v>
      </c>
      <c r="N1032" t="s">
        <v>853</v>
      </c>
      <c r="O1032">
        <v>61.51</v>
      </c>
      <c r="P1032">
        <v>62.05</v>
      </c>
      <c r="Q1032">
        <v>60.33</v>
      </c>
      <c r="R1032">
        <v>61.5</v>
      </c>
      <c r="S1032">
        <v>60.64</v>
      </c>
      <c r="T1032">
        <v>0.93</v>
      </c>
      <c r="U1032" t="s">
        <v>848</v>
      </c>
    </row>
    <row r="1033" spans="1:21">
      <c r="A1033" t="str">
        <f>"002569"</f>
        <v>002569</v>
      </c>
      <c r="B1033" t="s">
        <v>2195</v>
      </c>
      <c r="C1033">
        <v>0</v>
      </c>
      <c r="D1033">
        <v>8.3</v>
      </c>
      <c r="E1033">
        <v>0</v>
      </c>
      <c r="F1033">
        <v>8.29</v>
      </c>
      <c r="G1033">
        <v>8.3</v>
      </c>
      <c r="H1033">
        <v>27151</v>
      </c>
      <c r="I1033">
        <v>568</v>
      </c>
      <c r="J1033">
        <v>-0.35</v>
      </c>
      <c r="K1033">
        <v>1.94</v>
      </c>
      <c r="L1033">
        <v>2264.86</v>
      </c>
      <c r="M1033" t="s">
        <v>2196</v>
      </c>
      <c r="N1033" t="s">
        <v>1061</v>
      </c>
      <c r="O1033">
        <v>8.33</v>
      </c>
      <c r="P1033">
        <v>8.52</v>
      </c>
      <c r="Q1033">
        <v>8.18</v>
      </c>
      <c r="R1033">
        <v>8.3</v>
      </c>
      <c r="S1033">
        <v>20.72</v>
      </c>
      <c r="T1033">
        <v>1.74</v>
      </c>
      <c r="U1033" t="s">
        <v>200</v>
      </c>
    </row>
    <row r="1034" spans="1:21">
      <c r="A1034" t="str">
        <f>"002570"</f>
        <v>002570</v>
      </c>
      <c r="B1034" t="s">
        <v>2197</v>
      </c>
      <c r="C1034">
        <v>0.85</v>
      </c>
      <c r="D1034">
        <v>4.77</v>
      </c>
      <c r="E1034">
        <v>0.04</v>
      </c>
      <c r="F1034">
        <v>4.76</v>
      </c>
      <c r="G1034">
        <v>4.77</v>
      </c>
      <c r="H1034">
        <v>131976</v>
      </c>
      <c r="I1034">
        <v>1863</v>
      </c>
      <c r="J1034">
        <v>0.21</v>
      </c>
      <c r="K1034">
        <v>1.29</v>
      </c>
      <c r="L1034">
        <v>6232.25</v>
      </c>
      <c r="M1034" t="s">
        <v>2198</v>
      </c>
      <c r="N1034" t="s">
        <v>1735</v>
      </c>
      <c r="O1034">
        <v>4.7</v>
      </c>
      <c r="P1034">
        <v>4.77</v>
      </c>
      <c r="Q1034">
        <v>4.67</v>
      </c>
      <c r="R1034">
        <v>4.73</v>
      </c>
      <c r="S1034">
        <v>99.71</v>
      </c>
      <c r="T1034">
        <v>0.95</v>
      </c>
      <c r="U1034" t="s">
        <v>200</v>
      </c>
    </row>
    <row r="1035" spans="1:21">
      <c r="A1035" t="str">
        <f>"002571"</f>
        <v>002571</v>
      </c>
      <c r="B1035" t="s">
        <v>2199</v>
      </c>
      <c r="C1035">
        <v>0.71</v>
      </c>
      <c r="D1035">
        <v>7.13</v>
      </c>
      <c r="E1035">
        <v>0.05</v>
      </c>
      <c r="F1035">
        <v>7.12</v>
      </c>
      <c r="G1035">
        <v>7.13</v>
      </c>
      <c r="H1035">
        <v>45259</v>
      </c>
      <c r="I1035">
        <v>710</v>
      </c>
      <c r="J1035">
        <v>-0.13</v>
      </c>
      <c r="K1035">
        <v>1.52</v>
      </c>
      <c r="L1035">
        <v>3220.88</v>
      </c>
      <c r="M1035" t="s">
        <v>2200</v>
      </c>
      <c r="N1035" t="s">
        <v>55</v>
      </c>
      <c r="O1035">
        <v>7.09</v>
      </c>
      <c r="P1035">
        <v>7.18</v>
      </c>
      <c r="Q1035">
        <v>7.05</v>
      </c>
      <c r="R1035">
        <v>7.08</v>
      </c>
      <c r="S1035">
        <v>147.14</v>
      </c>
      <c r="T1035">
        <v>0.57</v>
      </c>
      <c r="U1035" t="s">
        <v>193</v>
      </c>
    </row>
    <row r="1036" spans="1:21">
      <c r="A1036" t="str">
        <f>"002572"</f>
        <v>002572</v>
      </c>
      <c r="B1036" t="s">
        <v>2201</v>
      </c>
      <c r="C1036">
        <v>0.56</v>
      </c>
      <c r="D1036">
        <v>18</v>
      </c>
      <c r="E1036">
        <v>0.1</v>
      </c>
      <c r="F1036">
        <v>18</v>
      </c>
      <c r="G1036">
        <v>18.01</v>
      </c>
      <c r="H1036">
        <v>159573</v>
      </c>
      <c r="I1036">
        <v>2736</v>
      </c>
      <c r="J1036">
        <v>0</v>
      </c>
      <c r="K1036">
        <v>2.52</v>
      </c>
      <c r="L1036">
        <v>28411.98</v>
      </c>
      <c r="M1036" t="s">
        <v>2202</v>
      </c>
      <c r="N1036" t="s">
        <v>910</v>
      </c>
      <c r="O1036">
        <v>17.85</v>
      </c>
      <c r="P1036">
        <v>18.06</v>
      </c>
      <c r="Q1036">
        <v>17.58</v>
      </c>
      <c r="R1036">
        <v>17.9</v>
      </c>
      <c r="S1036">
        <v>14.51</v>
      </c>
      <c r="T1036">
        <v>0.67</v>
      </c>
      <c r="U1036" t="s">
        <v>183</v>
      </c>
    </row>
    <row r="1037" spans="1:21">
      <c r="A1037" t="str">
        <f>"002573"</f>
        <v>002573</v>
      </c>
      <c r="B1037" t="s">
        <v>2203</v>
      </c>
      <c r="C1037">
        <v>1.56</v>
      </c>
      <c r="D1037">
        <v>6.5</v>
      </c>
      <c r="E1037">
        <v>0.1</v>
      </c>
      <c r="F1037">
        <v>6.49</v>
      </c>
      <c r="G1037">
        <v>6.5</v>
      </c>
      <c r="H1037">
        <v>103913</v>
      </c>
      <c r="I1037">
        <v>958</v>
      </c>
      <c r="J1037">
        <v>0.15</v>
      </c>
      <c r="K1037">
        <v>0.96</v>
      </c>
      <c r="L1037">
        <v>6671.7</v>
      </c>
      <c r="M1037" t="s">
        <v>2204</v>
      </c>
      <c r="N1037" t="s">
        <v>33</v>
      </c>
      <c r="O1037">
        <v>6.37</v>
      </c>
      <c r="P1037">
        <v>6.51</v>
      </c>
      <c r="Q1037">
        <v>6.33</v>
      </c>
      <c r="R1037">
        <v>6.4</v>
      </c>
      <c r="S1037">
        <v>19.7</v>
      </c>
      <c r="T1037">
        <v>0.66</v>
      </c>
      <c r="U1037" t="s">
        <v>44</v>
      </c>
    </row>
    <row r="1038" spans="1:21">
      <c r="A1038" t="str">
        <f>"002574"</f>
        <v>002574</v>
      </c>
      <c r="B1038" t="s">
        <v>2205</v>
      </c>
      <c r="C1038">
        <v>0.22</v>
      </c>
      <c r="D1038">
        <v>4.59</v>
      </c>
      <c r="E1038">
        <v>0.01</v>
      </c>
      <c r="F1038">
        <v>4.58</v>
      </c>
      <c r="G1038">
        <v>4.59</v>
      </c>
      <c r="H1038">
        <v>48539</v>
      </c>
      <c r="I1038">
        <v>1540</v>
      </c>
      <c r="J1038">
        <v>0.22</v>
      </c>
      <c r="K1038">
        <v>0.92</v>
      </c>
      <c r="L1038">
        <v>2211.92</v>
      </c>
      <c r="M1038" t="s">
        <v>2206</v>
      </c>
      <c r="N1038" t="s">
        <v>1061</v>
      </c>
      <c r="O1038">
        <v>4.56</v>
      </c>
      <c r="P1038">
        <v>4.6</v>
      </c>
      <c r="Q1038">
        <v>4.5</v>
      </c>
      <c r="R1038">
        <v>4.58</v>
      </c>
      <c r="S1038">
        <v>13.98</v>
      </c>
      <c r="T1038">
        <v>0.9</v>
      </c>
      <c r="U1038" t="s">
        <v>200</v>
      </c>
    </row>
    <row r="1039" spans="1:21">
      <c r="A1039" t="str">
        <f>"002575"</f>
        <v>002575</v>
      </c>
      <c r="B1039" t="s">
        <v>2207</v>
      </c>
      <c r="C1039">
        <v>1.21</v>
      </c>
      <c r="D1039">
        <v>5.01</v>
      </c>
      <c r="E1039">
        <v>0.06</v>
      </c>
      <c r="F1039">
        <v>5.01</v>
      </c>
      <c r="G1039">
        <v>5.02</v>
      </c>
      <c r="H1039">
        <v>23027</v>
      </c>
      <c r="I1039">
        <v>1001</v>
      </c>
      <c r="J1039">
        <v>-0.39</v>
      </c>
      <c r="K1039">
        <v>0.39</v>
      </c>
      <c r="L1039">
        <v>1155.33</v>
      </c>
      <c r="M1039" t="s">
        <v>2208</v>
      </c>
      <c r="N1039" t="s">
        <v>63</v>
      </c>
      <c r="O1039">
        <v>5.03</v>
      </c>
      <c r="P1039">
        <v>5.08</v>
      </c>
      <c r="Q1039">
        <v>4.97</v>
      </c>
      <c r="R1039">
        <v>4.95</v>
      </c>
      <c r="S1039">
        <v>149.05</v>
      </c>
      <c r="T1039">
        <v>0.81</v>
      </c>
      <c r="U1039" t="s">
        <v>183</v>
      </c>
    </row>
    <row r="1040" spans="1:21">
      <c r="A1040" t="str">
        <f>"002576"</f>
        <v>002576</v>
      </c>
      <c r="B1040" t="s">
        <v>2209</v>
      </c>
      <c r="C1040">
        <v>-1.49</v>
      </c>
      <c r="D1040">
        <v>19.82</v>
      </c>
      <c r="E1040">
        <v>-0.3</v>
      </c>
      <c r="F1040">
        <v>19.82</v>
      </c>
      <c r="G1040">
        <v>19.83</v>
      </c>
      <c r="H1040">
        <v>125497</v>
      </c>
      <c r="I1040">
        <v>2918</v>
      </c>
      <c r="J1040">
        <v>0.1</v>
      </c>
      <c r="K1040">
        <v>7.63</v>
      </c>
      <c r="L1040">
        <v>25149.39</v>
      </c>
      <c r="M1040" t="s">
        <v>2210</v>
      </c>
      <c r="N1040" t="s">
        <v>47</v>
      </c>
      <c r="O1040">
        <v>20.41</v>
      </c>
      <c r="P1040">
        <v>20.8</v>
      </c>
      <c r="Q1040">
        <v>19.7</v>
      </c>
      <c r="R1040">
        <v>20.12</v>
      </c>
      <c r="S1040">
        <v>26.96</v>
      </c>
      <c r="T1040">
        <v>0.59</v>
      </c>
      <c r="U1040" t="s">
        <v>102</v>
      </c>
    </row>
    <row r="1041" spans="1:21">
      <c r="A1041" t="str">
        <f>"002577"</f>
        <v>002577</v>
      </c>
      <c r="B1041" t="s">
        <v>2211</v>
      </c>
      <c r="C1041">
        <v>2.18</v>
      </c>
      <c r="D1041">
        <v>10.29</v>
      </c>
      <c r="E1041">
        <v>0.22</v>
      </c>
      <c r="F1041">
        <v>10.28</v>
      </c>
      <c r="G1041">
        <v>10.29</v>
      </c>
      <c r="H1041">
        <v>24813</v>
      </c>
      <c r="I1041">
        <v>92</v>
      </c>
      <c r="J1041">
        <v>0</v>
      </c>
      <c r="K1041">
        <v>0.88</v>
      </c>
      <c r="L1041">
        <v>2561.42</v>
      </c>
      <c r="M1041" t="s">
        <v>2212</v>
      </c>
      <c r="N1041" t="s">
        <v>72</v>
      </c>
      <c r="O1041">
        <v>10.07</v>
      </c>
      <c r="P1041">
        <v>10.51</v>
      </c>
      <c r="Q1041">
        <v>10.01</v>
      </c>
      <c r="R1041">
        <v>10.07</v>
      </c>
      <c r="S1041">
        <v>63.09</v>
      </c>
      <c r="T1041">
        <v>1.64</v>
      </c>
      <c r="U1041" t="s">
        <v>24</v>
      </c>
    </row>
    <row r="1042" spans="1:21">
      <c r="A1042" t="str">
        <f>"002578"</f>
        <v>002578</v>
      </c>
      <c r="B1042" t="s">
        <v>2213</v>
      </c>
      <c r="C1042">
        <v>0.73</v>
      </c>
      <c r="D1042">
        <v>4.13</v>
      </c>
      <c r="E1042">
        <v>0.03</v>
      </c>
      <c r="F1042">
        <v>4.13</v>
      </c>
      <c r="G1042">
        <v>4.14</v>
      </c>
      <c r="H1042">
        <v>157419</v>
      </c>
      <c r="I1042">
        <v>2353</v>
      </c>
      <c r="J1042">
        <v>0</v>
      </c>
      <c r="K1042">
        <v>1.78</v>
      </c>
      <c r="L1042">
        <v>6500.3</v>
      </c>
      <c r="M1042" t="s">
        <v>2214</v>
      </c>
      <c r="N1042" t="s">
        <v>494</v>
      </c>
      <c r="O1042">
        <v>4.08</v>
      </c>
      <c r="P1042">
        <v>4.19</v>
      </c>
      <c r="Q1042">
        <v>4.07</v>
      </c>
      <c r="R1042">
        <v>4.1</v>
      </c>
      <c r="S1042">
        <v>62.57</v>
      </c>
      <c r="T1042">
        <v>0.97</v>
      </c>
      <c r="U1042" t="s">
        <v>339</v>
      </c>
    </row>
    <row r="1043" spans="1:21">
      <c r="A1043" t="str">
        <f>"002579"</f>
        <v>002579</v>
      </c>
      <c r="B1043" t="s">
        <v>2215</v>
      </c>
      <c r="C1043">
        <v>2.01</v>
      </c>
      <c r="D1043">
        <v>10.13</v>
      </c>
      <c r="E1043">
        <v>0.2</v>
      </c>
      <c r="F1043">
        <v>10.13</v>
      </c>
      <c r="G1043">
        <v>10.14</v>
      </c>
      <c r="H1043">
        <v>59295</v>
      </c>
      <c r="I1043">
        <v>565</v>
      </c>
      <c r="J1043">
        <v>-0.09</v>
      </c>
      <c r="K1043">
        <v>1.06</v>
      </c>
      <c r="L1043">
        <v>6017.3</v>
      </c>
      <c r="M1043" t="s">
        <v>1329</v>
      </c>
      <c r="N1043" t="s">
        <v>69</v>
      </c>
      <c r="O1043">
        <v>9.98</v>
      </c>
      <c r="P1043">
        <v>10.25</v>
      </c>
      <c r="Q1043">
        <v>9.96</v>
      </c>
      <c r="R1043">
        <v>9.93</v>
      </c>
      <c r="S1043">
        <v>31.08</v>
      </c>
      <c r="T1043">
        <v>1.03</v>
      </c>
      <c r="U1043" t="s">
        <v>183</v>
      </c>
    </row>
    <row r="1044" spans="1:21">
      <c r="A1044" t="str">
        <f>"002580"</f>
        <v>002580</v>
      </c>
      <c r="B1044" t="s">
        <v>2216</v>
      </c>
      <c r="C1044">
        <v>1.08</v>
      </c>
      <c r="D1044">
        <v>8.45</v>
      </c>
      <c r="E1044">
        <v>0.09</v>
      </c>
      <c r="F1044">
        <v>8.44</v>
      </c>
      <c r="G1044">
        <v>8.45</v>
      </c>
      <c r="H1044">
        <v>103803</v>
      </c>
      <c r="I1044">
        <v>1838</v>
      </c>
      <c r="J1044">
        <v>0.12</v>
      </c>
      <c r="K1044">
        <v>3.33</v>
      </c>
      <c r="L1044">
        <v>8719.62</v>
      </c>
      <c r="M1044" t="s">
        <v>2217</v>
      </c>
      <c r="N1044" t="s">
        <v>47</v>
      </c>
      <c r="O1044">
        <v>8.34</v>
      </c>
      <c r="P1044">
        <v>8.53</v>
      </c>
      <c r="Q1044">
        <v>8.26</v>
      </c>
      <c r="R1044">
        <v>8.36</v>
      </c>
      <c r="S1044">
        <v>101.27</v>
      </c>
      <c r="T1044">
        <v>0.93</v>
      </c>
      <c r="U1044" t="s">
        <v>221</v>
      </c>
    </row>
    <row r="1045" spans="1:21">
      <c r="A1045" t="str">
        <f>"002581"</f>
        <v>002581</v>
      </c>
      <c r="B1045" t="s">
        <v>2218</v>
      </c>
      <c r="C1045">
        <v>0.99</v>
      </c>
      <c r="D1045">
        <v>14.35</v>
      </c>
      <c r="E1045">
        <v>0.14</v>
      </c>
      <c r="F1045">
        <v>14.34</v>
      </c>
      <c r="G1045">
        <v>14.35</v>
      </c>
      <c r="H1045">
        <v>50189</v>
      </c>
      <c r="I1045">
        <v>1562</v>
      </c>
      <c r="J1045">
        <v>0.07</v>
      </c>
      <c r="K1045">
        <v>1.25</v>
      </c>
      <c r="L1045">
        <v>7179.43</v>
      </c>
      <c r="M1045" t="s">
        <v>2219</v>
      </c>
      <c r="N1045" t="s">
        <v>231</v>
      </c>
      <c r="O1045">
        <v>14.21</v>
      </c>
      <c r="P1045">
        <v>14.41</v>
      </c>
      <c r="Q1045">
        <v>14.17</v>
      </c>
      <c r="R1045">
        <v>14.21</v>
      </c>
      <c r="S1045">
        <v>20.44</v>
      </c>
      <c r="T1045">
        <v>0.59</v>
      </c>
      <c r="U1045" t="s">
        <v>221</v>
      </c>
    </row>
    <row r="1046" spans="1:21">
      <c r="A1046" t="str">
        <f>"002582"</f>
        <v>002582</v>
      </c>
      <c r="B1046" t="s">
        <v>2220</v>
      </c>
      <c r="C1046">
        <v>0.72</v>
      </c>
      <c r="D1046">
        <v>8.45</v>
      </c>
      <c r="E1046">
        <v>0.06</v>
      </c>
      <c r="F1046">
        <v>8.45</v>
      </c>
      <c r="G1046">
        <v>8.46</v>
      </c>
      <c r="H1046">
        <v>20080</v>
      </c>
      <c r="I1046">
        <v>605</v>
      </c>
      <c r="J1046">
        <v>0</v>
      </c>
      <c r="K1046">
        <v>0.57</v>
      </c>
      <c r="L1046">
        <v>1690.97</v>
      </c>
      <c r="M1046" t="s">
        <v>2221</v>
      </c>
      <c r="N1046" t="s">
        <v>299</v>
      </c>
      <c r="O1046">
        <v>8.38</v>
      </c>
      <c r="P1046">
        <v>8.46</v>
      </c>
      <c r="Q1046">
        <v>8.37</v>
      </c>
      <c r="R1046">
        <v>8.39</v>
      </c>
      <c r="S1046">
        <v>157.32</v>
      </c>
      <c r="T1046">
        <v>0.53</v>
      </c>
      <c r="U1046" t="s">
        <v>224</v>
      </c>
    </row>
    <row r="1047" spans="1:21">
      <c r="A1047" t="str">
        <f>"002583"</f>
        <v>002583</v>
      </c>
      <c r="B1047" t="s">
        <v>2222</v>
      </c>
      <c r="C1047">
        <v>-1.79</v>
      </c>
      <c r="D1047">
        <v>6.02</v>
      </c>
      <c r="E1047">
        <v>-0.11</v>
      </c>
      <c r="F1047">
        <v>6.01</v>
      </c>
      <c r="G1047">
        <v>6.02</v>
      </c>
      <c r="H1047">
        <v>213365</v>
      </c>
      <c r="I1047">
        <v>1686</v>
      </c>
      <c r="J1047">
        <v>0.17</v>
      </c>
      <c r="K1047">
        <v>1.96</v>
      </c>
      <c r="L1047">
        <v>12902.87</v>
      </c>
      <c r="M1047" t="s">
        <v>2223</v>
      </c>
      <c r="N1047" t="s">
        <v>153</v>
      </c>
      <c r="O1047">
        <v>6.13</v>
      </c>
      <c r="P1047">
        <v>6.13</v>
      </c>
      <c r="Q1047">
        <v>6</v>
      </c>
      <c r="R1047">
        <v>6.13</v>
      </c>
      <c r="S1047" t="s">
        <v>40</v>
      </c>
      <c r="T1047">
        <v>0.85</v>
      </c>
      <c r="U1047" t="s">
        <v>24</v>
      </c>
    </row>
    <row r="1048" spans="1:21">
      <c r="A1048" t="str">
        <f>"002584"</f>
        <v>002584</v>
      </c>
      <c r="B1048" t="s">
        <v>2224</v>
      </c>
      <c r="C1048">
        <v>10.06</v>
      </c>
      <c r="D1048">
        <v>6.78</v>
      </c>
      <c r="E1048">
        <v>0.62</v>
      </c>
      <c r="F1048">
        <v>6.78</v>
      </c>
      <c r="G1048" t="s">
        <v>40</v>
      </c>
      <c r="H1048">
        <v>487097</v>
      </c>
      <c r="I1048">
        <v>1125</v>
      </c>
      <c r="J1048">
        <v>0</v>
      </c>
      <c r="K1048">
        <v>12.36</v>
      </c>
      <c r="L1048">
        <v>31768.44</v>
      </c>
      <c r="M1048" t="s">
        <v>2225</v>
      </c>
      <c r="N1048" t="s">
        <v>309</v>
      </c>
      <c r="O1048">
        <v>6.16</v>
      </c>
      <c r="P1048">
        <v>6.78</v>
      </c>
      <c r="Q1048">
        <v>6.11</v>
      </c>
      <c r="R1048">
        <v>6.16</v>
      </c>
      <c r="S1048">
        <v>19</v>
      </c>
      <c r="T1048">
        <v>3.48</v>
      </c>
      <c r="U1048" t="s">
        <v>183</v>
      </c>
    </row>
    <row r="1049" spans="1:21">
      <c r="A1049" t="str">
        <f>"002585"</f>
        <v>002585</v>
      </c>
      <c r="B1049" t="s">
        <v>2226</v>
      </c>
      <c r="C1049">
        <v>6.29</v>
      </c>
      <c r="D1049">
        <v>27.72</v>
      </c>
      <c r="E1049">
        <v>1.64</v>
      </c>
      <c r="F1049">
        <v>27.72</v>
      </c>
      <c r="G1049">
        <v>27.73</v>
      </c>
      <c r="H1049">
        <v>293914</v>
      </c>
      <c r="I1049">
        <v>2317</v>
      </c>
      <c r="J1049">
        <v>0.18</v>
      </c>
      <c r="K1049">
        <v>3.39</v>
      </c>
      <c r="L1049">
        <v>80444.57</v>
      </c>
      <c r="M1049" t="s">
        <v>2227</v>
      </c>
      <c r="N1049" t="s">
        <v>839</v>
      </c>
      <c r="O1049">
        <v>26.08</v>
      </c>
      <c r="P1049">
        <v>28.31</v>
      </c>
      <c r="Q1049">
        <v>25.86</v>
      </c>
      <c r="R1049">
        <v>26.08</v>
      </c>
      <c r="S1049">
        <v>24.7</v>
      </c>
      <c r="T1049">
        <v>1.08</v>
      </c>
      <c r="U1049" t="s">
        <v>102</v>
      </c>
    </row>
    <row r="1050" spans="1:21">
      <c r="A1050" t="str">
        <f>"002586"</f>
        <v>002586</v>
      </c>
      <c r="B1050" t="s">
        <v>2228</v>
      </c>
      <c r="C1050">
        <v>1.48</v>
      </c>
      <c r="D1050">
        <v>2.74</v>
      </c>
      <c r="E1050">
        <v>0.04</v>
      </c>
      <c r="F1050">
        <v>2.73</v>
      </c>
      <c r="G1050">
        <v>2.74</v>
      </c>
      <c r="H1050">
        <v>48343</v>
      </c>
      <c r="I1050">
        <v>133</v>
      </c>
      <c r="J1050">
        <v>0.37</v>
      </c>
      <c r="K1050">
        <v>0.54</v>
      </c>
      <c r="L1050">
        <v>1317.83</v>
      </c>
      <c r="M1050" t="s">
        <v>2229</v>
      </c>
      <c r="N1050" t="s">
        <v>50</v>
      </c>
      <c r="O1050">
        <v>2.72</v>
      </c>
      <c r="P1050">
        <v>2.77</v>
      </c>
      <c r="Q1050">
        <v>2.69</v>
      </c>
      <c r="R1050">
        <v>2.7</v>
      </c>
      <c r="S1050">
        <v>78.83</v>
      </c>
      <c r="T1050">
        <v>0.67</v>
      </c>
      <c r="U1050" t="s">
        <v>200</v>
      </c>
    </row>
    <row r="1051" spans="1:21">
      <c r="A1051" t="str">
        <f>"002587"</f>
        <v>002587</v>
      </c>
      <c r="B1051" t="s">
        <v>2230</v>
      </c>
      <c r="C1051">
        <v>1.74</v>
      </c>
      <c r="D1051">
        <v>4.69</v>
      </c>
      <c r="E1051">
        <v>0.08</v>
      </c>
      <c r="F1051">
        <v>4.69</v>
      </c>
      <c r="G1051">
        <v>4.7</v>
      </c>
      <c r="H1051">
        <v>150818</v>
      </c>
      <c r="I1051">
        <v>977</v>
      </c>
      <c r="J1051">
        <v>0</v>
      </c>
      <c r="K1051">
        <v>3.19</v>
      </c>
      <c r="L1051">
        <v>7094.75</v>
      </c>
      <c r="M1051" t="s">
        <v>2231</v>
      </c>
      <c r="N1051" t="s">
        <v>69</v>
      </c>
      <c r="O1051">
        <v>4.59</v>
      </c>
      <c r="P1051">
        <v>4.82</v>
      </c>
      <c r="Q1051">
        <v>4.56</v>
      </c>
      <c r="R1051">
        <v>4.61</v>
      </c>
      <c r="S1051">
        <v>154.66</v>
      </c>
      <c r="T1051">
        <v>0.6</v>
      </c>
      <c r="U1051" t="s">
        <v>24</v>
      </c>
    </row>
    <row r="1052" spans="1:21">
      <c r="A1052" t="str">
        <f>"002588"</f>
        <v>002588</v>
      </c>
      <c r="B1052" t="s">
        <v>2232</v>
      </c>
      <c r="C1052">
        <v>0.37</v>
      </c>
      <c r="D1052">
        <v>5.43</v>
      </c>
      <c r="E1052">
        <v>0.02</v>
      </c>
      <c r="F1052">
        <v>5.43</v>
      </c>
      <c r="G1052">
        <v>5.44</v>
      </c>
      <c r="H1052">
        <v>154273</v>
      </c>
      <c r="I1052">
        <v>1377</v>
      </c>
      <c r="J1052">
        <v>0</v>
      </c>
      <c r="K1052">
        <v>1.94</v>
      </c>
      <c r="L1052">
        <v>8329.8</v>
      </c>
      <c r="M1052" t="s">
        <v>2233</v>
      </c>
      <c r="N1052" t="s">
        <v>241</v>
      </c>
      <c r="O1052">
        <v>5.4</v>
      </c>
      <c r="P1052">
        <v>5.46</v>
      </c>
      <c r="Q1052">
        <v>5.33</v>
      </c>
      <c r="R1052">
        <v>5.41</v>
      </c>
      <c r="S1052">
        <v>13.57</v>
      </c>
      <c r="T1052">
        <v>0.76</v>
      </c>
      <c r="U1052" t="s">
        <v>221</v>
      </c>
    </row>
    <row r="1053" spans="1:21">
      <c r="A1053" t="str">
        <f>"002589"</f>
        <v>002589</v>
      </c>
      <c r="B1053" t="s">
        <v>2234</v>
      </c>
      <c r="C1053">
        <v>1.15</v>
      </c>
      <c r="D1053">
        <v>3.51</v>
      </c>
      <c r="E1053">
        <v>0.04</v>
      </c>
      <c r="F1053">
        <v>3.51</v>
      </c>
      <c r="G1053">
        <v>3.52</v>
      </c>
      <c r="H1053">
        <v>66108</v>
      </c>
      <c r="I1053">
        <v>778</v>
      </c>
      <c r="J1053">
        <v>-0.27</v>
      </c>
      <c r="K1053">
        <v>0.58</v>
      </c>
      <c r="L1053">
        <v>2308.01</v>
      </c>
      <c r="M1053" t="s">
        <v>2235</v>
      </c>
      <c r="N1053" t="s">
        <v>86</v>
      </c>
      <c r="O1053">
        <v>3.49</v>
      </c>
      <c r="P1053">
        <v>3.52</v>
      </c>
      <c r="Q1053">
        <v>3.46</v>
      </c>
      <c r="R1053">
        <v>3.47</v>
      </c>
      <c r="S1053">
        <v>31.56</v>
      </c>
      <c r="T1053">
        <v>0.74</v>
      </c>
      <c r="U1053" t="s">
        <v>221</v>
      </c>
    </row>
    <row r="1054" spans="1:21">
      <c r="A1054" t="str">
        <f>"002590"</f>
        <v>002590</v>
      </c>
      <c r="B1054" t="s">
        <v>2236</v>
      </c>
      <c r="C1054">
        <v>1.83</v>
      </c>
      <c r="D1054">
        <v>8.33</v>
      </c>
      <c r="E1054">
        <v>0.15</v>
      </c>
      <c r="F1054">
        <v>8.32</v>
      </c>
      <c r="G1054">
        <v>8.33</v>
      </c>
      <c r="H1054">
        <v>118052</v>
      </c>
      <c r="I1054">
        <v>1835</v>
      </c>
      <c r="J1054">
        <v>0.12</v>
      </c>
      <c r="K1054">
        <v>2.59</v>
      </c>
      <c r="L1054">
        <v>9834.16</v>
      </c>
      <c r="M1054" t="s">
        <v>2237</v>
      </c>
      <c r="N1054" t="s">
        <v>91</v>
      </c>
      <c r="O1054">
        <v>8.22</v>
      </c>
      <c r="P1054">
        <v>8.44</v>
      </c>
      <c r="Q1054">
        <v>8.16</v>
      </c>
      <c r="R1054">
        <v>8.18</v>
      </c>
      <c r="S1054">
        <v>267.8</v>
      </c>
      <c r="T1054">
        <v>0.66</v>
      </c>
      <c r="U1054" t="s">
        <v>200</v>
      </c>
    </row>
    <row r="1055" spans="1:21">
      <c r="A1055" t="str">
        <f>"002591"</f>
        <v>002591</v>
      </c>
      <c r="B1055" t="s">
        <v>2238</v>
      </c>
      <c r="C1055">
        <v>1.74</v>
      </c>
      <c r="D1055">
        <v>5.27</v>
      </c>
      <c r="E1055">
        <v>0.09</v>
      </c>
      <c r="F1055">
        <v>5.27</v>
      </c>
      <c r="G1055">
        <v>5.28</v>
      </c>
      <c r="H1055">
        <v>39808</v>
      </c>
      <c r="I1055">
        <v>531</v>
      </c>
      <c r="J1055">
        <v>0.38</v>
      </c>
      <c r="K1055">
        <v>1.84</v>
      </c>
      <c r="L1055">
        <v>2103.96</v>
      </c>
      <c r="M1055" t="s">
        <v>2239</v>
      </c>
      <c r="N1055" t="s">
        <v>309</v>
      </c>
      <c r="O1055">
        <v>5.14</v>
      </c>
      <c r="P1055">
        <v>5.35</v>
      </c>
      <c r="Q1055">
        <v>5.14</v>
      </c>
      <c r="R1055">
        <v>5.18</v>
      </c>
      <c r="S1055">
        <v>47.57</v>
      </c>
      <c r="T1055">
        <v>1.52</v>
      </c>
      <c r="U1055" t="s">
        <v>235</v>
      </c>
    </row>
    <row r="1056" spans="1:21">
      <c r="A1056" t="str">
        <f>"002592"</f>
        <v>002592</v>
      </c>
      <c r="B1056" t="s">
        <v>2240</v>
      </c>
      <c r="C1056">
        <v>0</v>
      </c>
      <c r="D1056">
        <v>7.03</v>
      </c>
      <c r="E1056">
        <v>0</v>
      </c>
      <c r="F1056">
        <v>7.03</v>
      </c>
      <c r="G1056">
        <v>7.04</v>
      </c>
      <c r="H1056">
        <v>66923</v>
      </c>
      <c r="I1056">
        <v>633</v>
      </c>
      <c r="J1056">
        <v>0.14</v>
      </c>
      <c r="K1056">
        <v>2.56</v>
      </c>
      <c r="L1056">
        <v>4702.8</v>
      </c>
      <c r="M1056" t="s">
        <v>2241</v>
      </c>
      <c r="N1056" t="s">
        <v>91</v>
      </c>
      <c r="O1056">
        <v>6.96</v>
      </c>
      <c r="P1056">
        <v>7.12</v>
      </c>
      <c r="Q1056">
        <v>6.95</v>
      </c>
      <c r="R1056">
        <v>7.03</v>
      </c>
      <c r="S1056">
        <v>6.94</v>
      </c>
      <c r="T1056">
        <v>0.67</v>
      </c>
      <c r="U1056" t="s">
        <v>342</v>
      </c>
    </row>
    <row r="1057" spans="1:21">
      <c r="A1057" t="str">
        <f>"002593"</f>
        <v>002593</v>
      </c>
      <c r="B1057" t="s">
        <v>2242</v>
      </c>
      <c r="C1057">
        <v>1.85</v>
      </c>
      <c r="D1057">
        <v>3.86</v>
      </c>
      <c r="E1057">
        <v>0.07</v>
      </c>
      <c r="F1057">
        <v>3.85</v>
      </c>
      <c r="G1057">
        <v>3.86</v>
      </c>
      <c r="H1057">
        <v>62473</v>
      </c>
      <c r="I1057">
        <v>636</v>
      </c>
      <c r="J1057">
        <v>0.26</v>
      </c>
      <c r="K1057">
        <v>1.34</v>
      </c>
      <c r="L1057">
        <v>2391.66</v>
      </c>
      <c r="M1057" t="s">
        <v>2243</v>
      </c>
      <c r="N1057" t="s">
        <v>91</v>
      </c>
      <c r="O1057">
        <v>3.77</v>
      </c>
      <c r="P1057">
        <v>3.9</v>
      </c>
      <c r="Q1057">
        <v>3.76</v>
      </c>
      <c r="R1057">
        <v>3.79</v>
      </c>
      <c r="S1057">
        <v>23.69</v>
      </c>
      <c r="T1057">
        <v>1.22</v>
      </c>
      <c r="U1057" t="s">
        <v>339</v>
      </c>
    </row>
    <row r="1058" spans="1:21">
      <c r="A1058" t="str">
        <f>"002594"</f>
        <v>002594</v>
      </c>
      <c r="B1058" t="s">
        <v>2244</v>
      </c>
      <c r="C1058">
        <v>0.48</v>
      </c>
      <c r="D1058">
        <v>296.82</v>
      </c>
      <c r="E1058">
        <v>1.42</v>
      </c>
      <c r="F1058">
        <v>296.82</v>
      </c>
      <c r="G1058">
        <v>296.83</v>
      </c>
      <c r="H1058">
        <v>175159</v>
      </c>
      <c r="I1058">
        <v>2147</v>
      </c>
      <c r="J1058">
        <v>0</v>
      </c>
      <c r="K1058">
        <v>1.52</v>
      </c>
      <c r="L1058">
        <v>514466.92</v>
      </c>
      <c r="M1058" t="s">
        <v>2245</v>
      </c>
      <c r="N1058" t="s">
        <v>385</v>
      </c>
      <c r="O1058">
        <v>295.72</v>
      </c>
      <c r="P1058">
        <v>300</v>
      </c>
      <c r="Q1058">
        <v>288</v>
      </c>
      <c r="R1058">
        <v>295.4</v>
      </c>
      <c r="S1058">
        <v>265.26</v>
      </c>
      <c r="T1058">
        <v>1.07</v>
      </c>
      <c r="U1058" t="s">
        <v>24</v>
      </c>
    </row>
    <row r="1059" spans="1:21">
      <c r="A1059" t="str">
        <f>"002595"</f>
        <v>002595</v>
      </c>
      <c r="B1059" t="s">
        <v>2246</v>
      </c>
      <c r="C1059">
        <v>-1.24</v>
      </c>
      <c r="D1059">
        <v>27.95</v>
      </c>
      <c r="E1059">
        <v>-0.35</v>
      </c>
      <c r="F1059">
        <v>27.94</v>
      </c>
      <c r="G1059">
        <v>27.95</v>
      </c>
      <c r="H1059">
        <v>42349</v>
      </c>
      <c r="I1059">
        <v>205</v>
      </c>
      <c r="J1059">
        <v>-0.03</v>
      </c>
      <c r="K1059">
        <v>0.79</v>
      </c>
      <c r="L1059">
        <v>11896.66</v>
      </c>
      <c r="M1059" t="s">
        <v>2247</v>
      </c>
      <c r="N1059" t="s">
        <v>324</v>
      </c>
      <c r="O1059">
        <v>28.08</v>
      </c>
      <c r="P1059">
        <v>28.81</v>
      </c>
      <c r="Q1059">
        <v>27.78</v>
      </c>
      <c r="R1059">
        <v>28.3</v>
      </c>
      <c r="S1059">
        <v>19.9</v>
      </c>
      <c r="T1059">
        <v>1.3</v>
      </c>
      <c r="U1059" t="s">
        <v>221</v>
      </c>
    </row>
    <row r="1060" spans="1:21">
      <c r="A1060" t="str">
        <f>"002596"</f>
        <v>002596</v>
      </c>
      <c r="B1060" t="s">
        <v>2248</v>
      </c>
      <c r="C1060">
        <v>0.55</v>
      </c>
      <c r="D1060">
        <v>3.63</v>
      </c>
      <c r="E1060">
        <v>0.02</v>
      </c>
      <c r="F1060">
        <v>3.63</v>
      </c>
      <c r="G1060">
        <v>3.64</v>
      </c>
      <c r="H1060">
        <v>48707</v>
      </c>
      <c r="I1060">
        <v>1275</v>
      </c>
      <c r="J1060">
        <v>-0.26</v>
      </c>
      <c r="K1060">
        <v>0.47</v>
      </c>
      <c r="L1060">
        <v>1762.04</v>
      </c>
      <c r="M1060" t="s">
        <v>2249</v>
      </c>
      <c r="N1060" t="s">
        <v>131</v>
      </c>
      <c r="O1060">
        <v>3.61</v>
      </c>
      <c r="P1060">
        <v>3.64</v>
      </c>
      <c r="Q1060">
        <v>3.59</v>
      </c>
      <c r="R1060">
        <v>3.61</v>
      </c>
      <c r="S1060" t="s">
        <v>40</v>
      </c>
      <c r="T1060">
        <v>0.49</v>
      </c>
      <c r="U1060" t="s">
        <v>294</v>
      </c>
    </row>
    <row r="1061" spans="1:21">
      <c r="A1061" t="str">
        <f>"002597"</f>
        <v>002597</v>
      </c>
      <c r="B1061" t="s">
        <v>2250</v>
      </c>
      <c r="C1061">
        <v>5.11</v>
      </c>
      <c r="D1061">
        <v>48.17</v>
      </c>
      <c r="E1061">
        <v>2.34</v>
      </c>
      <c r="F1061">
        <v>48.17</v>
      </c>
      <c r="G1061">
        <v>48.18</v>
      </c>
      <c r="H1061">
        <v>85576</v>
      </c>
      <c r="I1061">
        <v>795</v>
      </c>
      <c r="J1061">
        <v>0.04</v>
      </c>
      <c r="K1061">
        <v>1.53</v>
      </c>
      <c r="L1061">
        <v>40584.9</v>
      </c>
      <c r="M1061" t="s">
        <v>2251</v>
      </c>
      <c r="N1061" t="s">
        <v>299</v>
      </c>
      <c r="O1061">
        <v>45.3</v>
      </c>
      <c r="P1061">
        <v>48.5</v>
      </c>
      <c r="Q1061">
        <v>45.22</v>
      </c>
      <c r="R1061">
        <v>45.83</v>
      </c>
      <c r="S1061">
        <v>28.41</v>
      </c>
      <c r="T1061">
        <v>1.15</v>
      </c>
      <c r="U1061" t="s">
        <v>193</v>
      </c>
    </row>
    <row r="1062" spans="1:21">
      <c r="A1062" t="str">
        <f>"002598"</f>
        <v>002598</v>
      </c>
      <c r="B1062" t="s">
        <v>2252</v>
      </c>
      <c r="C1062">
        <v>-0.55</v>
      </c>
      <c r="D1062">
        <v>12.57</v>
      </c>
      <c r="E1062">
        <v>-0.07</v>
      </c>
      <c r="F1062">
        <v>12.57</v>
      </c>
      <c r="G1062">
        <v>12.58</v>
      </c>
      <c r="H1062">
        <v>188339</v>
      </c>
      <c r="I1062">
        <v>3793</v>
      </c>
      <c r="J1062">
        <v>-0.15</v>
      </c>
      <c r="K1062">
        <v>6.97</v>
      </c>
      <c r="L1062">
        <v>23605.1</v>
      </c>
      <c r="M1062" t="s">
        <v>2114</v>
      </c>
      <c r="N1062" t="s">
        <v>347</v>
      </c>
      <c r="O1062">
        <v>12.41</v>
      </c>
      <c r="P1062">
        <v>12.8</v>
      </c>
      <c r="Q1062">
        <v>12.23</v>
      </c>
      <c r="R1062">
        <v>12.64</v>
      </c>
      <c r="S1062">
        <v>30.11</v>
      </c>
      <c r="T1062">
        <v>0.95</v>
      </c>
      <c r="U1062" t="s">
        <v>221</v>
      </c>
    </row>
    <row r="1063" spans="1:21">
      <c r="A1063" t="str">
        <f>"002599"</f>
        <v>002599</v>
      </c>
      <c r="B1063" t="s">
        <v>2253</v>
      </c>
      <c r="C1063">
        <v>0.34</v>
      </c>
      <c r="D1063">
        <v>5.88</v>
      </c>
      <c r="E1063">
        <v>0.02</v>
      </c>
      <c r="F1063">
        <v>5.88</v>
      </c>
      <c r="G1063">
        <v>5.89</v>
      </c>
      <c r="H1063">
        <v>199040</v>
      </c>
      <c r="I1063">
        <v>6559</v>
      </c>
      <c r="J1063">
        <v>0</v>
      </c>
      <c r="K1063">
        <v>4.97</v>
      </c>
      <c r="L1063">
        <v>11623.19</v>
      </c>
      <c r="M1063" t="s">
        <v>2254</v>
      </c>
      <c r="N1063" t="s">
        <v>482</v>
      </c>
      <c r="O1063">
        <v>5.83</v>
      </c>
      <c r="P1063">
        <v>5.91</v>
      </c>
      <c r="Q1063">
        <v>5.77</v>
      </c>
      <c r="R1063">
        <v>5.86</v>
      </c>
      <c r="S1063">
        <v>33.95</v>
      </c>
      <c r="T1063">
        <v>0.53</v>
      </c>
      <c r="U1063" t="s">
        <v>44</v>
      </c>
    </row>
    <row r="1064" spans="1:21">
      <c r="A1064" t="str">
        <f>"002600"</f>
        <v>002600</v>
      </c>
      <c r="B1064" t="s">
        <v>2255</v>
      </c>
      <c r="C1064">
        <v>1.63</v>
      </c>
      <c r="D1064">
        <v>6.86</v>
      </c>
      <c r="E1064">
        <v>0.11</v>
      </c>
      <c r="F1064">
        <v>6.85</v>
      </c>
      <c r="G1064">
        <v>6.86</v>
      </c>
      <c r="H1064">
        <v>652320</v>
      </c>
      <c r="I1064">
        <v>13110</v>
      </c>
      <c r="J1064">
        <v>0</v>
      </c>
      <c r="K1064">
        <v>0.93</v>
      </c>
      <c r="L1064">
        <v>44935.72</v>
      </c>
      <c r="M1064" t="s">
        <v>2256</v>
      </c>
      <c r="N1064" t="s">
        <v>69</v>
      </c>
      <c r="O1064">
        <v>6.72</v>
      </c>
      <c r="P1064">
        <v>7.03</v>
      </c>
      <c r="Q1064">
        <v>6.69</v>
      </c>
      <c r="R1064">
        <v>6.75</v>
      </c>
      <c r="S1064">
        <v>28.64</v>
      </c>
      <c r="T1064">
        <v>0.74</v>
      </c>
      <c r="U1064" t="s">
        <v>183</v>
      </c>
    </row>
    <row r="1065" spans="1:21">
      <c r="A1065" t="str">
        <f>"002601"</f>
        <v>002601</v>
      </c>
      <c r="B1065" t="s">
        <v>2257</v>
      </c>
      <c r="C1065">
        <v>0.52</v>
      </c>
      <c r="D1065">
        <v>26.93</v>
      </c>
      <c r="E1065">
        <v>0.14</v>
      </c>
      <c r="F1065">
        <v>26.93</v>
      </c>
      <c r="G1065">
        <v>26.94</v>
      </c>
      <c r="H1065">
        <v>152404</v>
      </c>
      <c r="I1065">
        <v>2321</v>
      </c>
      <c r="J1065">
        <v>0</v>
      </c>
      <c r="K1065">
        <v>1</v>
      </c>
      <c r="L1065">
        <v>40751.45</v>
      </c>
      <c r="M1065" t="s">
        <v>2258</v>
      </c>
      <c r="N1065" t="s">
        <v>309</v>
      </c>
      <c r="O1065">
        <v>26.96</v>
      </c>
      <c r="P1065">
        <v>27</v>
      </c>
      <c r="Q1065">
        <v>26.4</v>
      </c>
      <c r="R1065">
        <v>26.79</v>
      </c>
      <c r="S1065">
        <v>12.56</v>
      </c>
      <c r="T1065">
        <v>0.89</v>
      </c>
      <c r="U1065" t="s">
        <v>224</v>
      </c>
    </row>
    <row r="1066" spans="1:21">
      <c r="A1066" t="str">
        <f>"002602"</f>
        <v>002602</v>
      </c>
      <c r="B1066" t="s">
        <v>2259</v>
      </c>
      <c r="C1066">
        <v>2.25</v>
      </c>
      <c r="D1066">
        <v>7.72</v>
      </c>
      <c r="E1066">
        <v>0.17</v>
      </c>
      <c r="F1066">
        <v>7.71</v>
      </c>
      <c r="G1066">
        <v>7.72</v>
      </c>
      <c r="H1066">
        <v>1120491</v>
      </c>
      <c r="I1066">
        <v>13817</v>
      </c>
      <c r="J1066">
        <v>0.13</v>
      </c>
      <c r="K1066">
        <v>2.3</v>
      </c>
      <c r="L1066">
        <v>87257.5</v>
      </c>
      <c r="M1066" t="s">
        <v>2260</v>
      </c>
      <c r="N1066" t="s">
        <v>479</v>
      </c>
      <c r="O1066">
        <v>7.7</v>
      </c>
      <c r="P1066">
        <v>7.97</v>
      </c>
      <c r="Q1066">
        <v>7.64</v>
      </c>
      <c r="R1066">
        <v>7.55</v>
      </c>
      <c r="S1066">
        <v>15.81</v>
      </c>
      <c r="T1066">
        <v>0.68</v>
      </c>
      <c r="U1066" t="s">
        <v>200</v>
      </c>
    </row>
    <row r="1067" spans="1:21">
      <c r="A1067" t="str">
        <f>"002603"</f>
        <v>002603</v>
      </c>
      <c r="B1067" t="s">
        <v>2261</v>
      </c>
      <c r="C1067">
        <v>0.06</v>
      </c>
      <c r="D1067">
        <v>16.19</v>
      </c>
      <c r="E1067">
        <v>0.01</v>
      </c>
      <c r="F1067">
        <v>16.18</v>
      </c>
      <c r="G1067">
        <v>16.19</v>
      </c>
      <c r="H1067">
        <v>71035</v>
      </c>
      <c r="I1067">
        <v>664</v>
      </c>
      <c r="J1067">
        <v>0</v>
      </c>
      <c r="K1067">
        <v>0.52</v>
      </c>
      <c r="L1067">
        <v>11443.94</v>
      </c>
      <c r="M1067" t="s">
        <v>2262</v>
      </c>
      <c r="N1067" t="s">
        <v>270</v>
      </c>
      <c r="O1067">
        <v>16.2</v>
      </c>
      <c r="P1067">
        <v>16.21</v>
      </c>
      <c r="Q1067">
        <v>16.03</v>
      </c>
      <c r="R1067">
        <v>16.18</v>
      </c>
      <c r="S1067">
        <v>16.58</v>
      </c>
      <c r="T1067">
        <v>0.75</v>
      </c>
      <c r="U1067" t="s">
        <v>207</v>
      </c>
    </row>
    <row r="1068" spans="1:21">
      <c r="A1068" t="str">
        <f>"002605"</f>
        <v>002605</v>
      </c>
      <c r="B1068" t="s">
        <v>2263</v>
      </c>
      <c r="C1068">
        <v>1.34</v>
      </c>
      <c r="D1068">
        <v>18.18</v>
      </c>
      <c r="E1068">
        <v>0.24</v>
      </c>
      <c r="F1068">
        <v>18.17</v>
      </c>
      <c r="G1068">
        <v>18.18</v>
      </c>
      <c r="H1068">
        <v>41848</v>
      </c>
      <c r="I1068">
        <v>611</v>
      </c>
      <c r="J1068">
        <v>0.11</v>
      </c>
      <c r="K1068">
        <v>1.29</v>
      </c>
      <c r="L1068">
        <v>7572.95</v>
      </c>
      <c r="M1068" t="s">
        <v>2264</v>
      </c>
      <c r="N1068" t="s">
        <v>479</v>
      </c>
      <c r="O1068">
        <v>17.96</v>
      </c>
      <c r="P1068">
        <v>18.25</v>
      </c>
      <c r="Q1068">
        <v>17.81</v>
      </c>
      <c r="R1068">
        <v>17.94</v>
      </c>
      <c r="S1068">
        <v>11.98</v>
      </c>
      <c r="T1068">
        <v>0.55</v>
      </c>
      <c r="U1068" t="s">
        <v>848</v>
      </c>
    </row>
    <row r="1069" spans="1:21">
      <c r="A1069" t="str">
        <f>"002606"</f>
        <v>002606</v>
      </c>
      <c r="B1069" t="s">
        <v>2265</v>
      </c>
      <c r="C1069">
        <v>-1.67</v>
      </c>
      <c r="D1069">
        <v>10.02</v>
      </c>
      <c r="E1069">
        <v>-0.17</v>
      </c>
      <c r="F1069">
        <v>10.02</v>
      </c>
      <c r="G1069">
        <v>10.03</v>
      </c>
      <c r="H1069">
        <v>407085</v>
      </c>
      <c r="I1069">
        <v>3044</v>
      </c>
      <c r="J1069">
        <v>0</v>
      </c>
      <c r="K1069">
        <v>9.98</v>
      </c>
      <c r="L1069">
        <v>41330.35</v>
      </c>
      <c r="M1069" t="s">
        <v>2266</v>
      </c>
      <c r="N1069" t="s">
        <v>47</v>
      </c>
      <c r="O1069">
        <v>10.39</v>
      </c>
      <c r="P1069">
        <v>10.49</v>
      </c>
      <c r="Q1069">
        <v>9.96</v>
      </c>
      <c r="R1069">
        <v>10.19</v>
      </c>
      <c r="S1069">
        <v>22.33</v>
      </c>
      <c r="T1069">
        <v>0.94</v>
      </c>
      <c r="U1069" t="s">
        <v>141</v>
      </c>
    </row>
    <row r="1070" spans="1:21">
      <c r="A1070" t="str">
        <f>"002607"</f>
        <v>002607</v>
      </c>
      <c r="B1070" t="s">
        <v>2267</v>
      </c>
      <c r="C1070">
        <v>-0.22</v>
      </c>
      <c r="D1070">
        <v>9.15</v>
      </c>
      <c r="E1070">
        <v>-0.02</v>
      </c>
      <c r="F1070">
        <v>9.14</v>
      </c>
      <c r="G1070">
        <v>9.15</v>
      </c>
      <c r="H1070">
        <v>241319</v>
      </c>
      <c r="I1070">
        <v>3277</v>
      </c>
      <c r="J1070">
        <v>0</v>
      </c>
      <c r="K1070">
        <v>1.47</v>
      </c>
      <c r="L1070">
        <v>21905.34</v>
      </c>
      <c r="M1070" t="s">
        <v>2268</v>
      </c>
      <c r="N1070" t="s">
        <v>63</v>
      </c>
      <c r="O1070">
        <v>9.16</v>
      </c>
      <c r="P1070">
        <v>9.19</v>
      </c>
      <c r="Q1070">
        <v>8.98</v>
      </c>
      <c r="R1070">
        <v>9.17</v>
      </c>
      <c r="S1070" t="s">
        <v>40</v>
      </c>
      <c r="T1070">
        <v>0.8</v>
      </c>
      <c r="U1070" t="s">
        <v>193</v>
      </c>
    </row>
    <row r="1071" spans="1:21">
      <c r="A1071" t="str">
        <f>"002608"</f>
        <v>002608</v>
      </c>
      <c r="B1071" t="s">
        <v>2269</v>
      </c>
      <c r="C1071">
        <v>0</v>
      </c>
      <c r="D1071">
        <v>6.2</v>
      </c>
      <c r="E1071">
        <v>0</v>
      </c>
      <c r="F1071">
        <v>6.19</v>
      </c>
      <c r="G1071">
        <v>6.2</v>
      </c>
      <c r="H1071">
        <v>24300</v>
      </c>
      <c r="I1071">
        <v>255</v>
      </c>
      <c r="J1071">
        <v>0</v>
      </c>
      <c r="K1071">
        <v>0.06</v>
      </c>
      <c r="L1071">
        <v>1498.84</v>
      </c>
      <c r="M1071" t="s">
        <v>2270</v>
      </c>
      <c r="N1071" t="s">
        <v>83</v>
      </c>
      <c r="O1071">
        <v>6.21</v>
      </c>
      <c r="P1071">
        <v>6.23</v>
      </c>
      <c r="Q1071">
        <v>6.12</v>
      </c>
      <c r="R1071">
        <v>6.2</v>
      </c>
      <c r="S1071">
        <v>14.84</v>
      </c>
      <c r="T1071">
        <v>0.87</v>
      </c>
      <c r="U1071" t="s">
        <v>102</v>
      </c>
    </row>
    <row r="1072" spans="1:21">
      <c r="A1072" t="str">
        <f>"002609"</f>
        <v>002609</v>
      </c>
      <c r="B1072" t="s">
        <v>2271</v>
      </c>
      <c r="C1072">
        <v>1.12</v>
      </c>
      <c r="D1072">
        <v>8.99</v>
      </c>
      <c r="E1072">
        <v>0.1</v>
      </c>
      <c r="F1072">
        <v>8.98</v>
      </c>
      <c r="G1072">
        <v>8.99</v>
      </c>
      <c r="H1072">
        <v>23690</v>
      </c>
      <c r="I1072">
        <v>168</v>
      </c>
      <c r="J1072">
        <v>0.11</v>
      </c>
      <c r="K1072">
        <v>0.53</v>
      </c>
      <c r="L1072">
        <v>2120.75</v>
      </c>
      <c r="M1072" t="s">
        <v>2272</v>
      </c>
      <c r="N1072" t="s">
        <v>30</v>
      </c>
      <c r="O1072">
        <v>8.85</v>
      </c>
      <c r="P1072">
        <v>9.02</v>
      </c>
      <c r="Q1072">
        <v>8.85</v>
      </c>
      <c r="R1072">
        <v>8.89</v>
      </c>
      <c r="S1072">
        <v>64.57</v>
      </c>
      <c r="T1072">
        <v>1.1</v>
      </c>
      <c r="U1072" t="s">
        <v>24</v>
      </c>
    </row>
    <row r="1073" spans="1:21">
      <c r="A1073" t="str">
        <f>"002610"</f>
        <v>002610</v>
      </c>
      <c r="B1073" t="s">
        <v>2273</v>
      </c>
      <c r="C1073">
        <v>1.94</v>
      </c>
      <c r="D1073">
        <v>5.77</v>
      </c>
      <c r="E1073">
        <v>0.11</v>
      </c>
      <c r="F1073">
        <v>5.77</v>
      </c>
      <c r="G1073">
        <v>5.78</v>
      </c>
      <c r="H1073">
        <v>5922779</v>
      </c>
      <c r="I1073">
        <v>69448</v>
      </c>
      <c r="J1073">
        <v>0.17</v>
      </c>
      <c r="K1073">
        <v>13.51</v>
      </c>
      <c r="L1073">
        <v>339151.05</v>
      </c>
      <c r="M1073" t="s">
        <v>2274</v>
      </c>
      <c r="N1073" t="s">
        <v>47</v>
      </c>
      <c r="O1073">
        <v>5.67</v>
      </c>
      <c r="P1073">
        <v>5.94</v>
      </c>
      <c r="Q1073">
        <v>5.48</v>
      </c>
      <c r="R1073">
        <v>5.66</v>
      </c>
      <c r="S1073" t="s">
        <v>40</v>
      </c>
      <c r="T1073">
        <v>0.71</v>
      </c>
      <c r="U1073" t="s">
        <v>102</v>
      </c>
    </row>
    <row r="1074" spans="1:21">
      <c r="A1074" t="str">
        <f>"002611"</f>
        <v>002611</v>
      </c>
      <c r="B1074" t="s">
        <v>2275</v>
      </c>
      <c r="C1074">
        <v>10.04</v>
      </c>
      <c r="D1074">
        <v>5.81</v>
      </c>
      <c r="E1074">
        <v>0.53</v>
      </c>
      <c r="F1074">
        <v>5.81</v>
      </c>
      <c r="G1074" t="s">
        <v>40</v>
      </c>
      <c r="H1074">
        <v>718019</v>
      </c>
      <c r="I1074">
        <v>672</v>
      </c>
      <c r="J1074">
        <v>0</v>
      </c>
      <c r="K1074">
        <v>6.58</v>
      </c>
      <c r="L1074">
        <v>40697.31</v>
      </c>
      <c r="M1074" t="s">
        <v>2276</v>
      </c>
      <c r="N1074" t="s">
        <v>111</v>
      </c>
      <c r="O1074">
        <v>5.35</v>
      </c>
      <c r="P1074">
        <v>5.81</v>
      </c>
      <c r="Q1074">
        <v>5.33</v>
      </c>
      <c r="R1074">
        <v>5.28</v>
      </c>
      <c r="S1074">
        <v>18.09</v>
      </c>
      <c r="T1074">
        <v>3.9</v>
      </c>
      <c r="U1074" t="s">
        <v>183</v>
      </c>
    </row>
    <row r="1075" spans="1:21">
      <c r="A1075" t="str">
        <f>"002612"</f>
        <v>002612</v>
      </c>
      <c r="B1075" t="s">
        <v>2277</v>
      </c>
      <c r="C1075">
        <v>1.2</v>
      </c>
      <c r="D1075">
        <v>37.09</v>
      </c>
      <c r="E1075">
        <v>0.44</v>
      </c>
      <c r="F1075">
        <v>37.08</v>
      </c>
      <c r="G1075">
        <v>37.09</v>
      </c>
      <c r="H1075">
        <v>220607</v>
      </c>
      <c r="I1075">
        <v>3683</v>
      </c>
      <c r="J1075">
        <v>-0.02</v>
      </c>
      <c r="K1075">
        <v>8.76</v>
      </c>
      <c r="L1075">
        <v>80012.42</v>
      </c>
      <c r="M1075" t="s">
        <v>2278</v>
      </c>
      <c r="N1075" t="s">
        <v>1061</v>
      </c>
      <c r="O1075">
        <v>36.36</v>
      </c>
      <c r="P1075">
        <v>37.45</v>
      </c>
      <c r="Q1075">
        <v>35.35</v>
      </c>
      <c r="R1075">
        <v>36.65</v>
      </c>
      <c r="S1075">
        <v>77.89</v>
      </c>
      <c r="T1075">
        <v>1.08</v>
      </c>
      <c r="U1075" t="s">
        <v>44</v>
      </c>
    </row>
    <row r="1076" spans="1:21">
      <c r="A1076" t="str">
        <f>"002613"</f>
        <v>002613</v>
      </c>
      <c r="B1076" t="s">
        <v>2279</v>
      </c>
      <c r="C1076">
        <v>0.59</v>
      </c>
      <c r="D1076">
        <v>3.43</v>
      </c>
      <c r="E1076">
        <v>0.02</v>
      </c>
      <c r="F1076">
        <v>3.42</v>
      </c>
      <c r="G1076">
        <v>3.43</v>
      </c>
      <c r="H1076">
        <v>54311</v>
      </c>
      <c r="I1076">
        <v>882</v>
      </c>
      <c r="J1076">
        <v>0</v>
      </c>
      <c r="K1076">
        <v>0.95</v>
      </c>
      <c r="L1076">
        <v>1852.17</v>
      </c>
      <c r="M1076" t="s">
        <v>2280</v>
      </c>
      <c r="N1076" t="s">
        <v>324</v>
      </c>
      <c r="O1076">
        <v>3.37</v>
      </c>
      <c r="P1076">
        <v>3.45</v>
      </c>
      <c r="Q1076">
        <v>3.36</v>
      </c>
      <c r="R1076">
        <v>3.41</v>
      </c>
      <c r="S1076">
        <v>115.74</v>
      </c>
      <c r="T1076">
        <v>0.78</v>
      </c>
      <c r="U1076" t="s">
        <v>224</v>
      </c>
    </row>
    <row r="1077" spans="1:21">
      <c r="A1077" t="str">
        <f>"002614"</f>
        <v>002614</v>
      </c>
      <c r="B1077" t="s">
        <v>2281</v>
      </c>
      <c r="C1077">
        <v>4.55</v>
      </c>
      <c r="D1077">
        <v>12.4</v>
      </c>
      <c r="E1077">
        <v>0.54</v>
      </c>
      <c r="F1077">
        <v>12.39</v>
      </c>
      <c r="G1077">
        <v>12.4</v>
      </c>
      <c r="H1077">
        <v>107979</v>
      </c>
      <c r="I1077">
        <v>786</v>
      </c>
      <c r="J1077">
        <v>0.08</v>
      </c>
      <c r="K1077">
        <v>2.41</v>
      </c>
      <c r="L1077">
        <v>13217.86</v>
      </c>
      <c r="M1077" t="s">
        <v>2282</v>
      </c>
      <c r="N1077" t="s">
        <v>186</v>
      </c>
      <c r="O1077">
        <v>11.86</v>
      </c>
      <c r="P1077">
        <v>12.58</v>
      </c>
      <c r="Q1077">
        <v>11.76</v>
      </c>
      <c r="R1077">
        <v>11.86</v>
      </c>
      <c r="S1077">
        <v>18.84</v>
      </c>
      <c r="T1077">
        <v>1.05</v>
      </c>
      <c r="U1077" t="s">
        <v>339</v>
      </c>
    </row>
    <row r="1078" spans="1:21">
      <c r="A1078" t="str">
        <f>"002615"</f>
        <v>002615</v>
      </c>
      <c r="B1078" t="s">
        <v>2283</v>
      </c>
      <c r="C1078">
        <v>3.7</v>
      </c>
      <c r="D1078">
        <v>6.44</v>
      </c>
      <c r="E1078">
        <v>0.23</v>
      </c>
      <c r="F1078">
        <v>6.43</v>
      </c>
      <c r="G1078">
        <v>6.44</v>
      </c>
      <c r="H1078">
        <v>113251</v>
      </c>
      <c r="I1078">
        <v>730</v>
      </c>
      <c r="J1078">
        <v>-0.3</v>
      </c>
      <c r="K1078">
        <v>4.9</v>
      </c>
      <c r="L1078">
        <v>7198.15</v>
      </c>
      <c r="M1078" t="s">
        <v>2284</v>
      </c>
      <c r="N1078" t="s">
        <v>910</v>
      </c>
      <c r="O1078">
        <v>6.15</v>
      </c>
      <c r="P1078">
        <v>6.48</v>
      </c>
      <c r="Q1078">
        <v>6.11</v>
      </c>
      <c r="R1078">
        <v>6.21</v>
      </c>
      <c r="S1078">
        <v>21.68</v>
      </c>
      <c r="T1078">
        <v>0.85</v>
      </c>
      <c r="U1078" t="s">
        <v>200</v>
      </c>
    </row>
    <row r="1079" spans="1:21">
      <c r="A1079" t="str">
        <f>"002616"</f>
        <v>002616</v>
      </c>
      <c r="B1079" t="s">
        <v>2285</v>
      </c>
      <c r="C1079">
        <v>0.35</v>
      </c>
      <c r="D1079">
        <v>5.72</v>
      </c>
      <c r="E1079">
        <v>0.02</v>
      </c>
      <c r="F1079">
        <v>5.72</v>
      </c>
      <c r="G1079">
        <v>5.73</v>
      </c>
      <c r="H1079">
        <v>26830</v>
      </c>
      <c r="I1079">
        <v>136</v>
      </c>
      <c r="J1079">
        <v>0</v>
      </c>
      <c r="K1079">
        <v>0.57</v>
      </c>
      <c r="L1079">
        <v>1529.03</v>
      </c>
      <c r="M1079" t="s">
        <v>2286</v>
      </c>
      <c r="N1079" t="s">
        <v>33</v>
      </c>
      <c r="O1079">
        <v>5.7</v>
      </c>
      <c r="P1079">
        <v>5.74</v>
      </c>
      <c r="Q1079">
        <v>5.66</v>
      </c>
      <c r="R1079">
        <v>5.7</v>
      </c>
      <c r="S1079">
        <v>101.92</v>
      </c>
      <c r="T1079">
        <v>0.75</v>
      </c>
      <c r="U1079" t="s">
        <v>183</v>
      </c>
    </row>
    <row r="1080" spans="1:21">
      <c r="A1080" t="str">
        <f>"002617"</f>
        <v>002617</v>
      </c>
      <c r="B1080" t="s">
        <v>2287</v>
      </c>
      <c r="C1080">
        <v>-2.18</v>
      </c>
      <c r="D1080">
        <v>16.6</v>
      </c>
      <c r="E1080">
        <v>-0.37</v>
      </c>
      <c r="F1080">
        <v>16.59</v>
      </c>
      <c r="G1080">
        <v>16.6</v>
      </c>
      <c r="H1080">
        <v>1217807</v>
      </c>
      <c r="I1080">
        <v>10731</v>
      </c>
      <c r="J1080">
        <v>0</v>
      </c>
      <c r="K1080">
        <v>9.41</v>
      </c>
      <c r="L1080">
        <v>199642.69</v>
      </c>
      <c r="M1080" t="s">
        <v>2288</v>
      </c>
      <c r="N1080" t="s">
        <v>47</v>
      </c>
      <c r="O1080">
        <v>16.43</v>
      </c>
      <c r="P1080">
        <v>16.81</v>
      </c>
      <c r="Q1080">
        <v>16</v>
      </c>
      <c r="R1080">
        <v>16.97</v>
      </c>
      <c r="S1080">
        <v>120.75</v>
      </c>
      <c r="T1080">
        <v>0.9</v>
      </c>
      <c r="U1080" t="s">
        <v>200</v>
      </c>
    </row>
    <row r="1081" spans="1:21">
      <c r="A1081" t="str">
        <f>"002618"</f>
        <v>002618</v>
      </c>
      <c r="B1081" t="s">
        <v>2289</v>
      </c>
      <c r="C1081">
        <v>-2.15</v>
      </c>
      <c r="D1081">
        <v>2.73</v>
      </c>
      <c r="E1081">
        <v>-0.06</v>
      </c>
      <c r="F1081">
        <v>2.72</v>
      </c>
      <c r="G1081">
        <v>2.73</v>
      </c>
      <c r="H1081">
        <v>208909</v>
      </c>
      <c r="I1081">
        <v>3433</v>
      </c>
      <c r="J1081">
        <v>0</v>
      </c>
      <c r="K1081">
        <v>3.81</v>
      </c>
      <c r="L1081">
        <v>5695.2</v>
      </c>
      <c r="M1081" t="s">
        <v>2290</v>
      </c>
      <c r="N1081" t="s">
        <v>69</v>
      </c>
      <c r="O1081">
        <v>2.78</v>
      </c>
      <c r="P1081">
        <v>2.79</v>
      </c>
      <c r="Q1081">
        <v>2.69</v>
      </c>
      <c r="R1081">
        <v>2.79</v>
      </c>
      <c r="S1081" t="s">
        <v>40</v>
      </c>
      <c r="T1081">
        <v>0.78</v>
      </c>
      <c r="U1081" t="s">
        <v>24</v>
      </c>
    </row>
    <row r="1082" spans="1:21">
      <c r="A1082" t="str">
        <f>"002619"</f>
        <v>002619</v>
      </c>
      <c r="B1082" t="s">
        <v>2291</v>
      </c>
      <c r="C1082">
        <v>-0.6</v>
      </c>
      <c r="D1082">
        <v>1.65</v>
      </c>
      <c r="E1082">
        <v>-0.01</v>
      </c>
      <c r="F1082">
        <v>1.64</v>
      </c>
      <c r="G1082">
        <v>1.65</v>
      </c>
      <c r="H1082">
        <v>621561</v>
      </c>
      <c r="I1082">
        <v>2641</v>
      </c>
      <c r="J1082">
        <v>0</v>
      </c>
      <c r="K1082">
        <v>4.34</v>
      </c>
      <c r="L1082">
        <v>10370.56</v>
      </c>
      <c r="M1082" t="s">
        <v>2292</v>
      </c>
      <c r="N1082" t="s">
        <v>479</v>
      </c>
      <c r="O1082">
        <v>1.69</v>
      </c>
      <c r="P1082">
        <v>1.72</v>
      </c>
      <c r="Q1082">
        <v>1.63</v>
      </c>
      <c r="R1082">
        <v>1.66</v>
      </c>
      <c r="S1082" t="s">
        <v>40</v>
      </c>
      <c r="T1082">
        <v>1.96</v>
      </c>
      <c r="U1082" t="s">
        <v>200</v>
      </c>
    </row>
    <row r="1083" spans="1:21">
      <c r="A1083" t="str">
        <f>"002620"</f>
        <v>002620</v>
      </c>
      <c r="B1083" t="s">
        <v>2293</v>
      </c>
      <c r="C1083">
        <v>2.72</v>
      </c>
      <c r="D1083">
        <v>6.04</v>
      </c>
      <c r="E1083">
        <v>0.16</v>
      </c>
      <c r="F1083">
        <v>6.03</v>
      </c>
      <c r="G1083">
        <v>6.04</v>
      </c>
      <c r="H1083">
        <v>64017</v>
      </c>
      <c r="I1083">
        <v>818</v>
      </c>
      <c r="J1083">
        <v>0.33</v>
      </c>
      <c r="K1083">
        <v>2.07</v>
      </c>
      <c r="L1083">
        <v>3861.46</v>
      </c>
      <c r="M1083" t="s">
        <v>2294</v>
      </c>
      <c r="N1083" t="s">
        <v>1189</v>
      </c>
      <c r="O1083">
        <v>5.93</v>
      </c>
      <c r="P1083">
        <v>6.13</v>
      </c>
      <c r="Q1083">
        <v>5.93</v>
      </c>
      <c r="R1083">
        <v>5.88</v>
      </c>
      <c r="S1083">
        <v>105.09</v>
      </c>
      <c r="T1083">
        <v>0.95</v>
      </c>
      <c r="U1083" t="s">
        <v>24</v>
      </c>
    </row>
    <row r="1084" spans="1:21">
      <c r="A1084" t="str">
        <f>"002621"</f>
        <v>002621</v>
      </c>
      <c r="B1084" t="s">
        <v>2295</v>
      </c>
      <c r="C1084">
        <v>1.36</v>
      </c>
      <c r="D1084">
        <v>3.73</v>
      </c>
      <c r="E1084">
        <v>0.05</v>
      </c>
      <c r="F1084">
        <v>3.73</v>
      </c>
      <c r="G1084">
        <v>3.74</v>
      </c>
      <c r="H1084">
        <v>21342</v>
      </c>
      <c r="I1084">
        <v>208</v>
      </c>
      <c r="J1084">
        <v>-0.26</v>
      </c>
      <c r="K1084">
        <v>0.27</v>
      </c>
      <c r="L1084">
        <v>794.15</v>
      </c>
      <c r="M1084" t="s">
        <v>2296</v>
      </c>
      <c r="N1084" t="s">
        <v>63</v>
      </c>
      <c r="O1084">
        <v>3.72</v>
      </c>
      <c r="P1084">
        <v>3.75</v>
      </c>
      <c r="Q1084">
        <v>3.65</v>
      </c>
      <c r="R1084">
        <v>3.68</v>
      </c>
      <c r="S1084">
        <v>60.95</v>
      </c>
      <c r="T1084">
        <v>0.96</v>
      </c>
      <c r="U1084" t="s">
        <v>141</v>
      </c>
    </row>
    <row r="1085" spans="1:21">
      <c r="A1085" t="str">
        <f>"002622"</f>
        <v>002622</v>
      </c>
      <c r="B1085" t="s">
        <v>2297</v>
      </c>
      <c r="C1085">
        <v>5.24</v>
      </c>
      <c r="D1085">
        <v>5.42</v>
      </c>
      <c r="E1085">
        <v>0.27</v>
      </c>
      <c r="F1085">
        <v>5.42</v>
      </c>
      <c r="G1085">
        <v>5.43</v>
      </c>
      <c r="H1085">
        <v>634259</v>
      </c>
      <c r="I1085">
        <v>8302</v>
      </c>
      <c r="J1085">
        <v>-0.17</v>
      </c>
      <c r="K1085">
        <v>7.55</v>
      </c>
      <c r="L1085">
        <v>34065.97</v>
      </c>
      <c r="M1085" t="s">
        <v>2298</v>
      </c>
      <c r="N1085" t="s">
        <v>47</v>
      </c>
      <c r="O1085">
        <v>5.12</v>
      </c>
      <c r="P1085">
        <v>5.65</v>
      </c>
      <c r="Q1085">
        <v>5.12</v>
      </c>
      <c r="R1085">
        <v>5.15</v>
      </c>
      <c r="S1085">
        <v>2867.97</v>
      </c>
      <c r="T1085">
        <v>1.94</v>
      </c>
      <c r="U1085" t="s">
        <v>92</v>
      </c>
    </row>
    <row r="1086" spans="1:21">
      <c r="A1086" t="str">
        <f>"002623"</f>
        <v>002623</v>
      </c>
      <c r="B1086" t="s">
        <v>2299</v>
      </c>
      <c r="C1086">
        <v>1.49</v>
      </c>
      <c r="D1086">
        <v>39.44</v>
      </c>
      <c r="E1086">
        <v>0.58</v>
      </c>
      <c r="F1086">
        <v>39.44</v>
      </c>
      <c r="G1086">
        <v>39.45</v>
      </c>
      <c r="H1086">
        <v>42735</v>
      </c>
      <c r="I1086">
        <v>516</v>
      </c>
      <c r="J1086">
        <v>-0.12</v>
      </c>
      <c r="K1086">
        <v>2.68</v>
      </c>
      <c r="L1086">
        <v>16767.32</v>
      </c>
      <c r="M1086" t="s">
        <v>2300</v>
      </c>
      <c r="N1086" t="s">
        <v>55</v>
      </c>
      <c r="O1086">
        <v>38.75</v>
      </c>
      <c r="P1086">
        <v>39.87</v>
      </c>
      <c r="Q1086">
        <v>38.5</v>
      </c>
      <c r="R1086">
        <v>38.86</v>
      </c>
      <c r="S1086">
        <v>145.48</v>
      </c>
      <c r="T1086">
        <v>0.92</v>
      </c>
      <c r="U1086" t="s">
        <v>102</v>
      </c>
    </row>
    <row r="1087" spans="1:21">
      <c r="A1087" t="str">
        <f>"002624"</f>
        <v>002624</v>
      </c>
      <c r="B1087" t="s">
        <v>2301</v>
      </c>
      <c r="C1087">
        <v>1.95</v>
      </c>
      <c r="D1087">
        <v>19.83</v>
      </c>
      <c r="E1087">
        <v>0.38</v>
      </c>
      <c r="F1087">
        <v>19.83</v>
      </c>
      <c r="G1087">
        <v>19.84</v>
      </c>
      <c r="H1087">
        <v>624467</v>
      </c>
      <c r="I1087">
        <v>5461</v>
      </c>
      <c r="J1087">
        <v>0</v>
      </c>
      <c r="K1087">
        <v>3.42</v>
      </c>
      <c r="L1087">
        <v>124201.56</v>
      </c>
      <c r="M1087" t="s">
        <v>2302</v>
      </c>
      <c r="N1087" t="s">
        <v>199</v>
      </c>
      <c r="O1087">
        <v>19.21</v>
      </c>
      <c r="P1087">
        <v>20.25</v>
      </c>
      <c r="Q1087">
        <v>19.16</v>
      </c>
      <c r="R1087">
        <v>19.45</v>
      </c>
      <c r="S1087">
        <v>36.07</v>
      </c>
      <c r="T1087">
        <v>0.82</v>
      </c>
      <c r="U1087" t="s">
        <v>200</v>
      </c>
    </row>
    <row r="1088" spans="1:21">
      <c r="A1088" t="str">
        <f>"002625"</f>
        <v>002625</v>
      </c>
      <c r="B1088" t="s">
        <v>2303</v>
      </c>
      <c r="C1088">
        <v>1.01</v>
      </c>
      <c r="D1088">
        <v>21.92</v>
      </c>
      <c r="E1088">
        <v>0.22</v>
      </c>
      <c r="F1088">
        <v>21.91</v>
      </c>
      <c r="G1088">
        <v>21.92</v>
      </c>
      <c r="H1088">
        <v>185305</v>
      </c>
      <c r="I1088">
        <v>3094</v>
      </c>
      <c r="J1088">
        <v>0.05</v>
      </c>
      <c r="K1088">
        <v>1.25</v>
      </c>
      <c r="L1088">
        <v>40396.75</v>
      </c>
      <c r="M1088" t="s">
        <v>1110</v>
      </c>
      <c r="N1088" t="s">
        <v>611</v>
      </c>
      <c r="O1088">
        <v>21.65</v>
      </c>
      <c r="P1088">
        <v>21.97</v>
      </c>
      <c r="Q1088">
        <v>21.55</v>
      </c>
      <c r="R1088">
        <v>21.7</v>
      </c>
      <c r="S1088">
        <v>293.94</v>
      </c>
      <c r="T1088">
        <v>0.74</v>
      </c>
      <c r="U1088" t="s">
        <v>24</v>
      </c>
    </row>
    <row r="1089" spans="1:21">
      <c r="A1089" t="str">
        <f>"002626"</f>
        <v>002626</v>
      </c>
      <c r="B1089" t="s">
        <v>2304</v>
      </c>
      <c r="C1089">
        <v>-1.07</v>
      </c>
      <c r="D1089">
        <v>31.37</v>
      </c>
      <c r="E1089">
        <v>-0.34</v>
      </c>
      <c r="F1089">
        <v>31.37</v>
      </c>
      <c r="G1089">
        <v>31.38</v>
      </c>
      <c r="H1089">
        <v>38921</v>
      </c>
      <c r="I1089">
        <v>349</v>
      </c>
      <c r="J1089">
        <v>0.1</v>
      </c>
      <c r="K1089">
        <v>0.63</v>
      </c>
      <c r="L1089">
        <v>12241.01</v>
      </c>
      <c r="M1089" t="s">
        <v>2305</v>
      </c>
      <c r="N1089" t="s">
        <v>299</v>
      </c>
      <c r="O1089">
        <v>31.5</v>
      </c>
      <c r="P1089">
        <v>32</v>
      </c>
      <c r="Q1089">
        <v>31.16</v>
      </c>
      <c r="R1089">
        <v>31.71</v>
      </c>
      <c r="S1089">
        <v>21.8</v>
      </c>
      <c r="T1089">
        <v>0.55</v>
      </c>
      <c r="U1089" t="s">
        <v>339</v>
      </c>
    </row>
    <row r="1090" spans="1:21">
      <c r="A1090" t="str">
        <f>"002627"</f>
        <v>002627</v>
      </c>
      <c r="B1090" t="s">
        <v>2306</v>
      </c>
      <c r="C1090">
        <v>-0.37</v>
      </c>
      <c r="D1090">
        <v>5.38</v>
      </c>
      <c r="E1090">
        <v>-0.02</v>
      </c>
      <c r="F1090">
        <v>5.37</v>
      </c>
      <c r="G1090">
        <v>5.38</v>
      </c>
      <c r="H1090">
        <v>50733</v>
      </c>
      <c r="I1090">
        <v>1621</v>
      </c>
      <c r="J1090">
        <v>0.19</v>
      </c>
      <c r="K1090">
        <v>0.95</v>
      </c>
      <c r="L1090">
        <v>2715.95</v>
      </c>
      <c r="M1090" t="s">
        <v>2307</v>
      </c>
      <c r="N1090" t="s">
        <v>2308</v>
      </c>
      <c r="O1090">
        <v>5.35</v>
      </c>
      <c r="P1090">
        <v>5.4</v>
      </c>
      <c r="Q1090">
        <v>5.33</v>
      </c>
      <c r="R1090">
        <v>5.4</v>
      </c>
      <c r="S1090">
        <v>44.9</v>
      </c>
      <c r="T1090">
        <v>0.69</v>
      </c>
      <c r="U1090" t="s">
        <v>267</v>
      </c>
    </row>
    <row r="1091" spans="1:21">
      <c r="A1091" t="str">
        <f>"002628"</f>
        <v>002628</v>
      </c>
      <c r="B1091" t="s">
        <v>2309</v>
      </c>
      <c r="C1091">
        <v>0</v>
      </c>
      <c r="D1091">
        <v>3.17</v>
      </c>
      <c r="E1091">
        <v>0</v>
      </c>
      <c r="F1091">
        <v>3.17</v>
      </c>
      <c r="G1091">
        <v>3.18</v>
      </c>
      <c r="H1091">
        <v>28515</v>
      </c>
      <c r="I1091">
        <v>416</v>
      </c>
      <c r="J1091">
        <v>0</v>
      </c>
      <c r="K1091">
        <v>0.38</v>
      </c>
      <c r="L1091">
        <v>901.31</v>
      </c>
      <c r="M1091" t="s">
        <v>2310</v>
      </c>
      <c r="N1091" t="s">
        <v>50</v>
      </c>
      <c r="O1091">
        <v>3.17</v>
      </c>
      <c r="P1091">
        <v>3.18</v>
      </c>
      <c r="Q1091">
        <v>3.14</v>
      </c>
      <c r="R1091">
        <v>3.17</v>
      </c>
      <c r="S1091">
        <v>30.09</v>
      </c>
      <c r="T1091">
        <v>0.76</v>
      </c>
      <c r="U1091" t="s">
        <v>196</v>
      </c>
    </row>
    <row r="1092" spans="1:21">
      <c r="A1092" t="str">
        <f>"002629"</f>
        <v>002629</v>
      </c>
      <c r="B1092" t="s">
        <v>2311</v>
      </c>
      <c r="C1092">
        <v>2.51</v>
      </c>
      <c r="D1092">
        <v>2.45</v>
      </c>
      <c r="E1092">
        <v>0.06</v>
      </c>
      <c r="F1092">
        <v>2.45</v>
      </c>
      <c r="G1092">
        <v>2.46</v>
      </c>
      <c r="H1092">
        <v>45575</v>
      </c>
      <c r="I1092">
        <v>149</v>
      </c>
      <c r="J1092">
        <v>-0.4</v>
      </c>
      <c r="K1092">
        <v>1.32</v>
      </c>
      <c r="L1092">
        <v>1112.68</v>
      </c>
      <c r="M1092" t="s">
        <v>2312</v>
      </c>
      <c r="N1092" t="s">
        <v>996</v>
      </c>
      <c r="O1092">
        <v>2.4</v>
      </c>
      <c r="P1092">
        <v>2.48</v>
      </c>
      <c r="Q1092">
        <v>2.38</v>
      </c>
      <c r="R1092">
        <v>2.39</v>
      </c>
      <c r="S1092" t="s">
        <v>40</v>
      </c>
      <c r="T1092">
        <v>0.68</v>
      </c>
      <c r="U1092" t="s">
        <v>200</v>
      </c>
    </row>
    <row r="1093" spans="1:21">
      <c r="A1093" t="str">
        <f>"002630"</f>
        <v>002630</v>
      </c>
      <c r="B1093" t="s">
        <v>2313</v>
      </c>
      <c r="C1093">
        <v>-0.44</v>
      </c>
      <c r="D1093">
        <v>2.28</v>
      </c>
      <c r="E1093">
        <v>-0.01</v>
      </c>
      <c r="F1093">
        <v>2.28</v>
      </c>
      <c r="G1093">
        <v>2.29</v>
      </c>
      <c r="H1093">
        <v>163830</v>
      </c>
      <c r="I1093">
        <v>1440</v>
      </c>
      <c r="J1093">
        <v>-0.43</v>
      </c>
      <c r="K1093">
        <v>1.69</v>
      </c>
      <c r="L1093">
        <v>3717.44</v>
      </c>
      <c r="M1093" t="s">
        <v>2314</v>
      </c>
      <c r="N1093" t="s">
        <v>324</v>
      </c>
      <c r="O1093">
        <v>2.28</v>
      </c>
      <c r="P1093">
        <v>2.29</v>
      </c>
      <c r="Q1093">
        <v>2.25</v>
      </c>
      <c r="R1093">
        <v>2.29</v>
      </c>
      <c r="S1093" t="s">
        <v>40</v>
      </c>
      <c r="T1093">
        <v>0.83</v>
      </c>
      <c r="U1093" t="s">
        <v>196</v>
      </c>
    </row>
    <row r="1094" spans="1:21">
      <c r="A1094" t="str">
        <f>"002631"</f>
        <v>002631</v>
      </c>
      <c r="B1094" t="s">
        <v>2315</v>
      </c>
      <c r="C1094">
        <v>0.41</v>
      </c>
      <c r="D1094">
        <v>7.42</v>
      </c>
      <c r="E1094">
        <v>0.03</v>
      </c>
      <c r="F1094">
        <v>7.41</v>
      </c>
      <c r="G1094">
        <v>7.42</v>
      </c>
      <c r="H1094">
        <v>76710</v>
      </c>
      <c r="I1094">
        <v>1479</v>
      </c>
      <c r="J1094">
        <v>0.13</v>
      </c>
      <c r="K1094">
        <v>1.17</v>
      </c>
      <c r="L1094">
        <v>5640.08</v>
      </c>
      <c r="M1094" t="s">
        <v>2316</v>
      </c>
      <c r="N1094" t="s">
        <v>910</v>
      </c>
      <c r="O1094">
        <v>7.42</v>
      </c>
      <c r="P1094">
        <v>7.43</v>
      </c>
      <c r="Q1094">
        <v>7.24</v>
      </c>
      <c r="R1094">
        <v>7.39</v>
      </c>
      <c r="S1094">
        <v>75.95</v>
      </c>
      <c r="T1094">
        <v>0.99</v>
      </c>
      <c r="U1094" t="s">
        <v>102</v>
      </c>
    </row>
    <row r="1095" spans="1:21">
      <c r="A1095" t="str">
        <f>"002632"</f>
        <v>002632</v>
      </c>
      <c r="B1095" t="s">
        <v>2317</v>
      </c>
      <c r="C1095">
        <v>2.95</v>
      </c>
      <c r="D1095">
        <v>7.67</v>
      </c>
      <c r="E1095">
        <v>0.22</v>
      </c>
      <c r="F1095">
        <v>7.67</v>
      </c>
      <c r="G1095">
        <v>7.68</v>
      </c>
      <c r="H1095">
        <v>100668</v>
      </c>
      <c r="I1095">
        <v>995</v>
      </c>
      <c r="J1095">
        <v>0</v>
      </c>
      <c r="K1095">
        <v>1.71</v>
      </c>
      <c r="L1095">
        <v>7661.87</v>
      </c>
      <c r="M1095" t="s">
        <v>2318</v>
      </c>
      <c r="N1095" t="s">
        <v>309</v>
      </c>
      <c r="O1095">
        <v>7.45</v>
      </c>
      <c r="P1095">
        <v>7.7</v>
      </c>
      <c r="Q1095">
        <v>7.4</v>
      </c>
      <c r="R1095">
        <v>7.45</v>
      </c>
      <c r="S1095">
        <v>28.45</v>
      </c>
      <c r="T1095">
        <v>0.96</v>
      </c>
      <c r="U1095" t="s">
        <v>200</v>
      </c>
    </row>
    <row r="1096" spans="1:21">
      <c r="A1096" t="str">
        <f>"002633"</f>
        <v>002633</v>
      </c>
      <c r="B1096" t="s">
        <v>2319</v>
      </c>
      <c r="C1096">
        <v>2.15</v>
      </c>
      <c r="D1096">
        <v>7.6</v>
      </c>
      <c r="E1096">
        <v>0.16</v>
      </c>
      <c r="F1096">
        <v>7.6</v>
      </c>
      <c r="G1096">
        <v>7.61</v>
      </c>
      <c r="H1096">
        <v>12765</v>
      </c>
      <c r="I1096">
        <v>18</v>
      </c>
      <c r="J1096">
        <v>0.26</v>
      </c>
      <c r="K1096">
        <v>0.85</v>
      </c>
      <c r="L1096">
        <v>967.28</v>
      </c>
      <c r="M1096" t="s">
        <v>2320</v>
      </c>
      <c r="N1096" t="s">
        <v>347</v>
      </c>
      <c r="O1096">
        <v>7.51</v>
      </c>
      <c r="P1096">
        <v>7.65</v>
      </c>
      <c r="Q1096">
        <v>7.48</v>
      </c>
      <c r="R1096">
        <v>7.44</v>
      </c>
      <c r="S1096">
        <v>302.3</v>
      </c>
      <c r="T1096">
        <v>1.18</v>
      </c>
      <c r="U1096" t="s">
        <v>200</v>
      </c>
    </row>
    <row r="1097" spans="1:21">
      <c r="A1097" t="str">
        <f>"002634"</f>
        <v>002634</v>
      </c>
      <c r="B1097" t="s">
        <v>2321</v>
      </c>
      <c r="C1097">
        <v>0.85</v>
      </c>
      <c r="D1097">
        <v>4.76</v>
      </c>
      <c r="E1097">
        <v>0.04</v>
      </c>
      <c r="F1097">
        <v>4.76</v>
      </c>
      <c r="G1097">
        <v>4.77</v>
      </c>
      <c r="H1097">
        <v>54972</v>
      </c>
      <c r="I1097">
        <v>704</v>
      </c>
      <c r="J1097">
        <v>-0.2</v>
      </c>
      <c r="K1097">
        <v>1.48</v>
      </c>
      <c r="L1097">
        <v>2596.35</v>
      </c>
      <c r="M1097" t="s">
        <v>2322</v>
      </c>
      <c r="N1097" t="s">
        <v>1061</v>
      </c>
      <c r="O1097">
        <v>4.72</v>
      </c>
      <c r="P1097">
        <v>4.8</v>
      </c>
      <c r="Q1097">
        <v>4.66</v>
      </c>
      <c r="R1097">
        <v>4.72</v>
      </c>
      <c r="S1097">
        <v>37.06</v>
      </c>
      <c r="T1097">
        <v>0.76</v>
      </c>
      <c r="U1097" t="s">
        <v>200</v>
      </c>
    </row>
    <row r="1098" spans="1:21">
      <c r="A1098" t="str">
        <f>"002635"</f>
        <v>002635</v>
      </c>
      <c r="B1098" t="s">
        <v>2323</v>
      </c>
      <c r="C1098">
        <v>0.66</v>
      </c>
      <c r="D1098">
        <v>16.78</v>
      </c>
      <c r="E1098">
        <v>0.11</v>
      </c>
      <c r="F1098">
        <v>16.77</v>
      </c>
      <c r="G1098">
        <v>16.78</v>
      </c>
      <c r="H1098">
        <v>209346</v>
      </c>
      <c r="I1098">
        <v>3997</v>
      </c>
      <c r="J1098">
        <v>-0.05</v>
      </c>
      <c r="K1098">
        <v>6.01</v>
      </c>
      <c r="L1098">
        <v>35279.43</v>
      </c>
      <c r="M1098" t="s">
        <v>2324</v>
      </c>
      <c r="N1098" t="s">
        <v>72</v>
      </c>
      <c r="O1098">
        <v>16.64</v>
      </c>
      <c r="P1098">
        <v>17.14</v>
      </c>
      <c r="Q1098">
        <v>16.64</v>
      </c>
      <c r="R1098">
        <v>16.67</v>
      </c>
      <c r="S1098">
        <v>82.92</v>
      </c>
      <c r="T1098">
        <v>0.5</v>
      </c>
      <c r="U1098" t="s">
        <v>102</v>
      </c>
    </row>
    <row r="1099" spans="1:21">
      <c r="A1099" t="str">
        <f>"002636"</f>
        <v>002636</v>
      </c>
      <c r="B1099" t="s">
        <v>2325</v>
      </c>
      <c r="C1099">
        <v>2.32</v>
      </c>
      <c r="D1099">
        <v>14.55</v>
      </c>
      <c r="E1099">
        <v>0.33</v>
      </c>
      <c r="F1099">
        <v>14.54</v>
      </c>
      <c r="G1099">
        <v>14.55</v>
      </c>
      <c r="H1099">
        <v>79385</v>
      </c>
      <c r="I1099">
        <v>2295</v>
      </c>
      <c r="J1099">
        <v>0.28</v>
      </c>
      <c r="K1099">
        <v>1.1</v>
      </c>
      <c r="L1099">
        <v>11437.88</v>
      </c>
      <c r="M1099" t="s">
        <v>2326</v>
      </c>
      <c r="N1099" t="s">
        <v>69</v>
      </c>
      <c r="O1099">
        <v>14.22</v>
      </c>
      <c r="P1099">
        <v>14.58</v>
      </c>
      <c r="Q1099">
        <v>14.12</v>
      </c>
      <c r="R1099">
        <v>14.22</v>
      </c>
      <c r="S1099">
        <v>11.1</v>
      </c>
      <c r="T1099">
        <v>0.85</v>
      </c>
      <c r="U1099" t="s">
        <v>848</v>
      </c>
    </row>
    <row r="1100" spans="1:21">
      <c r="A1100" t="str">
        <f>"002637"</f>
        <v>002637</v>
      </c>
      <c r="B1100" t="s">
        <v>2327</v>
      </c>
      <c r="C1100">
        <v>1.11</v>
      </c>
      <c r="D1100">
        <v>15.55</v>
      </c>
      <c r="E1100">
        <v>0.17</v>
      </c>
      <c r="F1100">
        <v>15.54</v>
      </c>
      <c r="G1100">
        <v>15.55</v>
      </c>
      <c r="H1100">
        <v>44026</v>
      </c>
      <c r="I1100">
        <v>521</v>
      </c>
      <c r="J1100">
        <v>-0.05</v>
      </c>
      <c r="K1100">
        <v>1.11</v>
      </c>
      <c r="L1100">
        <v>6818.65</v>
      </c>
      <c r="M1100" t="s">
        <v>2328</v>
      </c>
      <c r="N1100" t="s">
        <v>332</v>
      </c>
      <c r="O1100">
        <v>15.36</v>
      </c>
      <c r="P1100">
        <v>15.62</v>
      </c>
      <c r="Q1100">
        <v>15.22</v>
      </c>
      <c r="R1100">
        <v>15.38</v>
      </c>
      <c r="S1100">
        <v>9.09</v>
      </c>
      <c r="T1100">
        <v>0.87</v>
      </c>
      <c r="U1100" t="s">
        <v>200</v>
      </c>
    </row>
    <row r="1101" spans="1:21">
      <c r="A1101" t="str">
        <f>"002638"</f>
        <v>002638</v>
      </c>
      <c r="B1101" t="s">
        <v>2329</v>
      </c>
      <c r="C1101">
        <v>0.56</v>
      </c>
      <c r="D1101">
        <v>1.81</v>
      </c>
      <c r="E1101">
        <v>0.01</v>
      </c>
      <c r="F1101">
        <v>1.81</v>
      </c>
      <c r="G1101">
        <v>1.82</v>
      </c>
      <c r="H1101">
        <v>162208</v>
      </c>
      <c r="I1101">
        <v>2525</v>
      </c>
      <c r="J1101">
        <v>0</v>
      </c>
      <c r="K1101">
        <v>1.63</v>
      </c>
      <c r="L1101">
        <v>2929.25</v>
      </c>
      <c r="M1101" t="s">
        <v>2330</v>
      </c>
      <c r="N1101" t="s">
        <v>63</v>
      </c>
      <c r="O1101">
        <v>1.8</v>
      </c>
      <c r="P1101">
        <v>1.83</v>
      </c>
      <c r="Q1101">
        <v>1.77</v>
      </c>
      <c r="R1101">
        <v>1.8</v>
      </c>
      <c r="S1101" t="s">
        <v>40</v>
      </c>
      <c r="T1101">
        <v>0.95</v>
      </c>
      <c r="U1101" t="s">
        <v>183</v>
      </c>
    </row>
    <row r="1102" spans="1:21">
      <c r="A1102" t="str">
        <f>"002639"</f>
        <v>002639</v>
      </c>
      <c r="B1102" t="s">
        <v>2331</v>
      </c>
      <c r="C1102">
        <v>4.71</v>
      </c>
      <c r="D1102">
        <v>8.45</v>
      </c>
      <c r="E1102">
        <v>0.38</v>
      </c>
      <c r="F1102">
        <v>8.44</v>
      </c>
      <c r="G1102">
        <v>8.45</v>
      </c>
      <c r="H1102">
        <v>692052</v>
      </c>
      <c r="I1102">
        <v>6648</v>
      </c>
      <c r="J1102">
        <v>0.12</v>
      </c>
      <c r="K1102">
        <v>12.39</v>
      </c>
      <c r="L1102">
        <v>57959.36</v>
      </c>
      <c r="M1102" t="s">
        <v>2332</v>
      </c>
      <c r="N1102" t="s">
        <v>324</v>
      </c>
      <c r="O1102">
        <v>8.19</v>
      </c>
      <c r="P1102">
        <v>8.55</v>
      </c>
      <c r="Q1102">
        <v>8.02</v>
      </c>
      <c r="R1102">
        <v>8.07</v>
      </c>
      <c r="S1102" t="s">
        <v>40</v>
      </c>
      <c r="T1102">
        <v>2.27</v>
      </c>
      <c r="U1102" t="s">
        <v>339</v>
      </c>
    </row>
    <row r="1103" spans="1:21">
      <c r="A1103" t="str">
        <f>"002640"</f>
        <v>002640</v>
      </c>
      <c r="B1103" t="s">
        <v>2333</v>
      </c>
      <c r="C1103">
        <v>-1.22</v>
      </c>
      <c r="D1103">
        <v>2.42</v>
      </c>
      <c r="E1103">
        <v>-0.03</v>
      </c>
      <c r="F1103">
        <v>2.41</v>
      </c>
      <c r="G1103">
        <v>2.42</v>
      </c>
      <c r="H1103">
        <v>381858</v>
      </c>
      <c r="I1103">
        <v>5486</v>
      </c>
      <c r="J1103">
        <v>0.41</v>
      </c>
      <c r="K1103">
        <v>3.05</v>
      </c>
      <c r="L1103">
        <v>9264.2</v>
      </c>
      <c r="M1103" t="s">
        <v>2334</v>
      </c>
      <c r="N1103" t="s">
        <v>479</v>
      </c>
      <c r="O1103">
        <v>2.45</v>
      </c>
      <c r="P1103">
        <v>2.46</v>
      </c>
      <c r="Q1103">
        <v>2.4</v>
      </c>
      <c r="R1103">
        <v>2.45</v>
      </c>
      <c r="S1103">
        <v>5.69</v>
      </c>
      <c r="T1103">
        <v>0.95</v>
      </c>
      <c r="U1103" t="s">
        <v>232</v>
      </c>
    </row>
    <row r="1104" spans="1:21">
      <c r="A1104" t="str">
        <f>"002641"</f>
        <v>002641</v>
      </c>
      <c r="B1104" t="s">
        <v>2335</v>
      </c>
      <c r="C1104">
        <v>1.3</v>
      </c>
      <c r="D1104">
        <v>4.66</v>
      </c>
      <c r="E1104">
        <v>0.06</v>
      </c>
      <c r="F1104">
        <v>4.65</v>
      </c>
      <c r="G1104">
        <v>4.66</v>
      </c>
      <c r="H1104">
        <v>45221</v>
      </c>
      <c r="I1104">
        <v>390</v>
      </c>
      <c r="J1104">
        <v>0.43</v>
      </c>
      <c r="K1104">
        <v>0.4</v>
      </c>
      <c r="L1104">
        <v>2099.19</v>
      </c>
      <c r="M1104" t="s">
        <v>2336</v>
      </c>
      <c r="N1104" t="s">
        <v>839</v>
      </c>
      <c r="O1104">
        <v>4.6</v>
      </c>
      <c r="P1104">
        <v>4.69</v>
      </c>
      <c r="Q1104">
        <v>4.59</v>
      </c>
      <c r="R1104">
        <v>4.6</v>
      </c>
      <c r="S1104">
        <v>11.99</v>
      </c>
      <c r="T1104">
        <v>0.92</v>
      </c>
      <c r="U1104" t="s">
        <v>200</v>
      </c>
    </row>
    <row r="1105" spans="1:21">
      <c r="A1105" t="str">
        <f>"002642"</f>
        <v>002642</v>
      </c>
      <c r="B1105" t="s">
        <v>2337</v>
      </c>
      <c r="C1105">
        <v>3.11</v>
      </c>
      <c r="D1105">
        <v>4.98</v>
      </c>
      <c r="E1105">
        <v>0.15</v>
      </c>
      <c r="F1105">
        <v>4.97</v>
      </c>
      <c r="G1105">
        <v>4.98</v>
      </c>
      <c r="H1105">
        <v>133745</v>
      </c>
      <c r="I1105">
        <v>1489</v>
      </c>
      <c r="J1105">
        <v>0.2</v>
      </c>
      <c r="K1105">
        <v>2.29</v>
      </c>
      <c r="L1105">
        <v>6583.74</v>
      </c>
      <c r="M1105" t="s">
        <v>2338</v>
      </c>
      <c r="N1105" t="s">
        <v>30</v>
      </c>
      <c r="O1105">
        <v>4.82</v>
      </c>
      <c r="P1105">
        <v>4.99</v>
      </c>
      <c r="Q1105">
        <v>4.82</v>
      </c>
      <c r="R1105">
        <v>4.83</v>
      </c>
      <c r="S1105">
        <v>194.24</v>
      </c>
      <c r="T1105">
        <v>1.31</v>
      </c>
      <c r="U1105" t="s">
        <v>44</v>
      </c>
    </row>
    <row r="1106" spans="1:21">
      <c r="A1106" t="str">
        <f>"002643"</f>
        <v>002643</v>
      </c>
      <c r="B1106" t="s">
        <v>2339</v>
      </c>
      <c r="C1106">
        <v>-2.52</v>
      </c>
      <c r="D1106">
        <v>23.6</v>
      </c>
      <c r="E1106">
        <v>-0.61</v>
      </c>
      <c r="F1106">
        <v>23.6</v>
      </c>
      <c r="G1106">
        <v>23.61</v>
      </c>
      <c r="H1106">
        <v>196118</v>
      </c>
      <c r="I1106">
        <v>2194</v>
      </c>
      <c r="J1106">
        <v>0.17</v>
      </c>
      <c r="K1106">
        <v>2.19</v>
      </c>
      <c r="L1106">
        <v>46569.57</v>
      </c>
      <c r="M1106" t="s">
        <v>2340</v>
      </c>
      <c r="N1106" t="s">
        <v>309</v>
      </c>
      <c r="O1106">
        <v>24.22</v>
      </c>
      <c r="P1106">
        <v>24.69</v>
      </c>
      <c r="Q1106">
        <v>23.12</v>
      </c>
      <c r="R1106">
        <v>24.21</v>
      </c>
      <c r="S1106">
        <v>33.43</v>
      </c>
      <c r="T1106">
        <v>1</v>
      </c>
      <c r="U1106" t="s">
        <v>221</v>
      </c>
    </row>
    <row r="1107" spans="1:21">
      <c r="A1107" t="str">
        <f>"002644"</f>
        <v>002644</v>
      </c>
      <c r="B1107" t="s">
        <v>2341</v>
      </c>
      <c r="C1107">
        <v>0.56</v>
      </c>
      <c r="D1107">
        <v>7.14</v>
      </c>
      <c r="E1107">
        <v>0.04</v>
      </c>
      <c r="F1107">
        <v>7.14</v>
      </c>
      <c r="G1107">
        <v>7.15</v>
      </c>
      <c r="H1107">
        <v>13182</v>
      </c>
      <c r="I1107">
        <v>77</v>
      </c>
      <c r="J1107">
        <v>0</v>
      </c>
      <c r="K1107">
        <v>0.26</v>
      </c>
      <c r="L1107">
        <v>934.25</v>
      </c>
      <c r="M1107" t="s">
        <v>2342</v>
      </c>
      <c r="N1107" t="s">
        <v>270</v>
      </c>
      <c r="O1107">
        <v>7.13</v>
      </c>
      <c r="P1107">
        <v>7.15</v>
      </c>
      <c r="Q1107">
        <v>7.04</v>
      </c>
      <c r="R1107">
        <v>7.1</v>
      </c>
      <c r="S1107">
        <v>37.09</v>
      </c>
      <c r="T1107">
        <v>0.96</v>
      </c>
      <c r="U1107" t="s">
        <v>391</v>
      </c>
    </row>
    <row r="1108" spans="1:21">
      <c r="A1108" t="str">
        <f>"002645"</f>
        <v>002645</v>
      </c>
      <c r="B1108" t="s">
        <v>2343</v>
      </c>
      <c r="C1108">
        <v>-0.93</v>
      </c>
      <c r="D1108">
        <v>21.25</v>
      </c>
      <c r="E1108">
        <v>-0.2</v>
      </c>
      <c r="F1108">
        <v>21.25</v>
      </c>
      <c r="G1108">
        <v>21.26</v>
      </c>
      <c r="H1108">
        <v>95144</v>
      </c>
      <c r="I1108">
        <v>791</v>
      </c>
      <c r="J1108">
        <v>0.14</v>
      </c>
      <c r="K1108">
        <v>2.08</v>
      </c>
      <c r="L1108">
        <v>20100.73</v>
      </c>
      <c r="M1108" t="s">
        <v>2344</v>
      </c>
      <c r="N1108" t="s">
        <v>324</v>
      </c>
      <c r="O1108">
        <v>21.45</v>
      </c>
      <c r="P1108">
        <v>21.77</v>
      </c>
      <c r="Q1108">
        <v>20.63</v>
      </c>
      <c r="R1108">
        <v>21.45</v>
      </c>
      <c r="S1108">
        <v>23.77</v>
      </c>
      <c r="T1108">
        <v>0.83</v>
      </c>
      <c r="U1108" t="s">
        <v>102</v>
      </c>
    </row>
    <row r="1109" spans="1:21">
      <c r="A1109" t="str">
        <f>"002646"</f>
        <v>002646</v>
      </c>
      <c r="B1109" t="s">
        <v>2345</v>
      </c>
      <c r="C1109">
        <v>-0.05</v>
      </c>
      <c r="D1109">
        <v>19.23</v>
      </c>
      <c r="E1109">
        <v>-0.01</v>
      </c>
      <c r="F1109">
        <v>19.22</v>
      </c>
      <c r="G1109">
        <v>19.23</v>
      </c>
      <c r="H1109">
        <v>101946</v>
      </c>
      <c r="I1109">
        <v>1008</v>
      </c>
      <c r="J1109">
        <v>0</v>
      </c>
      <c r="K1109">
        <v>2.27</v>
      </c>
      <c r="L1109">
        <v>19738.72</v>
      </c>
      <c r="M1109" t="s">
        <v>2346</v>
      </c>
      <c r="N1109" t="s">
        <v>423</v>
      </c>
      <c r="O1109">
        <v>19.16</v>
      </c>
      <c r="P1109">
        <v>19.63</v>
      </c>
      <c r="Q1109">
        <v>19.05</v>
      </c>
      <c r="R1109">
        <v>19.24</v>
      </c>
      <c r="S1109">
        <v>79.84</v>
      </c>
      <c r="T1109">
        <v>0.89</v>
      </c>
      <c r="U1109" t="s">
        <v>242</v>
      </c>
    </row>
    <row r="1110" spans="1:21">
      <c r="A1110" t="str">
        <f>"002647"</f>
        <v>002647</v>
      </c>
      <c r="B1110" t="s">
        <v>2347</v>
      </c>
      <c r="C1110">
        <v>0.77</v>
      </c>
      <c r="D1110">
        <v>7.9</v>
      </c>
      <c r="E1110">
        <v>0.06</v>
      </c>
      <c r="F1110">
        <v>7.9</v>
      </c>
      <c r="G1110">
        <v>7.91</v>
      </c>
      <c r="H1110">
        <v>173638</v>
      </c>
      <c r="I1110">
        <v>3135</v>
      </c>
      <c r="J1110">
        <v>0</v>
      </c>
      <c r="K1110">
        <v>3.1</v>
      </c>
      <c r="L1110">
        <v>13660.83</v>
      </c>
      <c r="M1110" t="s">
        <v>2348</v>
      </c>
      <c r="N1110" t="s">
        <v>121</v>
      </c>
      <c r="O1110">
        <v>7.84</v>
      </c>
      <c r="P1110">
        <v>7.94</v>
      </c>
      <c r="Q1110">
        <v>7.77</v>
      </c>
      <c r="R1110">
        <v>7.84</v>
      </c>
      <c r="S1110" t="s">
        <v>40</v>
      </c>
      <c r="T1110">
        <v>0.55</v>
      </c>
      <c r="U1110" t="s">
        <v>200</v>
      </c>
    </row>
    <row r="1111" spans="1:21">
      <c r="A1111" t="str">
        <f>"002648"</f>
        <v>002648</v>
      </c>
      <c r="B1111" t="s">
        <v>2349</v>
      </c>
      <c r="C1111">
        <v>-0.33</v>
      </c>
      <c r="D1111">
        <v>38.87</v>
      </c>
      <c r="E1111">
        <v>-0.13</v>
      </c>
      <c r="F1111">
        <v>38.87</v>
      </c>
      <c r="G1111">
        <v>38.9</v>
      </c>
      <c r="H1111">
        <v>80144</v>
      </c>
      <c r="I1111">
        <v>1370</v>
      </c>
      <c r="J1111">
        <v>-0.17</v>
      </c>
      <c r="K1111">
        <v>0.47</v>
      </c>
      <c r="L1111">
        <v>30990.93</v>
      </c>
      <c r="M1111" t="s">
        <v>2350</v>
      </c>
      <c r="N1111" t="s">
        <v>309</v>
      </c>
      <c r="O1111">
        <v>39</v>
      </c>
      <c r="P1111">
        <v>39</v>
      </c>
      <c r="Q1111">
        <v>38.33</v>
      </c>
      <c r="R1111">
        <v>39</v>
      </c>
      <c r="S1111">
        <v>11.78</v>
      </c>
      <c r="T1111">
        <v>0.72</v>
      </c>
      <c r="U1111" t="s">
        <v>200</v>
      </c>
    </row>
    <row r="1112" spans="1:21">
      <c r="A1112" t="str">
        <f>"002649"</f>
        <v>002649</v>
      </c>
      <c r="B1112" t="s">
        <v>2351</v>
      </c>
      <c r="C1112">
        <v>0.17</v>
      </c>
      <c r="D1112">
        <v>12.01</v>
      </c>
      <c r="E1112">
        <v>0.02</v>
      </c>
      <c r="F1112">
        <v>12.01</v>
      </c>
      <c r="G1112">
        <v>12.02</v>
      </c>
      <c r="H1112">
        <v>261696</v>
      </c>
      <c r="I1112">
        <v>2983</v>
      </c>
      <c r="J1112">
        <v>0.08</v>
      </c>
      <c r="K1112">
        <v>5.09</v>
      </c>
      <c r="L1112">
        <v>31452.35</v>
      </c>
      <c r="M1112" t="s">
        <v>2352</v>
      </c>
      <c r="N1112" t="s">
        <v>30</v>
      </c>
      <c r="O1112">
        <v>11.92</v>
      </c>
      <c r="P1112">
        <v>12.22</v>
      </c>
      <c r="Q1112">
        <v>11.82</v>
      </c>
      <c r="R1112">
        <v>11.99</v>
      </c>
      <c r="S1112">
        <v>17.64</v>
      </c>
      <c r="T1112">
        <v>1.1</v>
      </c>
      <c r="U1112" t="s">
        <v>44</v>
      </c>
    </row>
    <row r="1113" spans="1:21">
      <c r="A1113" t="str">
        <f>"002650"</f>
        <v>002650</v>
      </c>
      <c r="B1113" t="s">
        <v>2353</v>
      </c>
      <c r="C1113">
        <v>0.71</v>
      </c>
      <c r="D1113">
        <v>5.71</v>
      </c>
      <c r="E1113">
        <v>0.04</v>
      </c>
      <c r="F1113">
        <v>5.7</v>
      </c>
      <c r="G1113">
        <v>5.71</v>
      </c>
      <c r="H1113">
        <v>153406</v>
      </c>
      <c r="I1113">
        <v>2591</v>
      </c>
      <c r="J1113">
        <v>0.53</v>
      </c>
      <c r="K1113">
        <v>1.33</v>
      </c>
      <c r="L1113">
        <v>8697.41</v>
      </c>
      <c r="M1113" t="s">
        <v>2354</v>
      </c>
      <c r="N1113" t="s">
        <v>299</v>
      </c>
      <c r="O1113">
        <v>5.67</v>
      </c>
      <c r="P1113">
        <v>5.75</v>
      </c>
      <c r="Q1113">
        <v>5.6</v>
      </c>
      <c r="R1113">
        <v>5.67</v>
      </c>
      <c r="S1113">
        <v>2656.39</v>
      </c>
      <c r="T1113">
        <v>0.4</v>
      </c>
      <c r="U1113" t="s">
        <v>204</v>
      </c>
    </row>
    <row r="1114" spans="1:21">
      <c r="A1114" t="str">
        <f>"002651"</f>
        <v>002651</v>
      </c>
      <c r="B1114" t="s">
        <v>2355</v>
      </c>
      <c r="C1114">
        <v>1.01</v>
      </c>
      <c r="D1114">
        <v>12.05</v>
      </c>
      <c r="E1114">
        <v>0.12</v>
      </c>
      <c r="F1114">
        <v>12.05</v>
      </c>
      <c r="G1114">
        <v>12.06</v>
      </c>
      <c r="H1114">
        <v>47262</v>
      </c>
      <c r="I1114">
        <v>326</v>
      </c>
      <c r="J1114">
        <v>-0.07</v>
      </c>
      <c r="K1114">
        <v>0.85</v>
      </c>
      <c r="L1114">
        <v>5665.9</v>
      </c>
      <c r="M1114" t="s">
        <v>2356</v>
      </c>
      <c r="N1114" t="s">
        <v>324</v>
      </c>
      <c r="O1114">
        <v>12</v>
      </c>
      <c r="P1114">
        <v>12.12</v>
      </c>
      <c r="Q1114">
        <v>11.82</v>
      </c>
      <c r="R1114">
        <v>11.93</v>
      </c>
      <c r="S1114">
        <v>53.85</v>
      </c>
      <c r="T1114">
        <v>0.51</v>
      </c>
      <c r="U1114" t="s">
        <v>196</v>
      </c>
    </row>
    <row r="1115" spans="1:21">
      <c r="A1115" t="str">
        <f>"002652"</f>
        <v>002652</v>
      </c>
      <c r="B1115" t="s">
        <v>2357</v>
      </c>
      <c r="C1115">
        <v>0.61</v>
      </c>
      <c r="D1115">
        <v>3.28</v>
      </c>
      <c r="E1115">
        <v>0.02</v>
      </c>
      <c r="F1115">
        <v>3.28</v>
      </c>
      <c r="G1115">
        <v>3.29</v>
      </c>
      <c r="H1115">
        <v>22504</v>
      </c>
      <c r="I1115">
        <v>526</v>
      </c>
      <c r="J1115">
        <v>0</v>
      </c>
      <c r="K1115">
        <v>0.49</v>
      </c>
      <c r="L1115">
        <v>735.66</v>
      </c>
      <c r="M1115" t="s">
        <v>2358</v>
      </c>
      <c r="N1115" t="s">
        <v>131</v>
      </c>
      <c r="O1115">
        <v>3.26</v>
      </c>
      <c r="P1115">
        <v>3.29</v>
      </c>
      <c r="Q1115">
        <v>3.23</v>
      </c>
      <c r="R1115">
        <v>3.26</v>
      </c>
      <c r="S1115">
        <v>203.12</v>
      </c>
      <c r="T1115">
        <v>0.88</v>
      </c>
      <c r="U1115" t="s">
        <v>102</v>
      </c>
    </row>
    <row r="1116" spans="1:21">
      <c r="A1116" t="str">
        <f>"002653"</f>
        <v>002653</v>
      </c>
      <c r="B1116" t="s">
        <v>2359</v>
      </c>
      <c r="C1116">
        <v>-0.15</v>
      </c>
      <c r="D1116">
        <v>19.7</v>
      </c>
      <c r="E1116">
        <v>-0.03</v>
      </c>
      <c r="F1116">
        <v>19.68</v>
      </c>
      <c r="G1116">
        <v>19.7</v>
      </c>
      <c r="H1116">
        <v>15902</v>
      </c>
      <c r="I1116">
        <v>427</v>
      </c>
      <c r="J1116">
        <v>0.1</v>
      </c>
      <c r="K1116">
        <v>0.33</v>
      </c>
      <c r="L1116">
        <v>3136.82</v>
      </c>
      <c r="M1116" t="s">
        <v>2360</v>
      </c>
      <c r="N1116" t="s">
        <v>192</v>
      </c>
      <c r="O1116">
        <v>19.62</v>
      </c>
      <c r="P1116">
        <v>19.93</v>
      </c>
      <c r="Q1116">
        <v>19.61</v>
      </c>
      <c r="R1116">
        <v>19.73</v>
      </c>
      <c r="S1116">
        <v>57.68</v>
      </c>
      <c r="T1116">
        <v>0.76</v>
      </c>
      <c r="U1116" t="s">
        <v>694</v>
      </c>
    </row>
    <row r="1117" spans="1:21">
      <c r="A1117" t="str">
        <f>"002654"</f>
        <v>002654</v>
      </c>
      <c r="B1117" t="s">
        <v>2361</v>
      </c>
      <c r="C1117">
        <v>1.39</v>
      </c>
      <c r="D1117">
        <v>3.64</v>
      </c>
      <c r="E1117">
        <v>0.05</v>
      </c>
      <c r="F1117">
        <v>3.63</v>
      </c>
      <c r="G1117">
        <v>3.64</v>
      </c>
      <c r="H1117">
        <v>40251</v>
      </c>
      <c r="I1117">
        <v>543</v>
      </c>
      <c r="J1117">
        <v>0</v>
      </c>
      <c r="K1117">
        <v>0.53</v>
      </c>
      <c r="L1117">
        <v>1455.85</v>
      </c>
      <c r="M1117" t="s">
        <v>2362</v>
      </c>
      <c r="N1117" t="s">
        <v>479</v>
      </c>
      <c r="O1117">
        <v>3.56</v>
      </c>
      <c r="P1117">
        <v>3.65</v>
      </c>
      <c r="Q1117">
        <v>3.56</v>
      </c>
      <c r="R1117">
        <v>3.59</v>
      </c>
      <c r="S1117">
        <v>32.29</v>
      </c>
      <c r="T1117">
        <v>0.87</v>
      </c>
      <c r="U1117" t="s">
        <v>24</v>
      </c>
    </row>
    <row r="1118" spans="1:21">
      <c r="A1118" t="str">
        <f>"002655"</f>
        <v>002655</v>
      </c>
      <c r="B1118" t="s">
        <v>2363</v>
      </c>
      <c r="C1118">
        <v>10.03</v>
      </c>
      <c r="D1118">
        <v>16.79</v>
      </c>
      <c r="E1118">
        <v>1.53</v>
      </c>
      <c r="F1118">
        <v>16.79</v>
      </c>
      <c r="G1118" t="s">
        <v>40</v>
      </c>
      <c r="H1118">
        <v>632335</v>
      </c>
      <c r="I1118">
        <v>3477</v>
      </c>
      <c r="J1118">
        <v>0</v>
      </c>
      <c r="K1118">
        <v>17.57</v>
      </c>
      <c r="L1118">
        <v>103396.56</v>
      </c>
      <c r="M1118" t="s">
        <v>2364</v>
      </c>
      <c r="N1118" t="s">
        <v>69</v>
      </c>
      <c r="O1118">
        <v>15.32</v>
      </c>
      <c r="P1118">
        <v>16.79</v>
      </c>
      <c r="Q1118">
        <v>15.32</v>
      </c>
      <c r="R1118">
        <v>15.26</v>
      </c>
      <c r="S1118">
        <v>77.49</v>
      </c>
      <c r="T1118">
        <v>1.21</v>
      </c>
      <c r="U1118" t="s">
        <v>221</v>
      </c>
    </row>
    <row r="1119" spans="1:21">
      <c r="A1119" t="str">
        <f>"002656"</f>
        <v>002656</v>
      </c>
      <c r="B1119" t="s">
        <v>2365</v>
      </c>
      <c r="C1119">
        <v>3.17</v>
      </c>
      <c r="D1119">
        <v>2.93</v>
      </c>
      <c r="E1119">
        <v>0.09</v>
      </c>
      <c r="F1119">
        <v>2.93</v>
      </c>
      <c r="G1119">
        <v>2.94</v>
      </c>
      <c r="H1119">
        <v>285324</v>
      </c>
      <c r="I1119">
        <v>2458</v>
      </c>
      <c r="J1119">
        <v>0</v>
      </c>
      <c r="K1119">
        <v>4.78</v>
      </c>
      <c r="L1119">
        <v>8275.18</v>
      </c>
      <c r="M1119" t="s">
        <v>2366</v>
      </c>
      <c r="N1119" t="s">
        <v>1061</v>
      </c>
      <c r="O1119">
        <v>2.83</v>
      </c>
      <c r="P1119">
        <v>2.98</v>
      </c>
      <c r="Q1119">
        <v>2.81</v>
      </c>
      <c r="R1119">
        <v>2.84</v>
      </c>
      <c r="S1119">
        <v>107.12</v>
      </c>
      <c r="T1119">
        <v>1.44</v>
      </c>
      <c r="U1119" t="s">
        <v>183</v>
      </c>
    </row>
    <row r="1120" spans="1:21">
      <c r="A1120" t="str">
        <f>"002657"</f>
        <v>002657</v>
      </c>
      <c r="B1120" t="s">
        <v>2367</v>
      </c>
      <c r="C1120">
        <v>1.08</v>
      </c>
      <c r="D1120">
        <v>10.34</v>
      </c>
      <c r="E1120">
        <v>0.11</v>
      </c>
      <c r="F1120">
        <v>10.33</v>
      </c>
      <c r="G1120">
        <v>10.34</v>
      </c>
      <c r="H1120">
        <v>30288</v>
      </c>
      <c r="I1120">
        <v>207</v>
      </c>
      <c r="J1120">
        <v>0.19</v>
      </c>
      <c r="K1120">
        <v>1.06</v>
      </c>
      <c r="L1120">
        <v>3127.94</v>
      </c>
      <c r="M1120" t="s">
        <v>2368</v>
      </c>
      <c r="N1120" t="s">
        <v>30</v>
      </c>
      <c r="O1120">
        <v>10.22</v>
      </c>
      <c r="P1120">
        <v>10.45</v>
      </c>
      <c r="Q1120">
        <v>10.19</v>
      </c>
      <c r="R1120">
        <v>10.23</v>
      </c>
      <c r="S1120" t="s">
        <v>40</v>
      </c>
      <c r="T1120">
        <v>1.26</v>
      </c>
      <c r="U1120" t="s">
        <v>44</v>
      </c>
    </row>
    <row r="1121" spans="1:21">
      <c r="A1121" t="str">
        <f>"002658"</f>
        <v>002658</v>
      </c>
      <c r="B1121" t="s">
        <v>2369</v>
      </c>
      <c r="C1121">
        <v>-1.51</v>
      </c>
      <c r="D1121">
        <v>8.5</v>
      </c>
      <c r="E1121">
        <v>-0.13</v>
      </c>
      <c r="F1121">
        <v>8.5</v>
      </c>
      <c r="G1121">
        <v>8.51</v>
      </c>
      <c r="H1121">
        <v>74573</v>
      </c>
      <c r="I1121">
        <v>1577</v>
      </c>
      <c r="J1121">
        <v>-0.11</v>
      </c>
      <c r="K1121">
        <v>2.24</v>
      </c>
      <c r="L1121">
        <v>6328.6</v>
      </c>
      <c r="M1121" t="s">
        <v>2370</v>
      </c>
      <c r="N1121" t="s">
        <v>33</v>
      </c>
      <c r="O1121">
        <v>8.62</v>
      </c>
      <c r="P1121">
        <v>8.62</v>
      </c>
      <c r="Q1121">
        <v>8.41</v>
      </c>
      <c r="R1121">
        <v>8.63</v>
      </c>
      <c r="S1121">
        <v>25.24</v>
      </c>
      <c r="T1121">
        <v>0.72</v>
      </c>
      <c r="U1121" t="s">
        <v>44</v>
      </c>
    </row>
    <row r="1122" spans="1:21">
      <c r="A1122" t="str">
        <f>"002659"</f>
        <v>002659</v>
      </c>
      <c r="B1122" t="s">
        <v>2371</v>
      </c>
      <c r="C1122">
        <v>1.19</v>
      </c>
      <c r="D1122">
        <v>3.39</v>
      </c>
      <c r="E1122">
        <v>0.04</v>
      </c>
      <c r="F1122">
        <v>3.39</v>
      </c>
      <c r="G1122">
        <v>3.4</v>
      </c>
      <c r="H1122">
        <v>47658</v>
      </c>
      <c r="I1122">
        <v>351</v>
      </c>
      <c r="J1122">
        <v>0</v>
      </c>
      <c r="K1122">
        <v>0.81</v>
      </c>
      <c r="L1122">
        <v>1606.62</v>
      </c>
      <c r="M1122" t="s">
        <v>2372</v>
      </c>
      <c r="N1122" t="s">
        <v>63</v>
      </c>
      <c r="O1122">
        <v>3.35</v>
      </c>
      <c r="P1122">
        <v>3.4</v>
      </c>
      <c r="Q1122">
        <v>3.34</v>
      </c>
      <c r="R1122">
        <v>3.35</v>
      </c>
      <c r="S1122" t="s">
        <v>40</v>
      </c>
      <c r="T1122">
        <v>0.62</v>
      </c>
      <c r="U1122" t="s">
        <v>44</v>
      </c>
    </row>
    <row r="1123" spans="1:21">
      <c r="A1123" t="str">
        <f>"002660"</f>
        <v>002660</v>
      </c>
      <c r="B1123" t="s">
        <v>2373</v>
      </c>
      <c r="C1123">
        <v>2.05</v>
      </c>
      <c r="D1123">
        <v>7.95</v>
      </c>
      <c r="E1123">
        <v>0.16</v>
      </c>
      <c r="F1123">
        <v>7.95</v>
      </c>
      <c r="G1123">
        <v>7.96</v>
      </c>
      <c r="H1123">
        <v>53247</v>
      </c>
      <c r="I1123">
        <v>1843</v>
      </c>
      <c r="J1123">
        <v>0</v>
      </c>
      <c r="K1123">
        <v>2.52</v>
      </c>
      <c r="L1123">
        <v>4211.26</v>
      </c>
      <c r="M1123" t="s">
        <v>2374</v>
      </c>
      <c r="N1123" t="s">
        <v>47</v>
      </c>
      <c r="O1123">
        <v>7.73</v>
      </c>
      <c r="P1123">
        <v>7.99</v>
      </c>
      <c r="Q1123">
        <v>7.73</v>
      </c>
      <c r="R1123">
        <v>7.79</v>
      </c>
      <c r="S1123">
        <v>42.35</v>
      </c>
      <c r="T1123">
        <v>0.95</v>
      </c>
      <c r="U1123" t="s">
        <v>24</v>
      </c>
    </row>
    <row r="1124" spans="1:21">
      <c r="A1124" t="str">
        <f>"002661"</f>
        <v>002661</v>
      </c>
      <c r="B1124" t="s">
        <v>2375</v>
      </c>
      <c r="C1124">
        <v>1.28</v>
      </c>
      <c r="D1124">
        <v>11.83</v>
      </c>
      <c r="E1124">
        <v>0.15</v>
      </c>
      <c r="F1124">
        <v>11.82</v>
      </c>
      <c r="G1124">
        <v>11.83</v>
      </c>
      <c r="H1124">
        <v>58305</v>
      </c>
      <c r="I1124">
        <v>858</v>
      </c>
      <c r="J1124">
        <v>0.08</v>
      </c>
      <c r="K1124">
        <v>1.76</v>
      </c>
      <c r="L1124">
        <v>6860.04</v>
      </c>
      <c r="M1124" t="s">
        <v>1799</v>
      </c>
      <c r="N1124" t="s">
        <v>299</v>
      </c>
      <c r="O1124">
        <v>11.75</v>
      </c>
      <c r="P1124">
        <v>11.84</v>
      </c>
      <c r="Q1124">
        <v>11.68</v>
      </c>
      <c r="R1124">
        <v>11.68</v>
      </c>
      <c r="S1124">
        <v>39.47</v>
      </c>
      <c r="T1124">
        <v>0.47</v>
      </c>
      <c r="U1124" t="s">
        <v>204</v>
      </c>
    </row>
    <row r="1125" spans="1:21">
      <c r="A1125" t="str">
        <f>"002662"</f>
        <v>002662</v>
      </c>
      <c r="B1125" t="s">
        <v>2376</v>
      </c>
      <c r="C1125">
        <v>-0.94</v>
      </c>
      <c r="D1125">
        <v>4.22</v>
      </c>
      <c r="E1125">
        <v>-0.04</v>
      </c>
      <c r="F1125">
        <v>4.21</v>
      </c>
      <c r="G1125">
        <v>4.22</v>
      </c>
      <c r="H1125">
        <v>388560</v>
      </c>
      <c r="I1125">
        <v>2445</v>
      </c>
      <c r="J1125">
        <v>0.72</v>
      </c>
      <c r="K1125">
        <v>2.59</v>
      </c>
      <c r="L1125">
        <v>16313.74</v>
      </c>
      <c r="M1125" t="s">
        <v>2377</v>
      </c>
      <c r="N1125" t="s">
        <v>91</v>
      </c>
      <c r="O1125">
        <v>4.26</v>
      </c>
      <c r="P1125">
        <v>4.29</v>
      </c>
      <c r="Q1125">
        <v>4.14</v>
      </c>
      <c r="R1125">
        <v>4.26</v>
      </c>
      <c r="S1125">
        <v>15.55</v>
      </c>
      <c r="T1125">
        <v>0.86</v>
      </c>
      <c r="U1125" t="s">
        <v>44</v>
      </c>
    </row>
    <row r="1126" spans="1:21">
      <c r="A1126" t="str">
        <f>"002663"</f>
        <v>002663</v>
      </c>
      <c r="B1126" t="s">
        <v>2378</v>
      </c>
      <c r="C1126">
        <v>0</v>
      </c>
      <c r="D1126">
        <v>1.79</v>
      </c>
      <c r="E1126">
        <v>0</v>
      </c>
      <c r="F1126">
        <v>1.79</v>
      </c>
      <c r="G1126">
        <v>1.8</v>
      </c>
      <c r="H1126">
        <v>82983</v>
      </c>
      <c r="I1126">
        <v>269</v>
      </c>
      <c r="J1126">
        <v>-0.55</v>
      </c>
      <c r="K1126">
        <v>0.64</v>
      </c>
      <c r="L1126">
        <v>1485.01</v>
      </c>
      <c r="M1126" t="s">
        <v>2379</v>
      </c>
      <c r="N1126" t="s">
        <v>50</v>
      </c>
      <c r="O1126">
        <v>1.79</v>
      </c>
      <c r="P1126">
        <v>1.81</v>
      </c>
      <c r="Q1126">
        <v>1.77</v>
      </c>
      <c r="R1126">
        <v>1.79</v>
      </c>
      <c r="S1126" t="s">
        <v>40</v>
      </c>
      <c r="T1126">
        <v>0.96</v>
      </c>
      <c r="U1126" t="s">
        <v>183</v>
      </c>
    </row>
    <row r="1127" spans="1:21">
      <c r="A1127" t="str">
        <f>"002664"</f>
        <v>002664</v>
      </c>
      <c r="B1127" t="s">
        <v>2380</v>
      </c>
      <c r="C1127">
        <v>10.01</v>
      </c>
      <c r="D1127">
        <v>22.19</v>
      </c>
      <c r="E1127">
        <v>2.02</v>
      </c>
      <c r="F1127">
        <v>22.19</v>
      </c>
      <c r="G1127" t="s">
        <v>40</v>
      </c>
      <c r="H1127">
        <v>124737</v>
      </c>
      <c r="I1127">
        <v>377</v>
      </c>
      <c r="J1127">
        <v>0</v>
      </c>
      <c r="K1127">
        <v>3.18</v>
      </c>
      <c r="L1127">
        <v>26719.65</v>
      </c>
      <c r="M1127" t="s">
        <v>2381</v>
      </c>
      <c r="N1127" t="s">
        <v>91</v>
      </c>
      <c r="O1127">
        <v>20.38</v>
      </c>
      <c r="P1127">
        <v>22.19</v>
      </c>
      <c r="Q1127">
        <v>20</v>
      </c>
      <c r="R1127">
        <v>20.17</v>
      </c>
      <c r="S1127">
        <v>38.82</v>
      </c>
      <c r="T1127">
        <v>1.7</v>
      </c>
      <c r="U1127" t="s">
        <v>200</v>
      </c>
    </row>
    <row r="1128" spans="1:21">
      <c r="A1128" t="str">
        <f>"002665"</f>
        <v>002665</v>
      </c>
      <c r="B1128" t="s">
        <v>2382</v>
      </c>
      <c r="C1128">
        <v>-0.29</v>
      </c>
      <c r="D1128">
        <v>3.46</v>
      </c>
      <c r="E1128">
        <v>-0.01</v>
      </c>
      <c r="F1128">
        <v>3.46</v>
      </c>
      <c r="G1128">
        <v>3.47</v>
      </c>
      <c r="H1128">
        <v>1279017</v>
      </c>
      <c r="I1128">
        <v>12695</v>
      </c>
      <c r="J1128">
        <v>0.29</v>
      </c>
      <c r="K1128">
        <v>5.21</v>
      </c>
      <c r="L1128">
        <v>44095.18</v>
      </c>
      <c r="M1128" t="s">
        <v>2383</v>
      </c>
      <c r="N1128" t="s">
        <v>47</v>
      </c>
      <c r="O1128">
        <v>3.39</v>
      </c>
      <c r="P1128">
        <v>3.54</v>
      </c>
      <c r="Q1128">
        <v>3.36</v>
      </c>
      <c r="R1128">
        <v>3.47</v>
      </c>
      <c r="S1128" t="s">
        <v>40</v>
      </c>
      <c r="T1128">
        <v>0.89</v>
      </c>
      <c r="U1128" t="s">
        <v>391</v>
      </c>
    </row>
    <row r="1129" spans="1:21">
      <c r="A1129" t="str">
        <f>"002666"</f>
        <v>002666</v>
      </c>
      <c r="B1129" t="s">
        <v>2384</v>
      </c>
      <c r="C1129">
        <v>1.13</v>
      </c>
      <c r="D1129">
        <v>5.38</v>
      </c>
      <c r="E1129">
        <v>0.06</v>
      </c>
      <c r="F1129">
        <v>5.38</v>
      </c>
      <c r="G1129">
        <v>5.39</v>
      </c>
      <c r="H1129">
        <v>105337</v>
      </c>
      <c r="I1129">
        <v>1348</v>
      </c>
      <c r="J1129">
        <v>0</v>
      </c>
      <c r="K1129">
        <v>2.35</v>
      </c>
      <c r="L1129">
        <v>5635.41</v>
      </c>
      <c r="M1129" t="s">
        <v>2385</v>
      </c>
      <c r="N1129" t="s">
        <v>309</v>
      </c>
      <c r="O1129">
        <v>5.33</v>
      </c>
      <c r="P1129">
        <v>5.41</v>
      </c>
      <c r="Q1129">
        <v>5.27</v>
      </c>
      <c r="R1129">
        <v>5.32</v>
      </c>
      <c r="S1129">
        <v>16.71</v>
      </c>
      <c r="T1129">
        <v>0.74</v>
      </c>
      <c r="U1129" t="s">
        <v>183</v>
      </c>
    </row>
    <row r="1130" spans="1:21">
      <c r="A1130" t="str">
        <f>"002667"</f>
        <v>002667</v>
      </c>
      <c r="B1130" t="s">
        <v>2386</v>
      </c>
      <c r="C1130">
        <v>-1.86</v>
      </c>
      <c r="D1130">
        <v>20.07</v>
      </c>
      <c r="E1130">
        <v>-0.38</v>
      </c>
      <c r="F1130">
        <v>20.07</v>
      </c>
      <c r="G1130">
        <v>20.08</v>
      </c>
      <c r="H1130">
        <v>143599</v>
      </c>
      <c r="I1130">
        <v>1284</v>
      </c>
      <c r="J1130">
        <v>-0.09</v>
      </c>
      <c r="K1130">
        <v>6.22</v>
      </c>
      <c r="L1130">
        <v>29097.22</v>
      </c>
      <c r="M1130" t="s">
        <v>2387</v>
      </c>
      <c r="N1130" t="s">
        <v>203</v>
      </c>
      <c r="O1130">
        <v>19.9</v>
      </c>
      <c r="P1130">
        <v>21.15</v>
      </c>
      <c r="Q1130">
        <v>19.78</v>
      </c>
      <c r="R1130">
        <v>20.45</v>
      </c>
      <c r="S1130" t="s">
        <v>40</v>
      </c>
      <c r="T1130">
        <v>1.09</v>
      </c>
      <c r="U1130" t="s">
        <v>141</v>
      </c>
    </row>
    <row r="1131" spans="1:21">
      <c r="A1131" t="str">
        <f>"002668"</f>
        <v>002668</v>
      </c>
      <c r="B1131" t="s">
        <v>2388</v>
      </c>
      <c r="C1131">
        <v>0.9</v>
      </c>
      <c r="D1131">
        <v>5.59</v>
      </c>
      <c r="E1131">
        <v>0.05</v>
      </c>
      <c r="F1131">
        <v>5.58</v>
      </c>
      <c r="G1131">
        <v>5.59</v>
      </c>
      <c r="H1131">
        <v>43672</v>
      </c>
      <c r="I1131">
        <v>827</v>
      </c>
      <c r="J1131">
        <v>0</v>
      </c>
      <c r="K1131">
        <v>0.45</v>
      </c>
      <c r="L1131">
        <v>2439.53</v>
      </c>
      <c r="M1131" t="s">
        <v>2389</v>
      </c>
      <c r="N1131" t="s">
        <v>60</v>
      </c>
      <c r="O1131">
        <v>5.5</v>
      </c>
      <c r="P1131">
        <v>5.65</v>
      </c>
      <c r="Q1131">
        <v>5.5</v>
      </c>
      <c r="R1131">
        <v>5.54</v>
      </c>
      <c r="S1131">
        <v>19.59</v>
      </c>
      <c r="T1131">
        <v>0.83</v>
      </c>
      <c r="U1131" t="s">
        <v>183</v>
      </c>
    </row>
    <row r="1132" spans="1:21">
      <c r="A1132" t="str">
        <f>"002669"</f>
        <v>002669</v>
      </c>
      <c r="B1132" t="s">
        <v>2390</v>
      </c>
      <c r="C1132">
        <v>3.26</v>
      </c>
      <c r="D1132">
        <v>19.03</v>
      </c>
      <c r="E1132">
        <v>0.6</v>
      </c>
      <c r="F1132">
        <v>19.03</v>
      </c>
      <c r="G1132">
        <v>19.04</v>
      </c>
      <c r="H1132">
        <v>143663</v>
      </c>
      <c r="I1132">
        <v>2560</v>
      </c>
      <c r="J1132">
        <v>0.42</v>
      </c>
      <c r="K1132">
        <v>5.73</v>
      </c>
      <c r="L1132">
        <v>27436.39</v>
      </c>
      <c r="M1132" t="s">
        <v>2391</v>
      </c>
      <c r="N1132" t="s">
        <v>309</v>
      </c>
      <c r="O1132">
        <v>18.68</v>
      </c>
      <c r="P1132">
        <v>19.48</v>
      </c>
      <c r="Q1132">
        <v>18.6</v>
      </c>
      <c r="R1132">
        <v>18.43</v>
      </c>
      <c r="S1132">
        <v>1605.71</v>
      </c>
      <c r="T1132">
        <v>0.79</v>
      </c>
      <c r="U1132" t="s">
        <v>848</v>
      </c>
    </row>
    <row r="1133" spans="1:21">
      <c r="A1133" t="str">
        <f>"002670"</f>
        <v>002670</v>
      </c>
      <c r="B1133" t="s">
        <v>2392</v>
      </c>
      <c r="C1133">
        <v>1.93</v>
      </c>
      <c r="D1133">
        <v>9.49</v>
      </c>
      <c r="E1133">
        <v>0.18</v>
      </c>
      <c r="F1133">
        <v>9.48</v>
      </c>
      <c r="G1133">
        <v>9.49</v>
      </c>
      <c r="H1133">
        <v>140717</v>
      </c>
      <c r="I1133">
        <v>3537</v>
      </c>
      <c r="J1133">
        <v>-0.1</v>
      </c>
      <c r="K1133">
        <v>0.87</v>
      </c>
      <c r="L1133">
        <v>13246.68</v>
      </c>
      <c r="M1133" t="s">
        <v>2393</v>
      </c>
      <c r="N1133" t="s">
        <v>213</v>
      </c>
      <c r="O1133">
        <v>9.31</v>
      </c>
      <c r="P1133">
        <v>9.52</v>
      </c>
      <c r="Q1133">
        <v>9.27</v>
      </c>
      <c r="R1133">
        <v>9.31</v>
      </c>
      <c r="S1133">
        <v>70.08</v>
      </c>
      <c r="T1133">
        <v>1.34</v>
      </c>
      <c r="U1133" t="s">
        <v>183</v>
      </c>
    </row>
    <row r="1134" spans="1:21">
      <c r="A1134" t="str">
        <f>"002671"</f>
        <v>002671</v>
      </c>
      <c r="B1134" t="s">
        <v>2394</v>
      </c>
      <c r="C1134">
        <v>0.78</v>
      </c>
      <c r="D1134">
        <v>3.86</v>
      </c>
      <c r="E1134">
        <v>0.03</v>
      </c>
      <c r="F1134">
        <v>3.86</v>
      </c>
      <c r="G1134">
        <v>3.87</v>
      </c>
      <c r="H1134">
        <v>22553</v>
      </c>
      <c r="I1134">
        <v>106</v>
      </c>
      <c r="J1134">
        <v>-0.51</v>
      </c>
      <c r="K1134">
        <v>0.5</v>
      </c>
      <c r="L1134">
        <v>871.44</v>
      </c>
      <c r="M1134" t="s">
        <v>2322</v>
      </c>
      <c r="N1134" t="s">
        <v>131</v>
      </c>
      <c r="O1134">
        <v>3.83</v>
      </c>
      <c r="P1134">
        <v>3.9</v>
      </c>
      <c r="Q1134">
        <v>3.8</v>
      </c>
      <c r="R1134">
        <v>3.83</v>
      </c>
      <c r="S1134">
        <v>107.02</v>
      </c>
      <c r="T1134">
        <v>0.95</v>
      </c>
      <c r="U1134" t="s">
        <v>221</v>
      </c>
    </row>
    <row r="1135" spans="1:21">
      <c r="A1135" t="str">
        <f>"002672"</f>
        <v>002672</v>
      </c>
      <c r="B1135" t="s">
        <v>2395</v>
      </c>
      <c r="C1135">
        <v>0.57</v>
      </c>
      <c r="D1135">
        <v>7.02</v>
      </c>
      <c r="E1135">
        <v>0.04</v>
      </c>
      <c r="F1135">
        <v>7.01</v>
      </c>
      <c r="G1135">
        <v>7.02</v>
      </c>
      <c r="H1135">
        <v>22033</v>
      </c>
      <c r="I1135">
        <v>651</v>
      </c>
      <c r="J1135">
        <v>0.29</v>
      </c>
      <c r="K1135">
        <v>0.32</v>
      </c>
      <c r="L1135">
        <v>1538.39</v>
      </c>
      <c r="M1135" t="s">
        <v>2396</v>
      </c>
      <c r="N1135" t="s">
        <v>33</v>
      </c>
      <c r="O1135">
        <v>6.96</v>
      </c>
      <c r="P1135">
        <v>7.03</v>
      </c>
      <c r="Q1135">
        <v>6.94</v>
      </c>
      <c r="R1135">
        <v>6.98</v>
      </c>
      <c r="S1135">
        <v>28.51</v>
      </c>
      <c r="T1135">
        <v>0.9</v>
      </c>
      <c r="U1135" t="s">
        <v>24</v>
      </c>
    </row>
    <row r="1136" spans="1:21">
      <c r="A1136" t="str">
        <f>"002673"</f>
        <v>002673</v>
      </c>
      <c r="B1136" t="s">
        <v>2397</v>
      </c>
      <c r="C1136">
        <v>1.82</v>
      </c>
      <c r="D1136">
        <v>7.83</v>
      </c>
      <c r="E1136">
        <v>0.14</v>
      </c>
      <c r="F1136">
        <v>7.82</v>
      </c>
      <c r="G1136">
        <v>7.83</v>
      </c>
      <c r="H1136">
        <v>214777</v>
      </c>
      <c r="I1136">
        <v>7435</v>
      </c>
      <c r="J1136">
        <v>0.13</v>
      </c>
      <c r="K1136">
        <v>0.52</v>
      </c>
      <c r="L1136">
        <v>16710.25</v>
      </c>
      <c r="M1136" t="s">
        <v>2398</v>
      </c>
      <c r="N1136" t="s">
        <v>213</v>
      </c>
      <c r="O1136">
        <v>7.7</v>
      </c>
      <c r="P1136">
        <v>7.85</v>
      </c>
      <c r="Q1136">
        <v>7.69</v>
      </c>
      <c r="R1136">
        <v>7.69</v>
      </c>
      <c r="S1136">
        <v>26.5</v>
      </c>
      <c r="T1136">
        <v>1.3</v>
      </c>
      <c r="U1136" t="s">
        <v>317</v>
      </c>
    </row>
    <row r="1137" spans="1:21">
      <c r="A1137" t="str">
        <f>"002674"</f>
        <v>002674</v>
      </c>
      <c r="B1137" t="s">
        <v>2399</v>
      </c>
      <c r="C1137">
        <v>1.08</v>
      </c>
      <c r="D1137">
        <v>11.18</v>
      </c>
      <c r="E1137">
        <v>0.12</v>
      </c>
      <c r="F1137">
        <v>11.18</v>
      </c>
      <c r="G1137">
        <v>11.19</v>
      </c>
      <c r="H1137">
        <v>19215</v>
      </c>
      <c r="I1137">
        <v>117</v>
      </c>
      <c r="J1137">
        <v>0.09</v>
      </c>
      <c r="K1137">
        <v>0.67</v>
      </c>
      <c r="L1137">
        <v>2145.58</v>
      </c>
      <c r="M1137" t="s">
        <v>1743</v>
      </c>
      <c r="N1137" t="s">
        <v>664</v>
      </c>
      <c r="O1137">
        <v>11.06</v>
      </c>
      <c r="P1137">
        <v>11.33</v>
      </c>
      <c r="Q1137">
        <v>11.04</v>
      </c>
      <c r="R1137">
        <v>11.06</v>
      </c>
      <c r="S1137">
        <v>13.8</v>
      </c>
      <c r="T1137">
        <v>0.57</v>
      </c>
      <c r="U1137" t="s">
        <v>339</v>
      </c>
    </row>
    <row r="1138" spans="1:21">
      <c r="A1138" t="str">
        <f>"002675"</f>
        <v>002675</v>
      </c>
      <c r="B1138" t="s">
        <v>2400</v>
      </c>
      <c r="C1138">
        <v>2.45</v>
      </c>
      <c r="D1138">
        <v>17.14</v>
      </c>
      <c r="E1138">
        <v>0.41</v>
      </c>
      <c r="F1138">
        <v>17.12</v>
      </c>
      <c r="G1138">
        <v>17.14</v>
      </c>
      <c r="H1138">
        <v>128615</v>
      </c>
      <c r="I1138">
        <v>1021</v>
      </c>
      <c r="J1138">
        <v>0.06</v>
      </c>
      <c r="K1138">
        <v>1.75</v>
      </c>
      <c r="L1138">
        <v>21884.47</v>
      </c>
      <c r="M1138" t="s">
        <v>2401</v>
      </c>
      <c r="N1138" t="s">
        <v>192</v>
      </c>
      <c r="O1138">
        <v>16.7</v>
      </c>
      <c r="P1138">
        <v>17.25</v>
      </c>
      <c r="Q1138">
        <v>16.7</v>
      </c>
      <c r="R1138">
        <v>16.73</v>
      </c>
      <c r="S1138">
        <v>39.39</v>
      </c>
      <c r="T1138">
        <v>0.96</v>
      </c>
      <c r="U1138" t="s">
        <v>221</v>
      </c>
    </row>
    <row r="1139" spans="1:21">
      <c r="A1139" t="str">
        <f>"002676"</f>
        <v>002676</v>
      </c>
      <c r="B1139" t="s">
        <v>2402</v>
      </c>
      <c r="C1139">
        <v>-1.27</v>
      </c>
      <c r="D1139">
        <v>4.68</v>
      </c>
      <c r="E1139">
        <v>-0.06</v>
      </c>
      <c r="F1139">
        <v>4.68</v>
      </c>
      <c r="G1139">
        <v>4.69</v>
      </c>
      <c r="H1139">
        <v>92956</v>
      </c>
      <c r="I1139">
        <v>963</v>
      </c>
      <c r="J1139">
        <v>0</v>
      </c>
      <c r="K1139">
        <v>1.29</v>
      </c>
      <c r="L1139">
        <v>4348.7</v>
      </c>
      <c r="M1139" t="s">
        <v>2403</v>
      </c>
      <c r="N1139" t="s">
        <v>60</v>
      </c>
      <c r="O1139">
        <v>4.74</v>
      </c>
      <c r="P1139">
        <v>4.77</v>
      </c>
      <c r="Q1139">
        <v>4.6</v>
      </c>
      <c r="R1139">
        <v>4.74</v>
      </c>
      <c r="S1139">
        <v>52.31</v>
      </c>
      <c r="T1139">
        <v>1.11</v>
      </c>
      <c r="U1139" t="s">
        <v>183</v>
      </c>
    </row>
    <row r="1140" spans="1:21">
      <c r="A1140" t="str">
        <f>"002677"</f>
        <v>002677</v>
      </c>
      <c r="B1140" t="s">
        <v>2404</v>
      </c>
      <c r="C1140">
        <v>1</v>
      </c>
      <c r="D1140">
        <v>16.16</v>
      </c>
      <c r="E1140">
        <v>0.16</v>
      </c>
      <c r="F1140">
        <v>16.15</v>
      </c>
      <c r="G1140">
        <v>16.16</v>
      </c>
      <c r="H1140">
        <v>28082</v>
      </c>
      <c r="I1140">
        <v>180</v>
      </c>
      <c r="J1140">
        <v>0.06</v>
      </c>
      <c r="K1140">
        <v>0.67</v>
      </c>
      <c r="L1140">
        <v>4514.43</v>
      </c>
      <c r="M1140" t="s">
        <v>2405</v>
      </c>
      <c r="N1140" t="s">
        <v>60</v>
      </c>
      <c r="O1140">
        <v>15.97</v>
      </c>
      <c r="P1140">
        <v>16.19</v>
      </c>
      <c r="Q1140">
        <v>15.93</v>
      </c>
      <c r="R1140">
        <v>16</v>
      </c>
      <c r="S1140">
        <v>17.37</v>
      </c>
      <c r="T1140">
        <v>0.57</v>
      </c>
      <c r="U1140" t="s">
        <v>200</v>
      </c>
    </row>
    <row r="1141" spans="1:21">
      <c r="A1141" t="str">
        <f>"002678"</f>
        <v>002678</v>
      </c>
      <c r="B1141" t="s">
        <v>2406</v>
      </c>
      <c r="C1141">
        <v>0.15</v>
      </c>
      <c r="D1141">
        <v>6.69</v>
      </c>
      <c r="E1141">
        <v>0.01</v>
      </c>
      <c r="F1141">
        <v>6.69</v>
      </c>
      <c r="G1141">
        <v>6.7</v>
      </c>
      <c r="H1141">
        <v>27001</v>
      </c>
      <c r="I1141">
        <v>1539</v>
      </c>
      <c r="J1141">
        <v>-0.44</v>
      </c>
      <c r="K1141">
        <v>0.2</v>
      </c>
      <c r="L1141">
        <v>1820.68</v>
      </c>
      <c r="M1141" t="s">
        <v>2346</v>
      </c>
      <c r="N1141" t="s">
        <v>63</v>
      </c>
      <c r="O1141">
        <v>6.66</v>
      </c>
      <c r="P1141">
        <v>6.82</v>
      </c>
      <c r="Q1141">
        <v>6.66</v>
      </c>
      <c r="R1141">
        <v>6.68</v>
      </c>
      <c r="S1141">
        <v>42.68</v>
      </c>
      <c r="T1141">
        <v>1.63</v>
      </c>
      <c r="U1141" t="s">
        <v>183</v>
      </c>
    </row>
    <row r="1142" spans="1:21">
      <c r="A1142" t="str">
        <f>"002679"</f>
        <v>002679</v>
      </c>
      <c r="B1142" t="s">
        <v>2407</v>
      </c>
      <c r="C1142">
        <v>0.84</v>
      </c>
      <c r="D1142">
        <v>13.25</v>
      </c>
      <c r="E1142">
        <v>0.11</v>
      </c>
      <c r="F1142">
        <v>13.25</v>
      </c>
      <c r="G1142">
        <v>13.26</v>
      </c>
      <c r="H1142">
        <v>21998</v>
      </c>
      <c r="I1142">
        <v>282</v>
      </c>
      <c r="J1142">
        <v>0</v>
      </c>
      <c r="K1142">
        <v>0.93</v>
      </c>
      <c r="L1142">
        <v>2898.39</v>
      </c>
      <c r="M1142" t="s">
        <v>2408</v>
      </c>
      <c r="N1142" t="s">
        <v>454</v>
      </c>
      <c r="O1142">
        <v>13.14</v>
      </c>
      <c r="P1142">
        <v>13.27</v>
      </c>
      <c r="Q1142">
        <v>13.03</v>
      </c>
      <c r="R1142">
        <v>13.14</v>
      </c>
      <c r="S1142" t="s">
        <v>40</v>
      </c>
      <c r="T1142">
        <v>0.53</v>
      </c>
      <c r="U1142" t="s">
        <v>339</v>
      </c>
    </row>
    <row r="1143" spans="1:21">
      <c r="A1143" t="str">
        <f>"002681"</f>
        <v>002681</v>
      </c>
      <c r="B1143" t="s">
        <v>2409</v>
      </c>
      <c r="C1143">
        <v>0.51</v>
      </c>
      <c r="D1143">
        <v>3.93</v>
      </c>
      <c r="E1143">
        <v>0.02</v>
      </c>
      <c r="F1143">
        <v>3.92</v>
      </c>
      <c r="G1143">
        <v>3.93</v>
      </c>
      <c r="H1143">
        <v>129162</v>
      </c>
      <c r="I1143">
        <v>1449</v>
      </c>
      <c r="J1143">
        <v>0.26</v>
      </c>
      <c r="K1143">
        <v>1.14</v>
      </c>
      <c r="L1143">
        <v>5087.39</v>
      </c>
      <c r="M1143" t="s">
        <v>2410</v>
      </c>
      <c r="N1143" t="s">
        <v>60</v>
      </c>
      <c r="O1143">
        <v>3.92</v>
      </c>
      <c r="P1143">
        <v>3.99</v>
      </c>
      <c r="Q1143">
        <v>3.89</v>
      </c>
      <c r="R1143">
        <v>3.91</v>
      </c>
      <c r="S1143" t="s">
        <v>40</v>
      </c>
      <c r="T1143">
        <v>0.68</v>
      </c>
      <c r="U1143" t="s">
        <v>24</v>
      </c>
    </row>
    <row r="1144" spans="1:21">
      <c r="A1144" t="str">
        <f>"002682"</f>
        <v>002682</v>
      </c>
      <c r="B1144" t="s">
        <v>2411</v>
      </c>
      <c r="C1144">
        <v>1.12</v>
      </c>
      <c r="D1144">
        <v>3.6</v>
      </c>
      <c r="E1144">
        <v>0.04</v>
      </c>
      <c r="F1144">
        <v>3.6</v>
      </c>
      <c r="G1144">
        <v>3.61</v>
      </c>
      <c r="H1144">
        <v>58537</v>
      </c>
      <c r="I1144">
        <v>921</v>
      </c>
      <c r="J1144">
        <v>-0.27</v>
      </c>
      <c r="K1144">
        <v>1.05</v>
      </c>
      <c r="L1144">
        <v>2103.45</v>
      </c>
      <c r="M1144" t="s">
        <v>2412</v>
      </c>
      <c r="N1144" t="s">
        <v>1049</v>
      </c>
      <c r="O1144">
        <v>3.53</v>
      </c>
      <c r="P1144">
        <v>3.63</v>
      </c>
      <c r="Q1144">
        <v>3.53</v>
      </c>
      <c r="R1144">
        <v>3.56</v>
      </c>
      <c r="S1144">
        <v>40.71</v>
      </c>
      <c r="T1144">
        <v>0.88</v>
      </c>
      <c r="U1144" t="s">
        <v>339</v>
      </c>
    </row>
    <row r="1145" spans="1:21">
      <c r="A1145" t="str">
        <f>"002683"</f>
        <v>002683</v>
      </c>
      <c r="B1145" t="s">
        <v>2413</v>
      </c>
      <c r="C1145">
        <v>0.8</v>
      </c>
      <c r="D1145">
        <v>27.71</v>
      </c>
      <c r="E1145">
        <v>0.22</v>
      </c>
      <c r="F1145">
        <v>27.7</v>
      </c>
      <c r="G1145">
        <v>27.71</v>
      </c>
      <c r="H1145">
        <v>61896</v>
      </c>
      <c r="I1145">
        <v>1878</v>
      </c>
      <c r="J1145">
        <v>0.47</v>
      </c>
      <c r="K1145">
        <v>0.96</v>
      </c>
      <c r="L1145">
        <v>16979.81</v>
      </c>
      <c r="M1145" t="s">
        <v>2414</v>
      </c>
      <c r="N1145" t="s">
        <v>309</v>
      </c>
      <c r="O1145">
        <v>27.43</v>
      </c>
      <c r="P1145">
        <v>27.72</v>
      </c>
      <c r="Q1145">
        <v>27.06</v>
      </c>
      <c r="R1145">
        <v>27.49</v>
      </c>
      <c r="S1145">
        <v>45.89</v>
      </c>
      <c r="T1145">
        <v>0.71</v>
      </c>
      <c r="U1145" t="s">
        <v>183</v>
      </c>
    </row>
    <row r="1146" spans="1:21">
      <c r="A1146" t="str">
        <f>"002684"</f>
        <v>002684</v>
      </c>
      <c r="B1146" t="s">
        <v>2415</v>
      </c>
      <c r="C1146">
        <v>-2.71</v>
      </c>
      <c r="D1146">
        <v>5.75</v>
      </c>
      <c r="E1146">
        <v>-0.16</v>
      </c>
      <c r="F1146">
        <v>5.75</v>
      </c>
      <c r="G1146">
        <v>5.77</v>
      </c>
      <c r="H1146">
        <v>110080</v>
      </c>
      <c r="I1146">
        <v>1980</v>
      </c>
      <c r="J1146">
        <v>0.52</v>
      </c>
      <c r="K1146">
        <v>2.31</v>
      </c>
      <c r="L1146">
        <v>6383.56</v>
      </c>
      <c r="M1146" t="s">
        <v>2416</v>
      </c>
      <c r="N1146" t="s">
        <v>78</v>
      </c>
      <c r="O1146">
        <v>5.83</v>
      </c>
      <c r="P1146">
        <v>5.99</v>
      </c>
      <c r="Q1146">
        <v>5.7</v>
      </c>
      <c r="R1146">
        <v>5.91</v>
      </c>
      <c r="S1146" t="s">
        <v>40</v>
      </c>
      <c r="T1146">
        <v>1.31</v>
      </c>
      <c r="U1146" t="s">
        <v>224</v>
      </c>
    </row>
    <row r="1147" spans="1:21">
      <c r="A1147" t="str">
        <f>"002685"</f>
        <v>002685</v>
      </c>
      <c r="B1147" t="s">
        <v>2417</v>
      </c>
      <c r="C1147">
        <v>0.25</v>
      </c>
      <c r="D1147">
        <v>3.94</v>
      </c>
      <c r="E1147">
        <v>0.01</v>
      </c>
      <c r="F1147">
        <v>3.93</v>
      </c>
      <c r="G1147">
        <v>3.94</v>
      </c>
      <c r="H1147">
        <v>108050</v>
      </c>
      <c r="I1147">
        <v>1295</v>
      </c>
      <c r="J1147">
        <v>0.25</v>
      </c>
      <c r="K1147">
        <v>1.33</v>
      </c>
      <c r="L1147">
        <v>4248.92</v>
      </c>
      <c r="M1147" t="s">
        <v>2418</v>
      </c>
      <c r="N1147" t="s">
        <v>203</v>
      </c>
      <c r="O1147">
        <v>3.93</v>
      </c>
      <c r="P1147">
        <v>3.98</v>
      </c>
      <c r="Q1147">
        <v>3.89</v>
      </c>
      <c r="R1147">
        <v>3.93</v>
      </c>
      <c r="S1147" t="s">
        <v>40</v>
      </c>
      <c r="T1147">
        <v>0.79</v>
      </c>
      <c r="U1147" t="s">
        <v>102</v>
      </c>
    </row>
    <row r="1148" spans="1:21">
      <c r="A1148" t="str">
        <f>"002686"</f>
        <v>002686</v>
      </c>
      <c r="B1148" t="s">
        <v>2419</v>
      </c>
      <c r="C1148">
        <v>0.88</v>
      </c>
      <c r="D1148">
        <v>6.84</v>
      </c>
      <c r="E1148">
        <v>0.06</v>
      </c>
      <c r="F1148">
        <v>6.84</v>
      </c>
      <c r="G1148">
        <v>6.85</v>
      </c>
      <c r="H1148">
        <v>98894</v>
      </c>
      <c r="I1148">
        <v>2674</v>
      </c>
      <c r="J1148">
        <v>-0.14</v>
      </c>
      <c r="K1148">
        <v>2.52</v>
      </c>
      <c r="L1148">
        <v>6647.66</v>
      </c>
      <c r="M1148" t="s">
        <v>2420</v>
      </c>
      <c r="N1148" t="s">
        <v>324</v>
      </c>
      <c r="O1148">
        <v>6.72</v>
      </c>
      <c r="P1148">
        <v>6.86</v>
      </c>
      <c r="Q1148">
        <v>6.58</v>
      </c>
      <c r="R1148">
        <v>6.78</v>
      </c>
      <c r="S1148">
        <v>67.97</v>
      </c>
      <c r="T1148">
        <v>0.47</v>
      </c>
      <c r="U1148" t="s">
        <v>200</v>
      </c>
    </row>
    <row r="1149" spans="1:21">
      <c r="A1149" t="str">
        <f>"002687"</f>
        <v>002687</v>
      </c>
      <c r="B1149" t="s">
        <v>2421</v>
      </c>
      <c r="C1149">
        <v>1.34</v>
      </c>
      <c r="D1149">
        <v>6.83</v>
      </c>
      <c r="E1149">
        <v>0.09</v>
      </c>
      <c r="F1149">
        <v>6.82</v>
      </c>
      <c r="G1149">
        <v>6.83</v>
      </c>
      <c r="H1149">
        <v>64290</v>
      </c>
      <c r="I1149">
        <v>1018</v>
      </c>
      <c r="J1149">
        <v>0.15</v>
      </c>
      <c r="K1149">
        <v>2.31</v>
      </c>
      <c r="L1149">
        <v>4349.8</v>
      </c>
      <c r="M1149" t="s">
        <v>2422</v>
      </c>
      <c r="N1149" t="s">
        <v>1061</v>
      </c>
      <c r="O1149">
        <v>6.68</v>
      </c>
      <c r="P1149">
        <v>6.85</v>
      </c>
      <c r="Q1149">
        <v>6.67</v>
      </c>
      <c r="R1149">
        <v>6.74</v>
      </c>
      <c r="S1149">
        <v>17.51</v>
      </c>
      <c r="T1149">
        <v>0.7</v>
      </c>
      <c r="U1149" t="s">
        <v>200</v>
      </c>
    </row>
    <row r="1150" spans="1:21">
      <c r="A1150" t="str">
        <f>"002688"</f>
        <v>002688</v>
      </c>
      <c r="B1150" t="s">
        <v>2423</v>
      </c>
      <c r="C1150">
        <v>0.87</v>
      </c>
      <c r="D1150">
        <v>5.82</v>
      </c>
      <c r="E1150">
        <v>0.05</v>
      </c>
      <c r="F1150">
        <v>5.81</v>
      </c>
      <c r="G1150">
        <v>5.82</v>
      </c>
      <c r="H1150">
        <v>38868</v>
      </c>
      <c r="I1150">
        <v>470</v>
      </c>
      <c r="J1150">
        <v>-0.16</v>
      </c>
      <c r="K1150">
        <v>0.63</v>
      </c>
      <c r="L1150">
        <v>2241.37</v>
      </c>
      <c r="M1150" t="s">
        <v>2424</v>
      </c>
      <c r="N1150" t="s">
        <v>192</v>
      </c>
      <c r="O1150">
        <v>5.73</v>
      </c>
      <c r="P1150">
        <v>5.83</v>
      </c>
      <c r="Q1150">
        <v>5.69</v>
      </c>
      <c r="R1150">
        <v>5.77</v>
      </c>
      <c r="S1150">
        <v>27.18</v>
      </c>
      <c r="T1150">
        <v>0.72</v>
      </c>
      <c r="U1150" t="s">
        <v>275</v>
      </c>
    </row>
    <row r="1151" spans="1:21">
      <c r="A1151" t="str">
        <f>"002689"</f>
        <v>002689</v>
      </c>
      <c r="B1151" t="s">
        <v>2425</v>
      </c>
      <c r="C1151">
        <v>0</v>
      </c>
      <c r="D1151">
        <v>3.05</v>
      </c>
      <c r="E1151">
        <v>0</v>
      </c>
      <c r="F1151">
        <v>3.05</v>
      </c>
      <c r="G1151">
        <v>3.06</v>
      </c>
      <c r="H1151">
        <v>40655</v>
      </c>
      <c r="I1151">
        <v>249</v>
      </c>
      <c r="J1151">
        <v>0</v>
      </c>
      <c r="K1151">
        <v>0.39</v>
      </c>
      <c r="L1151">
        <v>1236.17</v>
      </c>
      <c r="M1151" t="s">
        <v>2426</v>
      </c>
      <c r="N1151" t="s">
        <v>43</v>
      </c>
      <c r="O1151">
        <v>3.07</v>
      </c>
      <c r="P1151">
        <v>3.07</v>
      </c>
      <c r="Q1151">
        <v>3.02</v>
      </c>
      <c r="R1151">
        <v>3.05</v>
      </c>
      <c r="S1151" t="s">
        <v>40</v>
      </c>
      <c r="T1151">
        <v>0.91</v>
      </c>
      <c r="U1151" t="s">
        <v>141</v>
      </c>
    </row>
    <row r="1152" spans="1:21">
      <c r="A1152" t="str">
        <f>"002690"</f>
        <v>002690</v>
      </c>
      <c r="B1152" t="s">
        <v>2427</v>
      </c>
      <c r="C1152">
        <v>-0.7</v>
      </c>
      <c r="D1152">
        <v>41.31</v>
      </c>
      <c r="E1152">
        <v>-0.29</v>
      </c>
      <c r="F1152">
        <v>41.31</v>
      </c>
      <c r="G1152">
        <v>41.34</v>
      </c>
      <c r="H1152">
        <v>15517</v>
      </c>
      <c r="I1152">
        <v>365</v>
      </c>
      <c r="J1152">
        <v>-0.11</v>
      </c>
      <c r="K1152">
        <v>0.47</v>
      </c>
      <c r="L1152">
        <v>6430.08</v>
      </c>
      <c r="M1152" t="s">
        <v>2428</v>
      </c>
      <c r="N1152" t="s">
        <v>324</v>
      </c>
      <c r="O1152">
        <v>41.69</v>
      </c>
      <c r="P1152">
        <v>42.05</v>
      </c>
      <c r="Q1152">
        <v>41.07</v>
      </c>
      <c r="R1152">
        <v>41.6</v>
      </c>
      <c r="S1152">
        <v>48.84</v>
      </c>
      <c r="T1152">
        <v>0.72</v>
      </c>
      <c r="U1152" t="s">
        <v>193</v>
      </c>
    </row>
    <row r="1153" spans="1:21">
      <c r="A1153" t="str">
        <f>"002691"</f>
        <v>002691</v>
      </c>
      <c r="B1153" t="s">
        <v>2429</v>
      </c>
      <c r="C1153">
        <v>0.7</v>
      </c>
      <c r="D1153">
        <v>4.33</v>
      </c>
      <c r="E1153">
        <v>0.03</v>
      </c>
      <c r="F1153">
        <v>4.33</v>
      </c>
      <c r="G1153">
        <v>4.34</v>
      </c>
      <c r="H1153">
        <v>21542</v>
      </c>
      <c r="I1153">
        <v>407</v>
      </c>
      <c r="J1153">
        <v>0.23</v>
      </c>
      <c r="K1153">
        <v>0.63</v>
      </c>
      <c r="L1153">
        <v>927.48</v>
      </c>
      <c r="M1153" t="s">
        <v>2430</v>
      </c>
      <c r="N1153" t="s">
        <v>324</v>
      </c>
      <c r="O1153">
        <v>4.3</v>
      </c>
      <c r="P1153">
        <v>4.35</v>
      </c>
      <c r="Q1153">
        <v>4.23</v>
      </c>
      <c r="R1153">
        <v>4.3</v>
      </c>
      <c r="S1153">
        <v>226.94</v>
      </c>
      <c r="T1153">
        <v>0.74</v>
      </c>
      <c r="U1153" t="s">
        <v>207</v>
      </c>
    </row>
    <row r="1154" spans="1:21">
      <c r="A1154" t="str">
        <f>"002692"</f>
        <v>002692</v>
      </c>
      <c r="B1154" t="s">
        <v>2431</v>
      </c>
      <c r="C1154">
        <v>1.35</v>
      </c>
      <c r="D1154">
        <v>3.01</v>
      </c>
      <c r="E1154">
        <v>0.04</v>
      </c>
      <c r="F1154">
        <v>3.01</v>
      </c>
      <c r="G1154">
        <v>3.02</v>
      </c>
      <c r="H1154">
        <v>43158</v>
      </c>
      <c r="I1154">
        <v>537</v>
      </c>
      <c r="J1154">
        <v>-0.32</v>
      </c>
      <c r="K1154">
        <v>0.64</v>
      </c>
      <c r="L1154">
        <v>1293.73</v>
      </c>
      <c r="M1154" t="s">
        <v>2432</v>
      </c>
      <c r="N1154" t="s">
        <v>47</v>
      </c>
      <c r="O1154">
        <v>2.97</v>
      </c>
      <c r="P1154">
        <v>3.02</v>
      </c>
      <c r="Q1154">
        <v>2.96</v>
      </c>
      <c r="R1154">
        <v>2.97</v>
      </c>
      <c r="S1154">
        <v>114.55</v>
      </c>
      <c r="T1154">
        <v>1.25</v>
      </c>
      <c r="U1154" t="s">
        <v>102</v>
      </c>
    </row>
    <row r="1155" spans="1:21">
      <c r="A1155" t="str">
        <f>"002693"</f>
        <v>002693</v>
      </c>
      <c r="B1155" t="s">
        <v>2433</v>
      </c>
      <c r="C1155">
        <v>1.46</v>
      </c>
      <c r="D1155">
        <v>4.16</v>
      </c>
      <c r="E1155">
        <v>0.06</v>
      </c>
      <c r="F1155">
        <v>4.16</v>
      </c>
      <c r="G1155">
        <v>4.17</v>
      </c>
      <c r="H1155">
        <v>18057</v>
      </c>
      <c r="I1155">
        <v>169</v>
      </c>
      <c r="J1155">
        <v>-0.23</v>
      </c>
      <c r="K1155">
        <v>0.45</v>
      </c>
      <c r="L1155">
        <v>748.9</v>
      </c>
      <c r="M1155" t="s">
        <v>2434</v>
      </c>
      <c r="N1155" t="s">
        <v>192</v>
      </c>
      <c r="O1155">
        <v>4.11</v>
      </c>
      <c r="P1155">
        <v>4.19</v>
      </c>
      <c r="Q1155">
        <v>4.09</v>
      </c>
      <c r="R1155">
        <v>4.1</v>
      </c>
      <c r="S1155" t="s">
        <v>40</v>
      </c>
      <c r="T1155">
        <v>0.62</v>
      </c>
      <c r="U1155" t="s">
        <v>294</v>
      </c>
    </row>
    <row r="1156" spans="1:21">
      <c r="A1156" t="str">
        <f>"002694"</f>
        <v>002694</v>
      </c>
      <c r="B1156" t="s">
        <v>2435</v>
      </c>
      <c r="C1156">
        <v>-0.61</v>
      </c>
      <c r="D1156">
        <v>3.28</v>
      </c>
      <c r="E1156">
        <v>-0.02</v>
      </c>
      <c r="F1156">
        <v>3.28</v>
      </c>
      <c r="G1156">
        <v>3.29</v>
      </c>
      <c r="H1156">
        <v>83236</v>
      </c>
      <c r="I1156">
        <v>5075</v>
      </c>
      <c r="J1156">
        <v>0.61</v>
      </c>
      <c r="K1156">
        <v>1.57</v>
      </c>
      <c r="L1156">
        <v>2714.9</v>
      </c>
      <c r="M1156" t="s">
        <v>2436</v>
      </c>
      <c r="N1156" t="s">
        <v>839</v>
      </c>
      <c r="O1156">
        <v>3.3</v>
      </c>
      <c r="P1156">
        <v>3.31</v>
      </c>
      <c r="Q1156">
        <v>3.24</v>
      </c>
      <c r="R1156">
        <v>3.3</v>
      </c>
      <c r="S1156" t="s">
        <v>40</v>
      </c>
      <c r="T1156">
        <v>0.84</v>
      </c>
      <c r="U1156" t="s">
        <v>267</v>
      </c>
    </row>
    <row r="1157" spans="1:21">
      <c r="A1157" t="str">
        <f>"002695"</f>
        <v>002695</v>
      </c>
      <c r="B1157" t="s">
        <v>2437</v>
      </c>
      <c r="C1157">
        <v>0.75</v>
      </c>
      <c r="D1157">
        <v>14.75</v>
      </c>
      <c r="E1157">
        <v>0.11</v>
      </c>
      <c r="F1157">
        <v>14.74</v>
      </c>
      <c r="G1157">
        <v>14.75</v>
      </c>
      <c r="H1157">
        <v>44950</v>
      </c>
      <c r="I1157">
        <v>924</v>
      </c>
      <c r="J1157">
        <v>0.27</v>
      </c>
      <c r="K1157">
        <v>0.97</v>
      </c>
      <c r="L1157">
        <v>6619.74</v>
      </c>
      <c r="M1157" t="s">
        <v>2438</v>
      </c>
      <c r="N1157" t="s">
        <v>299</v>
      </c>
      <c r="O1157">
        <v>14.63</v>
      </c>
      <c r="P1157">
        <v>14.86</v>
      </c>
      <c r="Q1157">
        <v>14.62</v>
      </c>
      <c r="R1157">
        <v>14.64</v>
      </c>
      <c r="S1157">
        <v>30.89</v>
      </c>
      <c r="T1157">
        <v>0.59</v>
      </c>
      <c r="U1157" t="s">
        <v>235</v>
      </c>
    </row>
    <row r="1158" spans="1:21">
      <c r="A1158" t="str">
        <f>"002696"</f>
        <v>002696</v>
      </c>
      <c r="B1158" t="s">
        <v>2439</v>
      </c>
      <c r="C1158">
        <v>1.67</v>
      </c>
      <c r="D1158">
        <v>5.48</v>
      </c>
      <c r="E1158">
        <v>0.09</v>
      </c>
      <c r="F1158">
        <v>5.46</v>
      </c>
      <c r="G1158">
        <v>5.48</v>
      </c>
      <c r="H1158">
        <v>25561</v>
      </c>
      <c r="I1158">
        <v>340</v>
      </c>
      <c r="J1158">
        <v>0.37</v>
      </c>
      <c r="K1158">
        <v>0.74</v>
      </c>
      <c r="L1158">
        <v>1390.49</v>
      </c>
      <c r="M1158" t="s">
        <v>2440</v>
      </c>
      <c r="N1158" t="s">
        <v>757</v>
      </c>
      <c r="O1158">
        <v>5.42</v>
      </c>
      <c r="P1158">
        <v>5.5</v>
      </c>
      <c r="Q1158">
        <v>5.36</v>
      </c>
      <c r="R1158">
        <v>5.39</v>
      </c>
      <c r="S1158">
        <v>50.34</v>
      </c>
      <c r="T1158">
        <v>0.71</v>
      </c>
      <c r="U1158" t="s">
        <v>342</v>
      </c>
    </row>
    <row r="1159" spans="1:21">
      <c r="A1159" t="str">
        <f>"002697"</f>
        <v>002697</v>
      </c>
      <c r="B1159" t="s">
        <v>2441</v>
      </c>
      <c r="C1159">
        <v>0.39</v>
      </c>
      <c r="D1159">
        <v>5.13</v>
      </c>
      <c r="E1159">
        <v>0.02</v>
      </c>
      <c r="F1159">
        <v>5.12</v>
      </c>
      <c r="G1159">
        <v>5.13</v>
      </c>
      <c r="H1159">
        <v>88476</v>
      </c>
      <c r="I1159">
        <v>857</v>
      </c>
      <c r="J1159">
        <v>0.2</v>
      </c>
      <c r="K1159">
        <v>0.82</v>
      </c>
      <c r="L1159">
        <v>4517.33</v>
      </c>
      <c r="M1159" t="s">
        <v>2442</v>
      </c>
      <c r="N1159" t="s">
        <v>707</v>
      </c>
      <c r="O1159">
        <v>5.1</v>
      </c>
      <c r="P1159">
        <v>5.14</v>
      </c>
      <c r="Q1159">
        <v>5.08</v>
      </c>
      <c r="R1159">
        <v>5.11</v>
      </c>
      <c r="S1159">
        <v>14.98</v>
      </c>
      <c r="T1159">
        <v>0.94</v>
      </c>
      <c r="U1159" t="s">
        <v>196</v>
      </c>
    </row>
    <row r="1160" spans="1:21">
      <c r="A1160" t="str">
        <f>"002698"</f>
        <v>002698</v>
      </c>
      <c r="B1160" t="s">
        <v>2443</v>
      </c>
      <c r="C1160">
        <v>-0.24</v>
      </c>
      <c r="D1160">
        <v>12.46</v>
      </c>
      <c r="E1160">
        <v>-0.03</v>
      </c>
      <c r="F1160">
        <v>12.46</v>
      </c>
      <c r="G1160">
        <v>12.47</v>
      </c>
      <c r="H1160">
        <v>27340</v>
      </c>
      <c r="I1160">
        <v>249</v>
      </c>
      <c r="J1160">
        <v>-0.15</v>
      </c>
      <c r="K1160">
        <v>0.35</v>
      </c>
      <c r="L1160">
        <v>3401.38</v>
      </c>
      <c r="M1160" t="s">
        <v>2444</v>
      </c>
      <c r="N1160" t="s">
        <v>832</v>
      </c>
      <c r="O1160">
        <v>12.4</v>
      </c>
      <c r="P1160">
        <v>12.58</v>
      </c>
      <c r="Q1160">
        <v>12.26</v>
      </c>
      <c r="R1160">
        <v>12.49</v>
      </c>
      <c r="S1160">
        <v>22.65</v>
      </c>
      <c r="T1160">
        <v>1.01</v>
      </c>
      <c r="U1160" t="s">
        <v>445</v>
      </c>
    </row>
    <row r="1161" spans="1:21">
      <c r="A1161" t="str">
        <f>"002699"</f>
        <v>002699</v>
      </c>
      <c r="B1161" t="s">
        <v>2445</v>
      </c>
      <c r="C1161">
        <v>3.19</v>
      </c>
      <c r="D1161">
        <v>4.85</v>
      </c>
      <c r="E1161">
        <v>0.15</v>
      </c>
      <c r="F1161">
        <v>4.85</v>
      </c>
      <c r="G1161">
        <v>4.86</v>
      </c>
      <c r="H1161">
        <v>475381</v>
      </c>
      <c r="I1161">
        <v>6200</v>
      </c>
      <c r="J1161">
        <v>0</v>
      </c>
      <c r="K1161">
        <v>5.23</v>
      </c>
      <c r="L1161">
        <v>22995.2</v>
      </c>
      <c r="M1161" t="s">
        <v>812</v>
      </c>
      <c r="N1161" t="s">
        <v>199</v>
      </c>
      <c r="O1161">
        <v>4.62</v>
      </c>
      <c r="P1161">
        <v>4.92</v>
      </c>
      <c r="Q1161">
        <v>4.58</v>
      </c>
      <c r="R1161">
        <v>4.7</v>
      </c>
      <c r="S1161">
        <v>62.59</v>
      </c>
      <c r="T1161">
        <v>0.7</v>
      </c>
      <c r="U1161" t="s">
        <v>200</v>
      </c>
    </row>
    <row r="1162" spans="1:21">
      <c r="A1162" t="str">
        <f>"002700"</f>
        <v>002700</v>
      </c>
      <c r="B1162" t="s">
        <v>2446</v>
      </c>
      <c r="C1162">
        <v>0.48</v>
      </c>
      <c r="D1162">
        <v>4.19</v>
      </c>
      <c r="E1162">
        <v>0.02</v>
      </c>
      <c r="F1162">
        <v>4.19</v>
      </c>
      <c r="G1162">
        <v>4.2</v>
      </c>
      <c r="H1162">
        <v>26408</v>
      </c>
      <c r="I1162">
        <v>932</v>
      </c>
      <c r="J1162">
        <v>0</v>
      </c>
      <c r="K1162">
        <v>0.84</v>
      </c>
      <c r="L1162">
        <v>1104.35</v>
      </c>
      <c r="M1162" t="s">
        <v>2447</v>
      </c>
      <c r="N1162" t="s">
        <v>238</v>
      </c>
      <c r="O1162">
        <v>4.17</v>
      </c>
      <c r="P1162">
        <v>4.22</v>
      </c>
      <c r="Q1162">
        <v>4.14</v>
      </c>
      <c r="R1162">
        <v>4.17</v>
      </c>
      <c r="S1162">
        <v>20.16</v>
      </c>
      <c r="T1162">
        <v>1.17</v>
      </c>
      <c r="U1162" t="s">
        <v>210</v>
      </c>
    </row>
    <row r="1163" spans="1:21">
      <c r="A1163" t="str">
        <f>"002701"</f>
        <v>002701</v>
      </c>
      <c r="B1163" t="s">
        <v>2448</v>
      </c>
      <c r="C1163">
        <v>-1.95</v>
      </c>
      <c r="D1163">
        <v>7.56</v>
      </c>
      <c r="E1163">
        <v>-0.15</v>
      </c>
      <c r="F1163">
        <v>7.55</v>
      </c>
      <c r="G1163">
        <v>7.56</v>
      </c>
      <c r="H1163">
        <v>460582</v>
      </c>
      <c r="I1163">
        <v>5135</v>
      </c>
      <c r="J1163">
        <v>0.4</v>
      </c>
      <c r="K1163">
        <v>1.89</v>
      </c>
      <c r="L1163">
        <v>34633.22</v>
      </c>
      <c r="M1163" t="s">
        <v>2449</v>
      </c>
      <c r="N1163" t="s">
        <v>482</v>
      </c>
      <c r="O1163">
        <v>7.65</v>
      </c>
      <c r="P1163">
        <v>7.68</v>
      </c>
      <c r="Q1163">
        <v>7.38</v>
      </c>
      <c r="R1163">
        <v>7.71</v>
      </c>
      <c r="S1163">
        <v>16.79</v>
      </c>
      <c r="T1163">
        <v>0.92</v>
      </c>
      <c r="U1163" t="s">
        <v>44</v>
      </c>
    </row>
    <row r="1164" spans="1:21">
      <c r="A1164" t="str">
        <f>"002702"</f>
        <v>002702</v>
      </c>
      <c r="B1164" t="s">
        <v>2450</v>
      </c>
      <c r="C1164">
        <v>-0.34</v>
      </c>
      <c r="D1164">
        <v>5.84</v>
      </c>
      <c r="E1164">
        <v>-0.02</v>
      </c>
      <c r="F1164">
        <v>5.84</v>
      </c>
      <c r="G1164">
        <v>5.85</v>
      </c>
      <c r="H1164">
        <v>64834</v>
      </c>
      <c r="I1164">
        <v>903</v>
      </c>
      <c r="J1164">
        <v>0.17</v>
      </c>
      <c r="K1164">
        <v>1.68</v>
      </c>
      <c r="L1164">
        <v>3773.12</v>
      </c>
      <c r="M1164" t="s">
        <v>1433</v>
      </c>
      <c r="N1164" t="s">
        <v>299</v>
      </c>
      <c r="O1164">
        <v>5.89</v>
      </c>
      <c r="P1164">
        <v>5.89</v>
      </c>
      <c r="Q1164">
        <v>5.77</v>
      </c>
      <c r="R1164">
        <v>5.86</v>
      </c>
      <c r="S1164" t="s">
        <v>40</v>
      </c>
      <c r="T1164">
        <v>0.71</v>
      </c>
      <c r="U1164" t="s">
        <v>339</v>
      </c>
    </row>
    <row r="1165" spans="1:21">
      <c r="A1165" t="str">
        <f>"002703"</f>
        <v>002703</v>
      </c>
      <c r="B1165" t="s">
        <v>2451</v>
      </c>
      <c r="C1165">
        <v>2.5</v>
      </c>
      <c r="D1165">
        <v>5.73</v>
      </c>
      <c r="E1165">
        <v>0.14</v>
      </c>
      <c r="F1165">
        <v>5.72</v>
      </c>
      <c r="G1165">
        <v>5.73</v>
      </c>
      <c r="H1165">
        <v>91177</v>
      </c>
      <c r="I1165">
        <v>3617</v>
      </c>
      <c r="J1165">
        <v>0.35</v>
      </c>
      <c r="K1165">
        <v>1.65</v>
      </c>
      <c r="L1165">
        <v>5186.66</v>
      </c>
      <c r="M1165" t="s">
        <v>2452</v>
      </c>
      <c r="N1165" t="s">
        <v>91</v>
      </c>
      <c r="O1165">
        <v>5.63</v>
      </c>
      <c r="P1165">
        <v>5.75</v>
      </c>
      <c r="Q1165">
        <v>5.6</v>
      </c>
      <c r="R1165">
        <v>5.59</v>
      </c>
      <c r="S1165">
        <v>80.04</v>
      </c>
      <c r="T1165">
        <v>0.67</v>
      </c>
      <c r="U1165" t="s">
        <v>200</v>
      </c>
    </row>
    <row r="1166" spans="1:21">
      <c r="A1166" t="str">
        <f>"002705"</f>
        <v>002705</v>
      </c>
      <c r="B1166" t="s">
        <v>2453</v>
      </c>
      <c r="C1166">
        <v>1.5</v>
      </c>
      <c r="D1166">
        <v>25.06</v>
      </c>
      <c r="E1166">
        <v>0.37</v>
      </c>
      <c r="F1166">
        <v>25.06</v>
      </c>
      <c r="G1166">
        <v>25.11</v>
      </c>
      <c r="H1166">
        <v>84693</v>
      </c>
      <c r="I1166">
        <v>1207</v>
      </c>
      <c r="J1166">
        <v>0.64</v>
      </c>
      <c r="K1166">
        <v>1.03</v>
      </c>
      <c r="L1166">
        <v>21329.47</v>
      </c>
      <c r="M1166" t="s">
        <v>2454</v>
      </c>
      <c r="N1166" t="s">
        <v>60</v>
      </c>
      <c r="O1166">
        <v>25</v>
      </c>
      <c r="P1166">
        <v>25.66</v>
      </c>
      <c r="Q1166">
        <v>24.58</v>
      </c>
      <c r="R1166">
        <v>24.69</v>
      </c>
      <c r="S1166">
        <v>26.12</v>
      </c>
      <c r="T1166">
        <v>0.65</v>
      </c>
      <c r="U1166" t="s">
        <v>183</v>
      </c>
    </row>
    <row r="1167" spans="1:21">
      <c r="A1167" t="str">
        <f>"002706"</f>
        <v>002706</v>
      </c>
      <c r="B1167" t="s">
        <v>2455</v>
      </c>
      <c r="C1167">
        <v>-0.66</v>
      </c>
      <c r="D1167">
        <v>19.46</v>
      </c>
      <c r="E1167">
        <v>-0.13</v>
      </c>
      <c r="F1167">
        <v>19.46</v>
      </c>
      <c r="G1167">
        <v>19.47</v>
      </c>
      <c r="H1167">
        <v>69551</v>
      </c>
      <c r="I1167">
        <v>698</v>
      </c>
      <c r="J1167">
        <v>-0.09</v>
      </c>
      <c r="K1167">
        <v>0.89</v>
      </c>
      <c r="L1167">
        <v>13485.29</v>
      </c>
      <c r="M1167" t="s">
        <v>2456</v>
      </c>
      <c r="N1167" t="s">
        <v>47</v>
      </c>
      <c r="O1167">
        <v>19.48</v>
      </c>
      <c r="P1167">
        <v>19.94</v>
      </c>
      <c r="Q1167">
        <v>19.01</v>
      </c>
      <c r="R1167">
        <v>19.59</v>
      </c>
      <c r="S1167">
        <v>42.94</v>
      </c>
      <c r="T1167">
        <v>0.55</v>
      </c>
      <c r="U1167" t="s">
        <v>848</v>
      </c>
    </row>
    <row r="1168" spans="1:21">
      <c r="A1168" t="str">
        <f>"002707"</f>
        <v>002707</v>
      </c>
      <c r="B1168" t="s">
        <v>2457</v>
      </c>
      <c r="C1168">
        <v>1.36</v>
      </c>
      <c r="D1168">
        <v>5.98</v>
      </c>
      <c r="E1168">
        <v>0.08</v>
      </c>
      <c r="F1168">
        <v>5.98</v>
      </c>
      <c r="G1168">
        <v>5.99</v>
      </c>
      <c r="H1168">
        <v>217976</v>
      </c>
      <c r="I1168">
        <v>3430</v>
      </c>
      <c r="J1168">
        <v>0.17</v>
      </c>
      <c r="K1168">
        <v>3.41</v>
      </c>
      <c r="L1168">
        <v>12899.47</v>
      </c>
      <c r="M1168" t="s">
        <v>2458</v>
      </c>
      <c r="N1168" t="s">
        <v>489</v>
      </c>
      <c r="O1168">
        <v>5.93</v>
      </c>
      <c r="P1168">
        <v>6.01</v>
      </c>
      <c r="Q1168">
        <v>5.82</v>
      </c>
      <c r="R1168">
        <v>5.9</v>
      </c>
      <c r="S1168" t="s">
        <v>40</v>
      </c>
      <c r="T1168">
        <v>0.76</v>
      </c>
      <c r="U1168" t="s">
        <v>44</v>
      </c>
    </row>
    <row r="1169" spans="1:21">
      <c r="A1169" t="str">
        <f>"002708"</f>
        <v>002708</v>
      </c>
      <c r="B1169" t="s">
        <v>2459</v>
      </c>
      <c r="C1169">
        <v>0</v>
      </c>
      <c r="D1169">
        <v>5.9</v>
      </c>
      <c r="E1169">
        <v>0</v>
      </c>
      <c r="F1169">
        <v>5.9</v>
      </c>
      <c r="G1169">
        <v>5.91</v>
      </c>
      <c r="H1169">
        <v>25365</v>
      </c>
      <c r="I1169">
        <v>308</v>
      </c>
      <c r="J1169">
        <v>0</v>
      </c>
      <c r="K1169">
        <v>0.64</v>
      </c>
      <c r="L1169">
        <v>1498.33</v>
      </c>
      <c r="M1169" t="s">
        <v>2460</v>
      </c>
      <c r="N1169" t="s">
        <v>91</v>
      </c>
      <c r="O1169">
        <v>5.87</v>
      </c>
      <c r="P1169">
        <v>5.95</v>
      </c>
      <c r="Q1169">
        <v>5.85</v>
      </c>
      <c r="R1169">
        <v>5.9</v>
      </c>
      <c r="S1169">
        <v>79.18</v>
      </c>
      <c r="T1169">
        <v>0.37</v>
      </c>
      <c r="U1169" t="s">
        <v>102</v>
      </c>
    </row>
    <row r="1170" spans="1:21">
      <c r="A1170" t="str">
        <f>"002709"</f>
        <v>002709</v>
      </c>
      <c r="B1170" t="s">
        <v>2461</v>
      </c>
      <c r="C1170">
        <v>-3.55</v>
      </c>
      <c r="D1170">
        <v>127.6</v>
      </c>
      <c r="E1170">
        <v>-4.7</v>
      </c>
      <c r="F1170">
        <v>127.6</v>
      </c>
      <c r="G1170">
        <v>127.62</v>
      </c>
      <c r="H1170">
        <v>233367</v>
      </c>
      <c r="I1170">
        <v>5092</v>
      </c>
      <c r="J1170">
        <v>-0.64</v>
      </c>
      <c r="K1170">
        <v>2.52</v>
      </c>
      <c r="L1170">
        <v>300987.08</v>
      </c>
      <c r="M1170" t="s">
        <v>2462</v>
      </c>
      <c r="N1170" t="s">
        <v>309</v>
      </c>
      <c r="O1170">
        <v>132.98</v>
      </c>
      <c r="P1170">
        <v>133.2</v>
      </c>
      <c r="Q1170">
        <v>126.65</v>
      </c>
      <c r="R1170">
        <v>132.3</v>
      </c>
      <c r="S1170">
        <v>58.67</v>
      </c>
      <c r="T1170">
        <v>1.38</v>
      </c>
      <c r="U1170" t="s">
        <v>183</v>
      </c>
    </row>
    <row r="1171" spans="1:21">
      <c r="A1171" t="str">
        <f>"002712"</f>
        <v>002712</v>
      </c>
      <c r="B1171" t="s">
        <v>2463</v>
      </c>
      <c r="C1171">
        <v>0.43</v>
      </c>
      <c r="D1171">
        <v>4.66</v>
      </c>
      <c r="E1171">
        <v>0.02</v>
      </c>
      <c r="F1171">
        <v>4.65</v>
      </c>
      <c r="G1171">
        <v>4.66</v>
      </c>
      <c r="H1171">
        <v>39702</v>
      </c>
      <c r="I1171">
        <v>241</v>
      </c>
      <c r="J1171">
        <v>-0.2</v>
      </c>
      <c r="K1171">
        <v>0.69</v>
      </c>
      <c r="L1171">
        <v>1859.25</v>
      </c>
      <c r="M1171" t="s">
        <v>2464</v>
      </c>
      <c r="N1171" t="s">
        <v>482</v>
      </c>
      <c r="O1171">
        <v>4.66</v>
      </c>
      <c r="P1171">
        <v>4.72</v>
      </c>
      <c r="Q1171">
        <v>4.59</v>
      </c>
      <c r="R1171">
        <v>4.64</v>
      </c>
      <c r="S1171">
        <v>40.24</v>
      </c>
      <c r="T1171">
        <v>0.65</v>
      </c>
      <c r="U1171" t="s">
        <v>200</v>
      </c>
    </row>
    <row r="1172" spans="1:21">
      <c r="A1172" t="str">
        <f>"002713"</f>
        <v>002713</v>
      </c>
      <c r="B1172" t="s">
        <v>2465</v>
      </c>
      <c r="C1172">
        <v>0.34</v>
      </c>
      <c r="D1172">
        <v>5.87</v>
      </c>
      <c r="E1172">
        <v>0.02</v>
      </c>
      <c r="F1172">
        <v>5.87</v>
      </c>
      <c r="G1172">
        <v>5.88</v>
      </c>
      <c r="H1172">
        <v>11203</v>
      </c>
      <c r="I1172">
        <v>531</v>
      </c>
      <c r="J1172">
        <v>0.17</v>
      </c>
      <c r="K1172">
        <v>0.28</v>
      </c>
      <c r="L1172">
        <v>651.09</v>
      </c>
      <c r="M1172" t="s">
        <v>1299</v>
      </c>
      <c r="N1172" t="s">
        <v>1189</v>
      </c>
      <c r="O1172">
        <v>5.79</v>
      </c>
      <c r="P1172">
        <v>5.88</v>
      </c>
      <c r="Q1172">
        <v>5.71</v>
      </c>
      <c r="R1172">
        <v>5.85</v>
      </c>
      <c r="S1172" t="s">
        <v>40</v>
      </c>
      <c r="T1172">
        <v>0.47</v>
      </c>
      <c r="U1172" t="s">
        <v>44</v>
      </c>
    </row>
    <row r="1173" spans="1:21">
      <c r="A1173" t="str">
        <f>"002714"</f>
        <v>002714</v>
      </c>
      <c r="B1173" t="s">
        <v>2466</v>
      </c>
      <c r="C1173">
        <v>-1.24</v>
      </c>
      <c r="D1173">
        <v>57.57</v>
      </c>
      <c r="E1173">
        <v>-0.72</v>
      </c>
      <c r="F1173">
        <v>57.56</v>
      </c>
      <c r="G1173">
        <v>57.57</v>
      </c>
      <c r="H1173">
        <v>260133</v>
      </c>
      <c r="I1173">
        <v>2234</v>
      </c>
      <c r="J1173">
        <v>-0.01</v>
      </c>
      <c r="K1173">
        <v>0.73</v>
      </c>
      <c r="L1173">
        <v>149395.7</v>
      </c>
      <c r="M1173" t="s">
        <v>2467</v>
      </c>
      <c r="N1173" t="s">
        <v>147</v>
      </c>
      <c r="O1173">
        <v>58</v>
      </c>
      <c r="P1173">
        <v>58.47</v>
      </c>
      <c r="Q1173">
        <v>56.82</v>
      </c>
      <c r="R1173">
        <v>58.29</v>
      </c>
      <c r="S1173">
        <v>26.1</v>
      </c>
      <c r="T1173">
        <v>0.93</v>
      </c>
      <c r="U1173" t="s">
        <v>224</v>
      </c>
    </row>
    <row r="1174" spans="1:21">
      <c r="A1174" t="str">
        <f>"002715"</f>
        <v>002715</v>
      </c>
      <c r="B1174" t="s">
        <v>2468</v>
      </c>
      <c r="C1174">
        <v>1.67</v>
      </c>
      <c r="D1174">
        <v>12.2</v>
      </c>
      <c r="E1174">
        <v>0.2</v>
      </c>
      <c r="F1174">
        <v>12.19</v>
      </c>
      <c r="G1174">
        <v>12.2</v>
      </c>
      <c r="H1174">
        <v>3751</v>
      </c>
      <c r="I1174">
        <v>43</v>
      </c>
      <c r="J1174">
        <v>0.08</v>
      </c>
      <c r="K1174">
        <v>0.27</v>
      </c>
      <c r="L1174">
        <v>454</v>
      </c>
      <c r="M1174" t="s">
        <v>2469</v>
      </c>
      <c r="N1174" t="s">
        <v>91</v>
      </c>
      <c r="O1174">
        <v>11.98</v>
      </c>
      <c r="P1174">
        <v>12.2</v>
      </c>
      <c r="Q1174">
        <v>11.95</v>
      </c>
      <c r="R1174">
        <v>12</v>
      </c>
      <c r="S1174">
        <v>861.5</v>
      </c>
      <c r="T1174">
        <v>0.78</v>
      </c>
      <c r="U1174" t="s">
        <v>183</v>
      </c>
    </row>
    <row r="1175" spans="1:21">
      <c r="A1175" t="str">
        <f>"002716"</f>
        <v>002716</v>
      </c>
      <c r="B1175" t="s">
        <v>2470</v>
      </c>
      <c r="C1175">
        <v>0</v>
      </c>
      <c r="D1175">
        <v>3.35</v>
      </c>
      <c r="E1175">
        <v>0</v>
      </c>
      <c r="F1175">
        <v>3.34</v>
      </c>
      <c r="G1175">
        <v>3.35</v>
      </c>
      <c r="H1175">
        <v>131994</v>
      </c>
      <c r="I1175">
        <v>1388</v>
      </c>
      <c r="J1175">
        <v>0</v>
      </c>
      <c r="K1175">
        <v>0.63</v>
      </c>
      <c r="L1175">
        <v>4394</v>
      </c>
      <c r="M1175" t="s">
        <v>2471</v>
      </c>
      <c r="N1175" t="s">
        <v>523</v>
      </c>
      <c r="O1175">
        <v>3.34</v>
      </c>
      <c r="P1175">
        <v>3.35</v>
      </c>
      <c r="Q1175">
        <v>3.31</v>
      </c>
      <c r="R1175">
        <v>3.35</v>
      </c>
      <c r="S1175">
        <v>1095.78</v>
      </c>
      <c r="T1175">
        <v>1.01</v>
      </c>
      <c r="U1175" t="s">
        <v>204</v>
      </c>
    </row>
    <row r="1176" spans="1:21">
      <c r="A1176" t="str">
        <f>"002717"</f>
        <v>002717</v>
      </c>
      <c r="B1176" t="s">
        <v>2472</v>
      </c>
      <c r="C1176">
        <v>-5.9</v>
      </c>
      <c r="D1176">
        <v>3.51</v>
      </c>
      <c r="E1176">
        <v>-0.22</v>
      </c>
      <c r="F1176">
        <v>3.5</v>
      </c>
      <c r="G1176">
        <v>3.51</v>
      </c>
      <c r="H1176">
        <v>2995519</v>
      </c>
      <c r="I1176">
        <v>39172</v>
      </c>
      <c r="J1176">
        <v>-1.12</v>
      </c>
      <c r="K1176">
        <v>26.62</v>
      </c>
      <c r="L1176">
        <v>110246.96</v>
      </c>
      <c r="M1176" t="s">
        <v>2473</v>
      </c>
      <c r="N1176" t="s">
        <v>33</v>
      </c>
      <c r="O1176">
        <v>3.8</v>
      </c>
      <c r="P1176">
        <v>3.94</v>
      </c>
      <c r="Q1176">
        <v>3.47</v>
      </c>
      <c r="R1176">
        <v>3.73</v>
      </c>
      <c r="S1176">
        <v>106.93</v>
      </c>
      <c r="T1176">
        <v>2.12</v>
      </c>
      <c r="U1176" t="s">
        <v>183</v>
      </c>
    </row>
    <row r="1177" spans="1:21">
      <c r="A1177" t="str">
        <f>"002718"</f>
        <v>002718</v>
      </c>
      <c r="B1177" t="s">
        <v>2474</v>
      </c>
      <c r="C1177">
        <v>0.07</v>
      </c>
      <c r="D1177">
        <v>13.37</v>
      </c>
      <c r="E1177">
        <v>0.01</v>
      </c>
      <c r="F1177">
        <v>13.36</v>
      </c>
      <c r="G1177">
        <v>13.37</v>
      </c>
      <c r="H1177">
        <v>12738</v>
      </c>
      <c r="I1177">
        <v>130</v>
      </c>
      <c r="J1177">
        <v>0.15</v>
      </c>
      <c r="K1177">
        <v>1.92</v>
      </c>
      <c r="L1177">
        <v>1702.02</v>
      </c>
      <c r="M1177" t="s">
        <v>2475</v>
      </c>
      <c r="N1177" t="s">
        <v>910</v>
      </c>
      <c r="O1177">
        <v>13.37</v>
      </c>
      <c r="P1177">
        <v>13.45</v>
      </c>
      <c r="Q1177">
        <v>13.24</v>
      </c>
      <c r="R1177">
        <v>13.36</v>
      </c>
      <c r="S1177">
        <v>40.67</v>
      </c>
      <c r="T1177">
        <v>0.6</v>
      </c>
      <c r="U1177" t="s">
        <v>200</v>
      </c>
    </row>
    <row r="1178" spans="1:21">
      <c r="A1178" t="str">
        <f>"002719"</f>
        <v>002719</v>
      </c>
      <c r="B1178" t="s">
        <v>2476</v>
      </c>
      <c r="C1178">
        <v>-0.19</v>
      </c>
      <c r="D1178">
        <v>10.28</v>
      </c>
      <c r="E1178">
        <v>-0.02</v>
      </c>
      <c r="F1178">
        <v>10.28</v>
      </c>
      <c r="G1178">
        <v>10.29</v>
      </c>
      <c r="H1178">
        <v>13569</v>
      </c>
      <c r="I1178">
        <v>281</v>
      </c>
      <c r="J1178">
        <v>-0.18</v>
      </c>
      <c r="K1178">
        <v>0.84</v>
      </c>
      <c r="L1178">
        <v>1402.64</v>
      </c>
      <c r="M1178" t="s">
        <v>2477</v>
      </c>
      <c r="N1178" t="s">
        <v>1735</v>
      </c>
      <c r="O1178">
        <v>10.34</v>
      </c>
      <c r="P1178">
        <v>10.43</v>
      </c>
      <c r="Q1178">
        <v>10.27</v>
      </c>
      <c r="R1178">
        <v>10.3</v>
      </c>
      <c r="S1178">
        <v>76.49</v>
      </c>
      <c r="T1178">
        <v>1.13</v>
      </c>
      <c r="U1178" t="s">
        <v>210</v>
      </c>
    </row>
    <row r="1179" spans="1:21">
      <c r="A1179" t="str">
        <f>"002721"</f>
        <v>002721</v>
      </c>
      <c r="B1179" t="s">
        <v>2478</v>
      </c>
      <c r="C1179">
        <v>0</v>
      </c>
      <c r="D1179">
        <v>3.33</v>
      </c>
      <c r="E1179">
        <v>0</v>
      </c>
      <c r="F1179">
        <v>3.32</v>
      </c>
      <c r="G1179">
        <v>3.33</v>
      </c>
      <c r="H1179">
        <v>153994</v>
      </c>
      <c r="I1179">
        <v>1514</v>
      </c>
      <c r="J1179">
        <v>0.6</v>
      </c>
      <c r="K1179">
        <v>2.11</v>
      </c>
      <c r="L1179">
        <v>5107.54</v>
      </c>
      <c r="M1179" t="s">
        <v>2479</v>
      </c>
      <c r="N1179" t="s">
        <v>1061</v>
      </c>
      <c r="O1179">
        <v>3.36</v>
      </c>
      <c r="P1179">
        <v>3.39</v>
      </c>
      <c r="Q1179">
        <v>3.25</v>
      </c>
      <c r="R1179">
        <v>3.33</v>
      </c>
      <c r="S1179" t="s">
        <v>40</v>
      </c>
      <c r="T1179">
        <v>0.68</v>
      </c>
      <c r="U1179" t="s">
        <v>44</v>
      </c>
    </row>
    <row r="1180" spans="1:21">
      <c r="A1180" t="str">
        <f>"002722"</f>
        <v>002722</v>
      </c>
      <c r="B1180" t="s">
        <v>2480</v>
      </c>
      <c r="C1180">
        <v>-0.19</v>
      </c>
      <c r="D1180">
        <v>15.89</v>
      </c>
      <c r="E1180">
        <v>-0.03</v>
      </c>
      <c r="F1180">
        <v>15.88</v>
      </c>
      <c r="G1180">
        <v>15.89</v>
      </c>
      <c r="H1180">
        <v>29408</v>
      </c>
      <c r="I1180">
        <v>242</v>
      </c>
      <c r="J1180">
        <v>0</v>
      </c>
      <c r="K1180">
        <v>1.68</v>
      </c>
      <c r="L1180">
        <v>4668.27</v>
      </c>
      <c r="M1180" t="s">
        <v>2481</v>
      </c>
      <c r="N1180" t="s">
        <v>1135</v>
      </c>
      <c r="O1180">
        <v>16.03</v>
      </c>
      <c r="P1180">
        <v>16.06</v>
      </c>
      <c r="Q1180">
        <v>15.72</v>
      </c>
      <c r="R1180">
        <v>15.92</v>
      </c>
      <c r="S1180">
        <v>16.79</v>
      </c>
      <c r="T1180">
        <v>0.79</v>
      </c>
      <c r="U1180" t="s">
        <v>102</v>
      </c>
    </row>
    <row r="1181" spans="1:21">
      <c r="A1181" t="str">
        <f>"002723"</f>
        <v>002723</v>
      </c>
      <c r="B1181" t="s">
        <v>2482</v>
      </c>
      <c r="C1181">
        <v>6.88</v>
      </c>
      <c r="D1181">
        <v>16.32</v>
      </c>
      <c r="E1181">
        <v>1.05</v>
      </c>
      <c r="F1181">
        <v>16.31</v>
      </c>
      <c r="G1181">
        <v>16.32</v>
      </c>
      <c r="H1181">
        <v>63897</v>
      </c>
      <c r="I1181">
        <v>1038</v>
      </c>
      <c r="J1181">
        <v>0.06</v>
      </c>
      <c r="K1181">
        <v>2.56</v>
      </c>
      <c r="L1181">
        <v>10229.35</v>
      </c>
      <c r="M1181" t="s">
        <v>2085</v>
      </c>
      <c r="N1181" t="s">
        <v>60</v>
      </c>
      <c r="O1181">
        <v>15.33</v>
      </c>
      <c r="P1181">
        <v>16.5</v>
      </c>
      <c r="Q1181">
        <v>15.25</v>
      </c>
      <c r="R1181">
        <v>15.27</v>
      </c>
      <c r="S1181">
        <v>460.51</v>
      </c>
      <c r="T1181">
        <v>1.77</v>
      </c>
      <c r="U1181" t="s">
        <v>183</v>
      </c>
    </row>
    <row r="1182" spans="1:21">
      <c r="A1182" t="str">
        <f>"002724"</f>
        <v>002724</v>
      </c>
      <c r="B1182" t="s">
        <v>2483</v>
      </c>
      <c r="C1182">
        <v>2.65</v>
      </c>
      <c r="D1182">
        <v>17.79</v>
      </c>
      <c r="E1182">
        <v>0.46</v>
      </c>
      <c r="F1182">
        <v>17.79</v>
      </c>
      <c r="G1182">
        <v>17.8</v>
      </c>
      <c r="H1182">
        <v>28391</v>
      </c>
      <c r="I1182">
        <v>170</v>
      </c>
      <c r="J1182">
        <v>0.06</v>
      </c>
      <c r="K1182">
        <v>0.78</v>
      </c>
      <c r="L1182">
        <v>4980.59</v>
      </c>
      <c r="M1182" t="s">
        <v>2484</v>
      </c>
      <c r="N1182" t="s">
        <v>1246</v>
      </c>
      <c r="O1182">
        <v>17.26</v>
      </c>
      <c r="P1182">
        <v>17.88</v>
      </c>
      <c r="Q1182">
        <v>17.02</v>
      </c>
      <c r="R1182">
        <v>17.33</v>
      </c>
      <c r="S1182">
        <v>47.51</v>
      </c>
      <c r="T1182">
        <v>1.23</v>
      </c>
      <c r="U1182" t="s">
        <v>24</v>
      </c>
    </row>
    <row r="1183" spans="1:21">
      <c r="A1183" t="str">
        <f>"002725"</f>
        <v>002725</v>
      </c>
      <c r="B1183" t="s">
        <v>2485</v>
      </c>
      <c r="C1183">
        <v>2.42</v>
      </c>
      <c r="D1183">
        <v>6.78</v>
      </c>
      <c r="E1183">
        <v>0.16</v>
      </c>
      <c r="F1183">
        <v>6.77</v>
      </c>
      <c r="G1183">
        <v>6.78</v>
      </c>
      <c r="H1183">
        <v>21064</v>
      </c>
      <c r="I1183">
        <v>351</v>
      </c>
      <c r="J1183">
        <v>0.3</v>
      </c>
      <c r="K1183">
        <v>1.08</v>
      </c>
      <c r="L1183">
        <v>1423.37</v>
      </c>
      <c r="M1183" t="s">
        <v>2486</v>
      </c>
      <c r="N1183" t="s">
        <v>91</v>
      </c>
      <c r="O1183">
        <v>6.62</v>
      </c>
      <c r="P1183">
        <v>6.82</v>
      </c>
      <c r="Q1183">
        <v>6.62</v>
      </c>
      <c r="R1183">
        <v>6.62</v>
      </c>
      <c r="S1183">
        <v>1283.53</v>
      </c>
      <c r="T1183">
        <v>0.96</v>
      </c>
      <c r="U1183" t="s">
        <v>200</v>
      </c>
    </row>
    <row r="1184" spans="1:21">
      <c r="A1184" t="str">
        <f>"002726"</f>
        <v>002726</v>
      </c>
      <c r="B1184" t="s">
        <v>2487</v>
      </c>
      <c r="C1184">
        <v>6.16</v>
      </c>
      <c r="D1184">
        <v>10.69</v>
      </c>
      <c r="E1184">
        <v>0.62</v>
      </c>
      <c r="F1184">
        <v>10.69</v>
      </c>
      <c r="G1184">
        <v>10.7</v>
      </c>
      <c r="H1184">
        <v>322270</v>
      </c>
      <c r="I1184">
        <v>9163</v>
      </c>
      <c r="J1184">
        <v>0.56</v>
      </c>
      <c r="K1184">
        <v>3.25</v>
      </c>
      <c r="L1184">
        <v>33769</v>
      </c>
      <c r="M1184" t="s">
        <v>2488</v>
      </c>
      <c r="N1184" t="s">
        <v>299</v>
      </c>
      <c r="O1184">
        <v>10.12</v>
      </c>
      <c r="P1184">
        <v>10.76</v>
      </c>
      <c r="Q1184">
        <v>10.02</v>
      </c>
      <c r="R1184">
        <v>10.07</v>
      </c>
      <c r="S1184">
        <v>26.38</v>
      </c>
      <c r="T1184">
        <v>2.32</v>
      </c>
      <c r="U1184" t="s">
        <v>221</v>
      </c>
    </row>
    <row r="1185" spans="1:21">
      <c r="A1185" t="str">
        <f>"002727"</f>
        <v>002727</v>
      </c>
      <c r="B1185" t="s">
        <v>2489</v>
      </c>
      <c r="C1185">
        <v>0.15</v>
      </c>
      <c r="D1185">
        <v>34.5</v>
      </c>
      <c r="E1185">
        <v>0.05</v>
      </c>
      <c r="F1185">
        <v>34.5</v>
      </c>
      <c r="G1185">
        <v>34.51</v>
      </c>
      <c r="H1185">
        <v>39579</v>
      </c>
      <c r="I1185">
        <v>1032</v>
      </c>
      <c r="J1185">
        <v>0</v>
      </c>
      <c r="K1185">
        <v>1</v>
      </c>
      <c r="L1185">
        <v>13601.59</v>
      </c>
      <c r="M1185" t="s">
        <v>2490</v>
      </c>
      <c r="N1185" t="s">
        <v>86</v>
      </c>
      <c r="O1185">
        <v>34.62</v>
      </c>
      <c r="P1185">
        <v>34.69</v>
      </c>
      <c r="Q1185">
        <v>33.91</v>
      </c>
      <c r="R1185">
        <v>34.45</v>
      </c>
      <c r="S1185">
        <v>20.19</v>
      </c>
      <c r="T1185">
        <v>0.4</v>
      </c>
      <c r="U1185" t="s">
        <v>363</v>
      </c>
    </row>
    <row r="1186" spans="1:21">
      <c r="A1186" t="str">
        <f>"002728"</f>
        <v>002728</v>
      </c>
      <c r="B1186" t="s">
        <v>2491</v>
      </c>
      <c r="C1186">
        <v>-5.08</v>
      </c>
      <c r="D1186">
        <v>14.19</v>
      </c>
      <c r="E1186">
        <v>-0.76</v>
      </c>
      <c r="F1186">
        <v>14.19</v>
      </c>
      <c r="G1186">
        <v>14.2</v>
      </c>
      <c r="H1186">
        <v>309418</v>
      </c>
      <c r="I1186">
        <v>3745</v>
      </c>
      <c r="J1186">
        <v>0.14</v>
      </c>
      <c r="K1186">
        <v>24.33</v>
      </c>
      <c r="L1186">
        <v>43821.77</v>
      </c>
      <c r="M1186" t="s">
        <v>2492</v>
      </c>
      <c r="N1186" t="s">
        <v>270</v>
      </c>
      <c r="O1186">
        <v>14.43</v>
      </c>
      <c r="P1186">
        <v>14.68</v>
      </c>
      <c r="Q1186">
        <v>13.89</v>
      </c>
      <c r="R1186">
        <v>14.95</v>
      </c>
      <c r="S1186">
        <v>21.06</v>
      </c>
      <c r="T1186">
        <v>1.4</v>
      </c>
      <c r="U1186" t="s">
        <v>183</v>
      </c>
    </row>
    <row r="1187" spans="1:21">
      <c r="A1187" t="str">
        <f>"002729"</f>
        <v>002729</v>
      </c>
      <c r="B1187" t="s">
        <v>2493</v>
      </c>
      <c r="C1187">
        <v>-1.4</v>
      </c>
      <c r="D1187">
        <v>50.77</v>
      </c>
      <c r="E1187">
        <v>-0.72</v>
      </c>
      <c r="F1187">
        <v>50.7</v>
      </c>
      <c r="G1187">
        <v>50.77</v>
      </c>
      <c r="H1187">
        <v>11224</v>
      </c>
      <c r="I1187">
        <v>154</v>
      </c>
      <c r="J1187">
        <v>0.32</v>
      </c>
      <c r="K1187">
        <v>1.25</v>
      </c>
      <c r="L1187">
        <v>5661.23</v>
      </c>
      <c r="M1187" t="s">
        <v>2494</v>
      </c>
      <c r="N1187" t="s">
        <v>69</v>
      </c>
      <c r="O1187">
        <v>51.5</v>
      </c>
      <c r="P1187">
        <v>51.7</v>
      </c>
      <c r="Q1187">
        <v>49.75</v>
      </c>
      <c r="R1187">
        <v>51.49</v>
      </c>
      <c r="S1187">
        <v>214.33</v>
      </c>
      <c r="T1187">
        <v>0.77</v>
      </c>
      <c r="U1187" t="s">
        <v>339</v>
      </c>
    </row>
    <row r="1188" spans="1:21">
      <c r="A1188" t="str">
        <f>"002730"</f>
        <v>002730</v>
      </c>
      <c r="B1188" t="s">
        <v>2495</v>
      </c>
      <c r="C1188">
        <v>-0.85</v>
      </c>
      <c r="D1188">
        <v>11.72</v>
      </c>
      <c r="E1188">
        <v>-0.1</v>
      </c>
      <c r="F1188">
        <v>11.71</v>
      </c>
      <c r="G1188">
        <v>11.72</v>
      </c>
      <c r="H1188">
        <v>29781</v>
      </c>
      <c r="I1188">
        <v>385</v>
      </c>
      <c r="J1188">
        <v>0.09</v>
      </c>
      <c r="K1188">
        <v>0.97</v>
      </c>
      <c r="L1188">
        <v>3500.83</v>
      </c>
      <c r="M1188" t="s">
        <v>2496</v>
      </c>
      <c r="N1188" t="s">
        <v>47</v>
      </c>
      <c r="O1188">
        <v>11.82</v>
      </c>
      <c r="P1188">
        <v>11.9</v>
      </c>
      <c r="Q1188">
        <v>11.68</v>
      </c>
      <c r="R1188">
        <v>11.82</v>
      </c>
      <c r="S1188">
        <v>54.77</v>
      </c>
      <c r="T1188">
        <v>0.66</v>
      </c>
      <c r="U1188" t="s">
        <v>200</v>
      </c>
    </row>
    <row r="1189" spans="1:21">
      <c r="A1189" t="str">
        <f>"002731"</f>
        <v>002731</v>
      </c>
      <c r="B1189" t="s">
        <v>2497</v>
      </c>
      <c r="C1189">
        <v>-1.27</v>
      </c>
      <c r="D1189">
        <v>9.32</v>
      </c>
      <c r="E1189">
        <v>-0.12</v>
      </c>
      <c r="F1189">
        <v>9.32</v>
      </c>
      <c r="G1189">
        <v>9.33</v>
      </c>
      <c r="H1189">
        <v>229112</v>
      </c>
      <c r="I1189">
        <v>2314</v>
      </c>
      <c r="J1189">
        <v>-0.95</v>
      </c>
      <c r="K1189">
        <v>9.58</v>
      </c>
      <c r="L1189">
        <v>21570.26</v>
      </c>
      <c r="M1189" t="s">
        <v>1318</v>
      </c>
      <c r="N1189" t="s">
        <v>1061</v>
      </c>
      <c r="O1189">
        <v>9.26</v>
      </c>
      <c r="P1189">
        <v>9.86</v>
      </c>
      <c r="Q1189">
        <v>9.13</v>
      </c>
      <c r="R1189">
        <v>9.44</v>
      </c>
      <c r="S1189">
        <v>38.59</v>
      </c>
      <c r="T1189">
        <v>0.89</v>
      </c>
      <c r="U1189" t="s">
        <v>141</v>
      </c>
    </row>
    <row r="1190" spans="1:21">
      <c r="A1190" t="str">
        <f>"002732"</f>
        <v>002732</v>
      </c>
      <c r="B1190" t="s">
        <v>2498</v>
      </c>
      <c r="C1190">
        <v>-0.19</v>
      </c>
      <c r="D1190">
        <v>26.68</v>
      </c>
      <c r="E1190">
        <v>-0.05</v>
      </c>
      <c r="F1190">
        <v>26.68</v>
      </c>
      <c r="G1190">
        <v>26.71</v>
      </c>
      <c r="H1190">
        <v>20330</v>
      </c>
      <c r="I1190">
        <v>292</v>
      </c>
      <c r="J1190">
        <v>0.11</v>
      </c>
      <c r="K1190">
        <v>1.3</v>
      </c>
      <c r="L1190">
        <v>5448.19</v>
      </c>
      <c r="M1190" t="s">
        <v>2188</v>
      </c>
      <c r="N1190" t="s">
        <v>1735</v>
      </c>
      <c r="O1190">
        <v>26.73</v>
      </c>
      <c r="P1190">
        <v>27.1</v>
      </c>
      <c r="Q1190">
        <v>26.56</v>
      </c>
      <c r="R1190">
        <v>26.73</v>
      </c>
      <c r="S1190">
        <v>19.94</v>
      </c>
      <c r="T1190">
        <v>1.26</v>
      </c>
      <c r="U1190" t="s">
        <v>183</v>
      </c>
    </row>
    <row r="1191" spans="1:21">
      <c r="A1191" t="str">
        <f>"002733"</f>
        <v>002733</v>
      </c>
      <c r="B1191" t="s">
        <v>2499</v>
      </c>
      <c r="C1191">
        <v>5.74</v>
      </c>
      <c r="D1191">
        <v>19.34</v>
      </c>
      <c r="E1191">
        <v>1.05</v>
      </c>
      <c r="F1191">
        <v>19.33</v>
      </c>
      <c r="G1191">
        <v>19.34</v>
      </c>
      <c r="H1191">
        <v>238689</v>
      </c>
      <c r="I1191">
        <v>3101</v>
      </c>
      <c r="J1191">
        <v>0.1</v>
      </c>
      <c r="K1191">
        <v>6.53</v>
      </c>
      <c r="L1191">
        <v>45617.45</v>
      </c>
      <c r="M1191" t="s">
        <v>2500</v>
      </c>
      <c r="N1191" t="s">
        <v>47</v>
      </c>
      <c r="O1191">
        <v>18.24</v>
      </c>
      <c r="P1191">
        <v>19.57</v>
      </c>
      <c r="Q1191">
        <v>18.18</v>
      </c>
      <c r="R1191">
        <v>18.29</v>
      </c>
      <c r="S1191" t="s">
        <v>40</v>
      </c>
      <c r="T1191">
        <v>2.2</v>
      </c>
      <c r="U1191" t="s">
        <v>24</v>
      </c>
    </row>
    <row r="1192" spans="1:21">
      <c r="A1192" t="str">
        <f>"002734"</f>
        <v>002734</v>
      </c>
      <c r="B1192" t="s">
        <v>2501</v>
      </c>
      <c r="C1192">
        <v>1.84</v>
      </c>
      <c r="D1192">
        <v>11.63</v>
      </c>
      <c r="E1192">
        <v>0.21</v>
      </c>
      <c r="F1192">
        <v>11.63</v>
      </c>
      <c r="G1192">
        <v>11.64</v>
      </c>
      <c r="H1192">
        <v>23871</v>
      </c>
      <c r="I1192">
        <v>522</v>
      </c>
      <c r="J1192">
        <v>-0.08</v>
      </c>
      <c r="K1192">
        <v>0.73</v>
      </c>
      <c r="L1192">
        <v>2744.98</v>
      </c>
      <c r="M1192" t="s">
        <v>1156</v>
      </c>
      <c r="N1192" t="s">
        <v>241</v>
      </c>
      <c r="O1192">
        <v>11.51</v>
      </c>
      <c r="P1192">
        <v>11.65</v>
      </c>
      <c r="Q1192">
        <v>11.33</v>
      </c>
      <c r="R1192">
        <v>11.42</v>
      </c>
      <c r="S1192">
        <v>12.04</v>
      </c>
      <c r="T1192">
        <v>0.26</v>
      </c>
      <c r="U1192" t="s">
        <v>102</v>
      </c>
    </row>
    <row r="1193" spans="1:21">
      <c r="A1193" t="str">
        <f>"002735"</f>
        <v>002735</v>
      </c>
      <c r="B1193" t="s">
        <v>2502</v>
      </c>
      <c r="C1193">
        <v>-3.16</v>
      </c>
      <c r="D1193">
        <v>19.64</v>
      </c>
      <c r="E1193">
        <v>-0.64</v>
      </c>
      <c r="F1193">
        <v>19.64</v>
      </c>
      <c r="G1193">
        <v>19.65</v>
      </c>
      <c r="H1193">
        <v>34804</v>
      </c>
      <c r="I1193">
        <v>439</v>
      </c>
      <c r="J1193">
        <v>-0.09</v>
      </c>
      <c r="K1193">
        <v>2.63</v>
      </c>
      <c r="L1193">
        <v>6931.44</v>
      </c>
      <c r="M1193" t="s">
        <v>2503</v>
      </c>
      <c r="N1193" t="s">
        <v>839</v>
      </c>
      <c r="O1193">
        <v>20.28</v>
      </c>
      <c r="P1193">
        <v>20.5</v>
      </c>
      <c r="Q1193">
        <v>19.03</v>
      </c>
      <c r="R1193">
        <v>20.28</v>
      </c>
      <c r="S1193">
        <v>64.98</v>
      </c>
      <c r="T1193">
        <v>1.12</v>
      </c>
      <c r="U1193" t="s">
        <v>24</v>
      </c>
    </row>
    <row r="1194" spans="1:21">
      <c r="A1194" t="str">
        <f>"002736"</f>
        <v>002736</v>
      </c>
      <c r="B1194" t="s">
        <v>2504</v>
      </c>
      <c r="C1194">
        <v>1.53</v>
      </c>
      <c r="D1194">
        <v>11.27</v>
      </c>
      <c r="E1194">
        <v>0.17</v>
      </c>
      <c r="F1194">
        <v>11.26</v>
      </c>
      <c r="G1194">
        <v>11.27</v>
      </c>
      <c r="H1194">
        <v>164242</v>
      </c>
      <c r="I1194">
        <v>1405</v>
      </c>
      <c r="J1194">
        <v>0.09</v>
      </c>
      <c r="K1194">
        <v>0.19</v>
      </c>
      <c r="L1194">
        <v>18326.09</v>
      </c>
      <c r="M1194" t="s">
        <v>2505</v>
      </c>
      <c r="N1194" t="s">
        <v>213</v>
      </c>
      <c r="O1194">
        <v>11.05</v>
      </c>
      <c r="P1194">
        <v>11.28</v>
      </c>
      <c r="Q1194">
        <v>11.02</v>
      </c>
      <c r="R1194">
        <v>11.1</v>
      </c>
      <c r="S1194">
        <v>10.42</v>
      </c>
      <c r="T1194">
        <v>1.54</v>
      </c>
      <c r="U1194" t="s">
        <v>24</v>
      </c>
    </row>
    <row r="1195" spans="1:21">
      <c r="A1195" t="str">
        <f>"002737"</f>
        <v>002737</v>
      </c>
      <c r="B1195" t="s">
        <v>2506</v>
      </c>
      <c r="C1195">
        <v>0.9</v>
      </c>
      <c r="D1195">
        <v>14.59</v>
      </c>
      <c r="E1195">
        <v>0.13</v>
      </c>
      <c r="F1195">
        <v>14.58</v>
      </c>
      <c r="G1195">
        <v>14.59</v>
      </c>
      <c r="H1195">
        <v>23031</v>
      </c>
      <c r="I1195">
        <v>784</v>
      </c>
      <c r="J1195">
        <v>0.14</v>
      </c>
      <c r="K1195">
        <v>0.39</v>
      </c>
      <c r="L1195">
        <v>3350.91</v>
      </c>
      <c r="M1195" t="s">
        <v>2507</v>
      </c>
      <c r="N1195" t="s">
        <v>270</v>
      </c>
      <c r="O1195">
        <v>14.45</v>
      </c>
      <c r="P1195">
        <v>14.67</v>
      </c>
      <c r="Q1195">
        <v>14.45</v>
      </c>
      <c r="R1195">
        <v>14.46</v>
      </c>
      <c r="S1195">
        <v>15.95</v>
      </c>
      <c r="T1195">
        <v>0.6</v>
      </c>
      <c r="U1195" t="s">
        <v>445</v>
      </c>
    </row>
    <row r="1196" spans="1:21">
      <c r="A1196" t="str">
        <f>"002738"</f>
        <v>002738</v>
      </c>
      <c r="B1196" t="s">
        <v>2508</v>
      </c>
      <c r="C1196">
        <v>-3.19</v>
      </c>
      <c r="D1196">
        <v>58.89</v>
      </c>
      <c r="E1196">
        <v>-1.94</v>
      </c>
      <c r="F1196">
        <v>58.88</v>
      </c>
      <c r="G1196">
        <v>58.89</v>
      </c>
      <c r="H1196">
        <v>140365</v>
      </c>
      <c r="I1196">
        <v>1270</v>
      </c>
      <c r="J1196">
        <v>-0.16</v>
      </c>
      <c r="K1196">
        <v>4.78</v>
      </c>
      <c r="L1196">
        <v>84000.59</v>
      </c>
      <c r="M1196" t="s">
        <v>2509</v>
      </c>
      <c r="N1196" t="s">
        <v>523</v>
      </c>
      <c r="O1196">
        <v>60.72</v>
      </c>
      <c r="P1196">
        <v>61.5</v>
      </c>
      <c r="Q1196">
        <v>58.6</v>
      </c>
      <c r="R1196">
        <v>60.83</v>
      </c>
      <c r="S1196">
        <v>47.22</v>
      </c>
      <c r="T1196">
        <v>1.08</v>
      </c>
      <c r="U1196" t="s">
        <v>44</v>
      </c>
    </row>
    <row r="1197" spans="1:21">
      <c r="A1197" t="str">
        <f>"002739"</f>
        <v>002739</v>
      </c>
      <c r="B1197" t="s">
        <v>2510</v>
      </c>
      <c r="C1197">
        <v>0</v>
      </c>
      <c r="D1197">
        <v>14.35</v>
      </c>
      <c r="E1197">
        <v>0</v>
      </c>
      <c r="F1197">
        <v>14.35</v>
      </c>
      <c r="G1197">
        <v>14.36</v>
      </c>
      <c r="H1197">
        <v>130404</v>
      </c>
      <c r="I1197">
        <v>972</v>
      </c>
      <c r="J1197">
        <v>0</v>
      </c>
      <c r="K1197">
        <v>0.61</v>
      </c>
      <c r="L1197">
        <v>18663.92</v>
      </c>
      <c r="M1197" t="s">
        <v>2511</v>
      </c>
      <c r="N1197" t="s">
        <v>199</v>
      </c>
      <c r="O1197">
        <v>14.38</v>
      </c>
      <c r="P1197">
        <v>14.44</v>
      </c>
      <c r="Q1197">
        <v>14.16</v>
      </c>
      <c r="R1197">
        <v>14.35</v>
      </c>
      <c r="S1197">
        <v>82.63</v>
      </c>
      <c r="T1197">
        <v>0.73</v>
      </c>
      <c r="U1197" t="s">
        <v>44</v>
      </c>
    </row>
    <row r="1198" spans="1:21">
      <c r="A1198" t="str">
        <f>"002740"</f>
        <v>002740</v>
      </c>
      <c r="B1198" t="s">
        <v>2512</v>
      </c>
      <c r="C1198">
        <v>1.75</v>
      </c>
      <c r="D1198">
        <v>4.07</v>
      </c>
      <c r="E1198">
        <v>0.07</v>
      </c>
      <c r="F1198">
        <v>4.06</v>
      </c>
      <c r="G1198">
        <v>4.07</v>
      </c>
      <c r="H1198">
        <v>40752</v>
      </c>
      <c r="I1198">
        <v>358</v>
      </c>
      <c r="J1198">
        <v>0</v>
      </c>
      <c r="K1198">
        <v>1.66</v>
      </c>
      <c r="L1198">
        <v>1655.11</v>
      </c>
      <c r="M1198" t="s">
        <v>2513</v>
      </c>
      <c r="N1198" t="s">
        <v>1061</v>
      </c>
      <c r="O1198">
        <v>4</v>
      </c>
      <c r="P1198">
        <v>4.13</v>
      </c>
      <c r="Q1198">
        <v>3.97</v>
      </c>
      <c r="R1198">
        <v>4</v>
      </c>
      <c r="S1198">
        <v>98.95</v>
      </c>
      <c r="T1198">
        <v>1.4</v>
      </c>
      <c r="U1198" t="s">
        <v>339</v>
      </c>
    </row>
    <row r="1199" spans="1:21">
      <c r="A1199" t="str">
        <f>"002741"</f>
        <v>002741</v>
      </c>
      <c r="B1199" t="s">
        <v>2514</v>
      </c>
      <c r="C1199">
        <v>3.88</v>
      </c>
      <c r="D1199">
        <v>23.83</v>
      </c>
      <c r="E1199">
        <v>0.89</v>
      </c>
      <c r="F1199">
        <v>23.82</v>
      </c>
      <c r="G1199">
        <v>23.83</v>
      </c>
      <c r="H1199">
        <v>90052</v>
      </c>
      <c r="I1199">
        <v>1045</v>
      </c>
      <c r="J1199">
        <v>0.04</v>
      </c>
      <c r="K1199">
        <v>2.66</v>
      </c>
      <c r="L1199">
        <v>21295.88</v>
      </c>
      <c r="M1199" t="s">
        <v>2515</v>
      </c>
      <c r="N1199" t="s">
        <v>309</v>
      </c>
      <c r="O1199">
        <v>22.95</v>
      </c>
      <c r="P1199">
        <v>24.18</v>
      </c>
      <c r="Q1199">
        <v>22.95</v>
      </c>
      <c r="R1199">
        <v>22.94</v>
      </c>
      <c r="S1199">
        <v>143.53</v>
      </c>
      <c r="T1199">
        <v>0.66</v>
      </c>
      <c r="U1199" t="s">
        <v>183</v>
      </c>
    </row>
    <row r="1200" spans="1:21">
      <c r="A1200" t="str">
        <f>"002742"</f>
        <v>002742</v>
      </c>
      <c r="B1200" t="s">
        <v>2516</v>
      </c>
      <c r="C1200">
        <v>0.87</v>
      </c>
      <c r="D1200">
        <v>6.97</v>
      </c>
      <c r="E1200">
        <v>0.06</v>
      </c>
      <c r="F1200">
        <v>6.97</v>
      </c>
      <c r="G1200">
        <v>6.98</v>
      </c>
      <c r="H1200">
        <v>35893</v>
      </c>
      <c r="I1200">
        <v>602</v>
      </c>
      <c r="J1200">
        <v>0</v>
      </c>
      <c r="K1200">
        <v>0.88</v>
      </c>
      <c r="L1200">
        <v>2499.72</v>
      </c>
      <c r="M1200" t="s">
        <v>2517</v>
      </c>
      <c r="N1200" t="s">
        <v>131</v>
      </c>
      <c r="O1200">
        <v>6.94</v>
      </c>
      <c r="P1200">
        <v>7.05</v>
      </c>
      <c r="Q1200">
        <v>6.87</v>
      </c>
      <c r="R1200">
        <v>6.91</v>
      </c>
      <c r="S1200" t="s">
        <v>40</v>
      </c>
      <c r="T1200">
        <v>0.84</v>
      </c>
      <c r="U1200" t="s">
        <v>314</v>
      </c>
    </row>
    <row r="1201" spans="1:21">
      <c r="A1201" t="str">
        <f>"002743"</f>
        <v>002743</v>
      </c>
      <c r="B1201" t="s">
        <v>2518</v>
      </c>
      <c r="C1201">
        <v>0.59</v>
      </c>
      <c r="D1201">
        <v>6.86</v>
      </c>
      <c r="E1201">
        <v>0.04</v>
      </c>
      <c r="F1201">
        <v>6.85</v>
      </c>
      <c r="G1201">
        <v>6.86</v>
      </c>
      <c r="H1201">
        <v>69952</v>
      </c>
      <c r="I1201">
        <v>997</v>
      </c>
      <c r="J1201">
        <v>0.15</v>
      </c>
      <c r="K1201">
        <v>1.67</v>
      </c>
      <c r="L1201">
        <v>4789.54</v>
      </c>
      <c r="M1201" t="s">
        <v>2519</v>
      </c>
      <c r="N1201" t="s">
        <v>724</v>
      </c>
      <c r="O1201">
        <v>6.82</v>
      </c>
      <c r="P1201">
        <v>6.9</v>
      </c>
      <c r="Q1201">
        <v>6.75</v>
      </c>
      <c r="R1201">
        <v>6.82</v>
      </c>
      <c r="S1201">
        <v>17.3</v>
      </c>
      <c r="T1201">
        <v>0.63</v>
      </c>
      <c r="U1201" t="s">
        <v>193</v>
      </c>
    </row>
    <row r="1202" spans="1:21">
      <c r="A1202" t="str">
        <f>"002745"</f>
        <v>002745</v>
      </c>
      <c r="B1202" t="s">
        <v>2520</v>
      </c>
      <c r="C1202">
        <v>7.99</v>
      </c>
      <c r="D1202">
        <v>15.67</v>
      </c>
      <c r="E1202">
        <v>1.16</v>
      </c>
      <c r="F1202">
        <v>15.66</v>
      </c>
      <c r="G1202">
        <v>15.67</v>
      </c>
      <c r="H1202">
        <v>751073</v>
      </c>
      <c r="I1202">
        <v>7437</v>
      </c>
      <c r="J1202">
        <v>-0.43</v>
      </c>
      <c r="K1202">
        <v>7.8</v>
      </c>
      <c r="L1202">
        <v>116422.5</v>
      </c>
      <c r="M1202" t="s">
        <v>2521</v>
      </c>
      <c r="N1202" t="s">
        <v>47</v>
      </c>
      <c r="O1202">
        <v>14.53</v>
      </c>
      <c r="P1202">
        <v>15.96</v>
      </c>
      <c r="Q1202">
        <v>14.5</v>
      </c>
      <c r="R1202">
        <v>14.51</v>
      </c>
      <c r="S1202">
        <v>18.62</v>
      </c>
      <c r="T1202">
        <v>3.69</v>
      </c>
      <c r="U1202" t="s">
        <v>183</v>
      </c>
    </row>
    <row r="1203" spans="1:21">
      <c r="A1203" t="str">
        <f>"002746"</f>
        <v>002746</v>
      </c>
      <c r="B1203" t="s">
        <v>2522</v>
      </c>
      <c r="C1203">
        <v>-1.46</v>
      </c>
      <c r="D1203">
        <v>6.73</v>
      </c>
      <c r="E1203">
        <v>-0.1</v>
      </c>
      <c r="F1203">
        <v>6.72</v>
      </c>
      <c r="G1203">
        <v>6.73</v>
      </c>
      <c r="H1203">
        <v>149507</v>
      </c>
      <c r="I1203">
        <v>1592</v>
      </c>
      <c r="J1203">
        <v>0.15</v>
      </c>
      <c r="K1203">
        <v>2.11</v>
      </c>
      <c r="L1203">
        <v>9985.17</v>
      </c>
      <c r="M1203" t="s">
        <v>2523</v>
      </c>
      <c r="N1203" t="s">
        <v>299</v>
      </c>
      <c r="O1203">
        <v>6.82</v>
      </c>
      <c r="P1203">
        <v>6.83</v>
      </c>
      <c r="Q1203">
        <v>6.58</v>
      </c>
      <c r="R1203">
        <v>6.83</v>
      </c>
      <c r="S1203">
        <v>34.92</v>
      </c>
      <c r="T1203">
        <v>1.15</v>
      </c>
      <c r="U1203" t="s">
        <v>221</v>
      </c>
    </row>
    <row r="1204" spans="1:21">
      <c r="A1204" t="str">
        <f>"002747"</f>
        <v>002747</v>
      </c>
      <c r="B1204" t="s">
        <v>2524</v>
      </c>
      <c r="C1204">
        <v>-0.31</v>
      </c>
      <c r="D1204">
        <v>28.97</v>
      </c>
      <c r="E1204">
        <v>-0.09</v>
      </c>
      <c r="F1204">
        <v>28.97</v>
      </c>
      <c r="G1204">
        <v>28.98</v>
      </c>
      <c r="H1204">
        <v>70452</v>
      </c>
      <c r="I1204">
        <v>1112</v>
      </c>
      <c r="J1204">
        <v>-0.13</v>
      </c>
      <c r="K1204">
        <v>0.95</v>
      </c>
      <c r="L1204">
        <v>20362.16</v>
      </c>
      <c r="M1204" t="s">
        <v>2525</v>
      </c>
      <c r="N1204" t="s">
        <v>347</v>
      </c>
      <c r="O1204">
        <v>28.77</v>
      </c>
      <c r="P1204">
        <v>29.34</v>
      </c>
      <c r="Q1204">
        <v>28.43</v>
      </c>
      <c r="R1204">
        <v>29.06</v>
      </c>
      <c r="S1204">
        <v>214.85</v>
      </c>
      <c r="T1204">
        <v>0.59</v>
      </c>
      <c r="U1204" t="s">
        <v>102</v>
      </c>
    </row>
    <row r="1205" spans="1:21">
      <c r="A1205" t="str">
        <f>"002748"</f>
        <v>002748</v>
      </c>
      <c r="B1205" t="s">
        <v>2526</v>
      </c>
      <c r="C1205">
        <v>10.02</v>
      </c>
      <c r="D1205">
        <v>13.07</v>
      </c>
      <c r="E1205">
        <v>1.19</v>
      </c>
      <c r="F1205">
        <v>13.07</v>
      </c>
      <c r="G1205" t="s">
        <v>40</v>
      </c>
      <c r="H1205">
        <v>145425</v>
      </c>
      <c r="I1205">
        <v>621</v>
      </c>
      <c r="J1205">
        <v>0</v>
      </c>
      <c r="K1205">
        <v>6.06</v>
      </c>
      <c r="L1205">
        <v>18041.5</v>
      </c>
      <c r="M1205" t="s">
        <v>2527</v>
      </c>
      <c r="N1205" t="s">
        <v>309</v>
      </c>
      <c r="O1205">
        <v>11.9</v>
      </c>
      <c r="P1205">
        <v>13.07</v>
      </c>
      <c r="Q1205">
        <v>11.74</v>
      </c>
      <c r="R1205">
        <v>11.88</v>
      </c>
      <c r="S1205">
        <v>25.16</v>
      </c>
      <c r="T1205">
        <v>0.8</v>
      </c>
      <c r="U1205" t="s">
        <v>235</v>
      </c>
    </row>
    <row r="1206" spans="1:21">
      <c r="A1206" t="str">
        <f>"002749"</f>
        <v>002749</v>
      </c>
      <c r="B1206" t="s">
        <v>2528</v>
      </c>
      <c r="C1206">
        <v>-0.57</v>
      </c>
      <c r="D1206">
        <v>8.7</v>
      </c>
      <c r="E1206">
        <v>-0.05</v>
      </c>
      <c r="F1206">
        <v>8.7</v>
      </c>
      <c r="G1206">
        <v>8.72</v>
      </c>
      <c r="H1206">
        <v>15746</v>
      </c>
      <c r="I1206">
        <v>163</v>
      </c>
      <c r="J1206">
        <v>-0.33</v>
      </c>
      <c r="K1206">
        <v>0.57</v>
      </c>
      <c r="L1206">
        <v>1377.69</v>
      </c>
      <c r="M1206" t="s">
        <v>2529</v>
      </c>
      <c r="N1206" t="s">
        <v>241</v>
      </c>
      <c r="O1206">
        <v>8.8</v>
      </c>
      <c r="P1206">
        <v>8.89</v>
      </c>
      <c r="Q1206">
        <v>8.63</v>
      </c>
      <c r="R1206">
        <v>8.75</v>
      </c>
      <c r="S1206">
        <v>15.09</v>
      </c>
      <c r="T1206">
        <v>1.19</v>
      </c>
      <c r="U1206" t="s">
        <v>196</v>
      </c>
    </row>
    <row r="1207" spans="1:21">
      <c r="A1207" t="str">
        <f>"002750"</f>
        <v>002750</v>
      </c>
      <c r="B1207" t="s">
        <v>2530</v>
      </c>
      <c r="C1207">
        <v>0.42</v>
      </c>
      <c r="D1207">
        <v>7.11</v>
      </c>
      <c r="E1207">
        <v>0.03</v>
      </c>
      <c r="F1207">
        <v>7.1</v>
      </c>
      <c r="G1207">
        <v>7.11</v>
      </c>
      <c r="H1207">
        <v>10558</v>
      </c>
      <c r="I1207">
        <v>81</v>
      </c>
      <c r="J1207">
        <v>-0.13</v>
      </c>
      <c r="K1207">
        <v>0.27</v>
      </c>
      <c r="L1207">
        <v>748.8</v>
      </c>
      <c r="M1207" t="s">
        <v>2531</v>
      </c>
      <c r="N1207" t="s">
        <v>270</v>
      </c>
      <c r="O1207">
        <v>7.06</v>
      </c>
      <c r="P1207">
        <v>7.12</v>
      </c>
      <c r="Q1207">
        <v>7.05</v>
      </c>
      <c r="R1207">
        <v>7.08</v>
      </c>
      <c r="S1207">
        <v>324.93</v>
      </c>
      <c r="T1207">
        <v>0.73</v>
      </c>
      <c r="U1207" t="s">
        <v>363</v>
      </c>
    </row>
    <row r="1208" spans="1:21">
      <c r="A1208" t="str">
        <f>"002751"</f>
        <v>002751</v>
      </c>
      <c r="B1208" t="s">
        <v>2532</v>
      </c>
      <c r="C1208">
        <v>0.18</v>
      </c>
      <c r="D1208">
        <v>22.42</v>
      </c>
      <c r="E1208">
        <v>0.04</v>
      </c>
      <c r="F1208">
        <v>22.42</v>
      </c>
      <c r="G1208">
        <v>22.43</v>
      </c>
      <c r="H1208">
        <v>175846</v>
      </c>
      <c r="I1208">
        <v>2510</v>
      </c>
      <c r="J1208">
        <v>-0.35</v>
      </c>
      <c r="K1208">
        <v>13.94</v>
      </c>
      <c r="L1208">
        <v>39705.13</v>
      </c>
      <c r="M1208" t="s">
        <v>2533</v>
      </c>
      <c r="N1208" t="s">
        <v>910</v>
      </c>
      <c r="O1208">
        <v>22.31</v>
      </c>
      <c r="P1208">
        <v>23.05</v>
      </c>
      <c r="Q1208">
        <v>22.12</v>
      </c>
      <c r="R1208">
        <v>22.38</v>
      </c>
      <c r="S1208">
        <v>129.41</v>
      </c>
      <c r="T1208">
        <v>0.68</v>
      </c>
      <c r="U1208" t="s">
        <v>24</v>
      </c>
    </row>
    <row r="1209" spans="1:21">
      <c r="A1209" t="str">
        <f>"002752"</f>
        <v>002752</v>
      </c>
      <c r="B1209" t="s">
        <v>2534</v>
      </c>
      <c r="C1209">
        <v>-1.98</v>
      </c>
      <c r="D1209">
        <v>6.44</v>
      </c>
      <c r="E1209">
        <v>-0.13</v>
      </c>
      <c r="F1209">
        <v>6.43</v>
      </c>
      <c r="G1209">
        <v>6.44</v>
      </c>
      <c r="H1209">
        <v>333819</v>
      </c>
      <c r="I1209">
        <v>6624</v>
      </c>
      <c r="J1209">
        <v>-0.3</v>
      </c>
      <c r="K1209">
        <v>3.42</v>
      </c>
      <c r="L1209">
        <v>21503.76</v>
      </c>
      <c r="M1209" t="s">
        <v>2535</v>
      </c>
      <c r="N1209" t="s">
        <v>482</v>
      </c>
      <c r="O1209">
        <v>6.56</v>
      </c>
      <c r="P1209">
        <v>6.6</v>
      </c>
      <c r="Q1209">
        <v>6.24</v>
      </c>
      <c r="R1209">
        <v>6.57</v>
      </c>
      <c r="S1209">
        <v>38.05</v>
      </c>
      <c r="T1209">
        <v>0.77</v>
      </c>
      <c r="U1209" t="s">
        <v>339</v>
      </c>
    </row>
    <row r="1210" spans="1:21">
      <c r="A1210" t="str">
        <f>"002753"</f>
        <v>002753</v>
      </c>
      <c r="B1210" t="s">
        <v>2536</v>
      </c>
      <c r="C1210">
        <v>3.39</v>
      </c>
      <c r="D1210">
        <v>8.84</v>
      </c>
      <c r="E1210">
        <v>0.29</v>
      </c>
      <c r="F1210">
        <v>8.84</v>
      </c>
      <c r="G1210">
        <v>8.85</v>
      </c>
      <c r="H1210">
        <v>107366</v>
      </c>
      <c r="I1210">
        <v>1452</v>
      </c>
      <c r="J1210">
        <v>0.34</v>
      </c>
      <c r="K1210">
        <v>4.43</v>
      </c>
      <c r="L1210">
        <v>9328.84</v>
      </c>
      <c r="M1210" t="s">
        <v>2537</v>
      </c>
      <c r="N1210" t="s">
        <v>309</v>
      </c>
      <c r="O1210">
        <v>8.55</v>
      </c>
      <c r="P1210">
        <v>8.86</v>
      </c>
      <c r="Q1210">
        <v>8.42</v>
      </c>
      <c r="R1210">
        <v>8.55</v>
      </c>
      <c r="S1210">
        <v>9.29</v>
      </c>
      <c r="T1210">
        <v>2.02</v>
      </c>
      <c r="U1210" t="s">
        <v>232</v>
      </c>
    </row>
    <row r="1211" spans="1:21">
      <c r="A1211" t="str">
        <f>"002755"</f>
        <v>002755</v>
      </c>
      <c r="B1211" t="s">
        <v>2538</v>
      </c>
      <c r="C1211">
        <v>-0.35</v>
      </c>
      <c r="D1211">
        <v>11.53</v>
      </c>
      <c r="E1211">
        <v>-0.04</v>
      </c>
      <c r="F1211">
        <v>11.53</v>
      </c>
      <c r="G1211">
        <v>11.58</v>
      </c>
      <c r="H1211">
        <v>11568</v>
      </c>
      <c r="I1211">
        <v>371</v>
      </c>
      <c r="J1211">
        <v>-0.16</v>
      </c>
      <c r="K1211">
        <v>0.33</v>
      </c>
      <c r="L1211">
        <v>1333.64</v>
      </c>
      <c r="M1211" t="s">
        <v>2539</v>
      </c>
      <c r="N1211" t="s">
        <v>192</v>
      </c>
      <c r="O1211">
        <v>11.46</v>
      </c>
      <c r="P1211">
        <v>11.6</v>
      </c>
      <c r="Q1211">
        <v>11.41</v>
      </c>
      <c r="R1211">
        <v>11.57</v>
      </c>
      <c r="S1211">
        <v>20.47</v>
      </c>
      <c r="T1211">
        <v>0.54</v>
      </c>
      <c r="U1211" t="s">
        <v>44</v>
      </c>
    </row>
    <row r="1212" spans="1:21">
      <c r="A1212" t="str">
        <f>"002756"</f>
        <v>002756</v>
      </c>
      <c r="B1212" t="s">
        <v>2540</v>
      </c>
      <c r="C1212">
        <v>-0.65</v>
      </c>
      <c r="D1212">
        <v>133.5</v>
      </c>
      <c r="E1212">
        <v>-0.88</v>
      </c>
      <c r="F1212">
        <v>133.49</v>
      </c>
      <c r="G1212">
        <v>133.5</v>
      </c>
      <c r="H1212">
        <v>138151</v>
      </c>
      <c r="I1212">
        <v>1822</v>
      </c>
      <c r="J1212">
        <v>0.23</v>
      </c>
      <c r="K1212">
        <v>5.22</v>
      </c>
      <c r="L1212">
        <v>183960.69</v>
      </c>
      <c r="M1212" t="s">
        <v>2541</v>
      </c>
      <c r="N1212" t="s">
        <v>628</v>
      </c>
      <c r="O1212">
        <v>131.43</v>
      </c>
      <c r="P1212">
        <v>136</v>
      </c>
      <c r="Q1212">
        <v>130</v>
      </c>
      <c r="R1212">
        <v>134.38</v>
      </c>
      <c r="S1212">
        <v>73.85</v>
      </c>
      <c r="T1212">
        <v>1.21</v>
      </c>
      <c r="U1212" t="s">
        <v>200</v>
      </c>
    </row>
    <row r="1213" spans="1:21">
      <c r="A1213" t="str">
        <f>"002757"</f>
        <v>002757</v>
      </c>
      <c r="B1213" t="s">
        <v>2542</v>
      </c>
      <c r="C1213">
        <v>0.27</v>
      </c>
      <c r="D1213">
        <v>14.64</v>
      </c>
      <c r="E1213">
        <v>0.04</v>
      </c>
      <c r="F1213">
        <v>14.64</v>
      </c>
      <c r="G1213">
        <v>14.65</v>
      </c>
      <c r="H1213">
        <v>24315</v>
      </c>
      <c r="I1213">
        <v>191</v>
      </c>
      <c r="J1213">
        <v>0.14</v>
      </c>
      <c r="K1213">
        <v>0.88</v>
      </c>
      <c r="L1213">
        <v>3539.28</v>
      </c>
      <c r="M1213" t="s">
        <v>2543</v>
      </c>
      <c r="N1213" t="s">
        <v>324</v>
      </c>
      <c r="O1213">
        <v>14.5</v>
      </c>
      <c r="P1213">
        <v>14.76</v>
      </c>
      <c r="Q1213">
        <v>14.36</v>
      </c>
      <c r="R1213">
        <v>14.6</v>
      </c>
      <c r="S1213">
        <v>13.25</v>
      </c>
      <c r="T1213">
        <v>1.03</v>
      </c>
      <c r="U1213" t="s">
        <v>183</v>
      </c>
    </row>
    <row r="1214" spans="1:21">
      <c r="A1214" t="str">
        <f>"002758"</f>
        <v>002758</v>
      </c>
      <c r="B1214" t="s">
        <v>2544</v>
      </c>
      <c r="C1214">
        <v>0.19</v>
      </c>
      <c r="D1214">
        <v>10.3</v>
      </c>
      <c r="E1214">
        <v>0.02</v>
      </c>
      <c r="F1214">
        <v>10.3</v>
      </c>
      <c r="G1214">
        <v>10.31</v>
      </c>
      <c r="H1214">
        <v>16057</v>
      </c>
      <c r="I1214">
        <v>228</v>
      </c>
      <c r="J1214">
        <v>0.1</v>
      </c>
      <c r="K1214">
        <v>0.82</v>
      </c>
      <c r="L1214">
        <v>1651.38</v>
      </c>
      <c r="M1214" t="s">
        <v>2545</v>
      </c>
      <c r="N1214" t="s">
        <v>86</v>
      </c>
      <c r="O1214">
        <v>10.23</v>
      </c>
      <c r="P1214">
        <v>10.35</v>
      </c>
      <c r="Q1214">
        <v>10.21</v>
      </c>
      <c r="R1214">
        <v>10.28</v>
      </c>
      <c r="S1214">
        <v>9.67</v>
      </c>
      <c r="T1214">
        <v>0.71</v>
      </c>
      <c r="U1214" t="s">
        <v>200</v>
      </c>
    </row>
    <row r="1215" spans="1:21">
      <c r="A1215" t="str">
        <f>"002759"</f>
        <v>002759</v>
      </c>
      <c r="B1215" t="s">
        <v>2546</v>
      </c>
      <c r="C1215">
        <v>-1.82</v>
      </c>
      <c r="D1215">
        <v>30.26</v>
      </c>
      <c r="E1215">
        <v>-0.56</v>
      </c>
      <c r="F1215">
        <v>30.26</v>
      </c>
      <c r="G1215">
        <v>30.27</v>
      </c>
      <c r="H1215">
        <v>152531</v>
      </c>
      <c r="I1215">
        <v>1494</v>
      </c>
      <c r="J1215">
        <v>0</v>
      </c>
      <c r="K1215">
        <v>3.79</v>
      </c>
      <c r="L1215">
        <v>46385.51</v>
      </c>
      <c r="M1215" t="s">
        <v>2547</v>
      </c>
      <c r="N1215" t="s">
        <v>60</v>
      </c>
      <c r="O1215">
        <v>30.7</v>
      </c>
      <c r="P1215">
        <v>31.03</v>
      </c>
      <c r="Q1215">
        <v>29.94</v>
      </c>
      <c r="R1215">
        <v>30.82</v>
      </c>
      <c r="S1215">
        <v>20.44</v>
      </c>
      <c r="T1215">
        <v>0.9</v>
      </c>
      <c r="U1215" t="s">
        <v>183</v>
      </c>
    </row>
    <row r="1216" spans="1:21">
      <c r="A1216" t="str">
        <f>"002760"</f>
        <v>002760</v>
      </c>
      <c r="B1216" t="s">
        <v>2548</v>
      </c>
      <c r="C1216">
        <v>0.63</v>
      </c>
      <c r="D1216">
        <v>27</v>
      </c>
      <c r="E1216">
        <v>0.17</v>
      </c>
      <c r="F1216">
        <v>27</v>
      </c>
      <c r="G1216">
        <v>27.02</v>
      </c>
      <c r="H1216">
        <v>34578</v>
      </c>
      <c r="I1216">
        <v>543</v>
      </c>
      <c r="J1216">
        <v>0</v>
      </c>
      <c r="K1216">
        <v>3.93</v>
      </c>
      <c r="L1216">
        <v>9234.13</v>
      </c>
      <c r="M1216" t="s">
        <v>2549</v>
      </c>
      <c r="N1216" t="s">
        <v>347</v>
      </c>
      <c r="O1216">
        <v>26.76</v>
      </c>
      <c r="P1216">
        <v>27.34</v>
      </c>
      <c r="Q1216">
        <v>26.07</v>
      </c>
      <c r="R1216">
        <v>26.83</v>
      </c>
      <c r="S1216">
        <v>32.54</v>
      </c>
      <c r="T1216">
        <v>0.65</v>
      </c>
      <c r="U1216" t="s">
        <v>193</v>
      </c>
    </row>
    <row r="1217" spans="1:21">
      <c r="A1217" t="str">
        <f>"002761"</f>
        <v>002761</v>
      </c>
      <c r="B1217" t="s">
        <v>2550</v>
      </c>
      <c r="C1217">
        <v>0.14</v>
      </c>
      <c r="D1217">
        <v>7.33</v>
      </c>
      <c r="E1217">
        <v>0.01</v>
      </c>
      <c r="F1217">
        <v>7.33</v>
      </c>
      <c r="G1217">
        <v>7.34</v>
      </c>
      <c r="H1217">
        <v>12125</v>
      </c>
      <c r="I1217">
        <v>190</v>
      </c>
      <c r="J1217">
        <v>0</v>
      </c>
      <c r="K1217">
        <v>0.5</v>
      </c>
      <c r="L1217">
        <v>886.72</v>
      </c>
      <c r="M1217" t="s">
        <v>2551</v>
      </c>
      <c r="N1217" t="s">
        <v>50</v>
      </c>
      <c r="O1217">
        <v>7.31</v>
      </c>
      <c r="P1217">
        <v>7.36</v>
      </c>
      <c r="Q1217">
        <v>7.28</v>
      </c>
      <c r="R1217">
        <v>7.32</v>
      </c>
      <c r="S1217">
        <v>6.5</v>
      </c>
      <c r="T1217">
        <v>0.95</v>
      </c>
      <c r="U1217" t="s">
        <v>200</v>
      </c>
    </row>
    <row r="1218" spans="1:21">
      <c r="A1218" t="str">
        <f>"002762"</f>
        <v>002762</v>
      </c>
      <c r="B1218" t="s">
        <v>2552</v>
      </c>
      <c r="C1218">
        <v>-2.13</v>
      </c>
      <c r="D1218">
        <v>11.46</v>
      </c>
      <c r="E1218">
        <v>-0.25</v>
      </c>
      <c r="F1218">
        <v>11.46</v>
      </c>
      <c r="G1218">
        <v>11.47</v>
      </c>
      <c r="H1218">
        <v>238817</v>
      </c>
      <c r="I1218">
        <v>3677</v>
      </c>
      <c r="J1218">
        <v>0</v>
      </c>
      <c r="K1218">
        <v>12.2</v>
      </c>
      <c r="L1218">
        <v>27460.68</v>
      </c>
      <c r="M1218" t="s">
        <v>2553</v>
      </c>
      <c r="N1218" t="s">
        <v>1061</v>
      </c>
      <c r="O1218">
        <v>11.73</v>
      </c>
      <c r="P1218">
        <v>11.78</v>
      </c>
      <c r="Q1218">
        <v>11.35</v>
      </c>
      <c r="R1218">
        <v>11.71</v>
      </c>
      <c r="S1218">
        <v>460.77</v>
      </c>
      <c r="T1218">
        <v>0.62</v>
      </c>
      <c r="U1218" t="s">
        <v>183</v>
      </c>
    </row>
    <row r="1219" spans="1:21">
      <c r="A1219" t="str">
        <f>"002763"</f>
        <v>002763</v>
      </c>
      <c r="B1219" t="s">
        <v>2554</v>
      </c>
      <c r="C1219">
        <v>-0.91</v>
      </c>
      <c r="D1219">
        <v>8.75</v>
      </c>
      <c r="E1219">
        <v>-0.08</v>
      </c>
      <c r="F1219">
        <v>8.75</v>
      </c>
      <c r="G1219">
        <v>8.76</v>
      </c>
      <c r="H1219">
        <v>30605</v>
      </c>
      <c r="I1219">
        <v>551</v>
      </c>
      <c r="J1219">
        <v>-0.1</v>
      </c>
      <c r="K1219">
        <v>1.55</v>
      </c>
      <c r="L1219">
        <v>2678.61</v>
      </c>
      <c r="M1219" t="s">
        <v>2555</v>
      </c>
      <c r="N1219" t="s">
        <v>1061</v>
      </c>
      <c r="O1219">
        <v>8.84</v>
      </c>
      <c r="P1219">
        <v>8.85</v>
      </c>
      <c r="Q1219">
        <v>8.7</v>
      </c>
      <c r="R1219">
        <v>8.83</v>
      </c>
      <c r="S1219">
        <v>10.34</v>
      </c>
      <c r="T1219">
        <v>0.92</v>
      </c>
      <c r="U1219" t="s">
        <v>24</v>
      </c>
    </row>
    <row r="1220" spans="1:21">
      <c r="A1220" t="str">
        <f>"002765"</f>
        <v>002765</v>
      </c>
      <c r="B1220" t="s">
        <v>2556</v>
      </c>
      <c r="C1220">
        <v>3.77</v>
      </c>
      <c r="D1220">
        <v>9.09</v>
      </c>
      <c r="E1220">
        <v>0.33</v>
      </c>
      <c r="F1220">
        <v>9.09</v>
      </c>
      <c r="G1220">
        <v>9.1</v>
      </c>
      <c r="H1220">
        <v>592895</v>
      </c>
      <c r="I1220">
        <v>5302</v>
      </c>
      <c r="J1220">
        <v>0.33</v>
      </c>
      <c r="K1220">
        <v>14.61</v>
      </c>
      <c r="L1220">
        <v>52975.57</v>
      </c>
      <c r="M1220" t="s">
        <v>2557</v>
      </c>
      <c r="N1220" t="s">
        <v>69</v>
      </c>
      <c r="O1220">
        <v>8.77</v>
      </c>
      <c r="P1220">
        <v>9.17</v>
      </c>
      <c r="Q1220">
        <v>8.58</v>
      </c>
      <c r="R1220">
        <v>8.76</v>
      </c>
      <c r="S1220">
        <v>22.15</v>
      </c>
      <c r="T1220">
        <v>1.16</v>
      </c>
      <c r="U1220" t="s">
        <v>314</v>
      </c>
    </row>
    <row r="1221" spans="1:21">
      <c r="A1221" t="str">
        <f>"002766"</f>
        <v>002766</v>
      </c>
      <c r="B1221" t="s">
        <v>2558</v>
      </c>
      <c r="C1221">
        <v>0.68</v>
      </c>
      <c r="D1221">
        <v>4.47</v>
      </c>
      <c r="E1221">
        <v>0.03</v>
      </c>
      <c r="F1221">
        <v>4.47</v>
      </c>
      <c r="G1221">
        <v>4.48</v>
      </c>
      <c r="H1221">
        <v>22304</v>
      </c>
      <c r="I1221">
        <v>280</v>
      </c>
      <c r="J1221">
        <v>-0.44</v>
      </c>
      <c r="K1221">
        <v>0.75</v>
      </c>
      <c r="L1221">
        <v>1000.35</v>
      </c>
      <c r="M1221" t="s">
        <v>2559</v>
      </c>
      <c r="N1221" t="s">
        <v>91</v>
      </c>
      <c r="O1221">
        <v>4.4</v>
      </c>
      <c r="P1221">
        <v>4.55</v>
      </c>
      <c r="Q1221">
        <v>4.4</v>
      </c>
      <c r="R1221">
        <v>4.44</v>
      </c>
      <c r="S1221" t="s">
        <v>40</v>
      </c>
      <c r="T1221">
        <v>1.45</v>
      </c>
      <c r="U1221" t="s">
        <v>24</v>
      </c>
    </row>
    <row r="1222" spans="1:21">
      <c r="A1222" t="str">
        <f>"002767"</f>
        <v>002767</v>
      </c>
      <c r="B1222" t="s">
        <v>2560</v>
      </c>
      <c r="C1222">
        <v>2.2</v>
      </c>
      <c r="D1222">
        <v>13.02</v>
      </c>
      <c r="E1222">
        <v>0.28</v>
      </c>
      <c r="F1222">
        <v>13.02</v>
      </c>
      <c r="G1222">
        <v>13.03</v>
      </c>
      <c r="H1222">
        <v>8583</v>
      </c>
      <c r="I1222">
        <v>223</v>
      </c>
      <c r="J1222">
        <v>0.39</v>
      </c>
      <c r="K1222">
        <v>0.69</v>
      </c>
      <c r="L1222">
        <v>1113.34</v>
      </c>
      <c r="M1222" t="s">
        <v>2561</v>
      </c>
      <c r="N1222" t="s">
        <v>1028</v>
      </c>
      <c r="O1222">
        <v>12.74</v>
      </c>
      <c r="P1222">
        <v>13.07</v>
      </c>
      <c r="Q1222">
        <v>12.74</v>
      </c>
      <c r="R1222">
        <v>12.74</v>
      </c>
      <c r="S1222">
        <v>106.8</v>
      </c>
      <c r="T1222">
        <v>0.75</v>
      </c>
      <c r="U1222" t="s">
        <v>200</v>
      </c>
    </row>
    <row r="1223" spans="1:21">
      <c r="A1223" t="str">
        <f>"002768"</f>
        <v>002768</v>
      </c>
      <c r="B1223" t="s">
        <v>2562</v>
      </c>
      <c r="C1223">
        <v>0.24</v>
      </c>
      <c r="D1223">
        <v>25.34</v>
      </c>
      <c r="E1223">
        <v>0.06</v>
      </c>
      <c r="F1223">
        <v>25.34</v>
      </c>
      <c r="G1223">
        <v>25.35</v>
      </c>
      <c r="H1223">
        <v>13137</v>
      </c>
      <c r="I1223">
        <v>154</v>
      </c>
      <c r="J1223">
        <v>-0.03</v>
      </c>
      <c r="K1223">
        <v>0.74</v>
      </c>
      <c r="L1223">
        <v>3319.33</v>
      </c>
      <c r="M1223" t="s">
        <v>2563</v>
      </c>
      <c r="N1223" t="s">
        <v>839</v>
      </c>
      <c r="O1223">
        <v>25.2</v>
      </c>
      <c r="P1223">
        <v>25.59</v>
      </c>
      <c r="Q1223">
        <v>25.04</v>
      </c>
      <c r="R1223">
        <v>25.28</v>
      </c>
      <c r="S1223">
        <v>10.44</v>
      </c>
      <c r="T1223">
        <v>0.82</v>
      </c>
      <c r="U1223" t="s">
        <v>221</v>
      </c>
    </row>
    <row r="1224" spans="1:21">
      <c r="A1224" t="str">
        <f>"002769"</f>
        <v>002769</v>
      </c>
      <c r="B1224" t="s">
        <v>2564</v>
      </c>
      <c r="C1224">
        <v>1.51</v>
      </c>
      <c r="D1224">
        <v>6.05</v>
      </c>
      <c r="E1224">
        <v>0.09</v>
      </c>
      <c r="F1224">
        <v>6.04</v>
      </c>
      <c r="G1224">
        <v>6.05</v>
      </c>
      <c r="H1224">
        <v>29749</v>
      </c>
      <c r="I1224">
        <v>665</v>
      </c>
      <c r="J1224">
        <v>-0.32</v>
      </c>
      <c r="K1224">
        <v>1.13</v>
      </c>
      <c r="L1224">
        <v>1797.51</v>
      </c>
      <c r="M1224" t="s">
        <v>2565</v>
      </c>
      <c r="N1224" t="s">
        <v>1049</v>
      </c>
      <c r="O1224">
        <v>5.99</v>
      </c>
      <c r="P1224">
        <v>6.08</v>
      </c>
      <c r="Q1224">
        <v>5.98</v>
      </c>
      <c r="R1224">
        <v>5.96</v>
      </c>
      <c r="S1224">
        <v>56.68</v>
      </c>
      <c r="T1224">
        <v>1.25</v>
      </c>
      <c r="U1224" t="s">
        <v>24</v>
      </c>
    </row>
    <row r="1225" spans="1:21">
      <c r="A1225" t="str">
        <f>"002770"</f>
        <v>002770</v>
      </c>
      <c r="B1225" t="s">
        <v>2566</v>
      </c>
      <c r="C1225">
        <v>-0.43</v>
      </c>
      <c r="D1225">
        <v>2.34</v>
      </c>
      <c r="E1225">
        <v>-0.01</v>
      </c>
      <c r="F1225">
        <v>2.34</v>
      </c>
      <c r="G1225">
        <v>2.35</v>
      </c>
      <c r="H1225">
        <v>134722</v>
      </c>
      <c r="I1225">
        <v>2445</v>
      </c>
      <c r="J1225">
        <v>-0.42</v>
      </c>
      <c r="K1225">
        <v>2.23</v>
      </c>
      <c r="L1225">
        <v>3152.91</v>
      </c>
      <c r="M1225" t="s">
        <v>2567</v>
      </c>
      <c r="N1225" t="s">
        <v>1735</v>
      </c>
      <c r="O1225">
        <v>2.34</v>
      </c>
      <c r="P1225">
        <v>2.37</v>
      </c>
      <c r="Q1225">
        <v>2.32</v>
      </c>
      <c r="R1225">
        <v>2.35</v>
      </c>
      <c r="S1225">
        <v>17.02</v>
      </c>
      <c r="T1225">
        <v>0.51</v>
      </c>
      <c r="U1225" t="s">
        <v>224</v>
      </c>
    </row>
    <row r="1226" spans="1:21">
      <c r="A1226" t="str">
        <f>"002771"</f>
        <v>002771</v>
      </c>
      <c r="B1226" t="s">
        <v>2568</v>
      </c>
      <c r="C1226">
        <v>0</v>
      </c>
      <c r="D1226">
        <v>10.12</v>
      </c>
      <c r="E1226">
        <v>0</v>
      </c>
      <c r="F1226">
        <v>10.1</v>
      </c>
      <c r="G1226">
        <v>10.12</v>
      </c>
      <c r="H1226">
        <v>17167</v>
      </c>
      <c r="I1226">
        <v>2</v>
      </c>
      <c r="J1226">
        <v>0.1</v>
      </c>
      <c r="K1226">
        <v>0.85</v>
      </c>
      <c r="L1226">
        <v>1736.45</v>
      </c>
      <c r="M1226" t="s">
        <v>2569</v>
      </c>
      <c r="N1226" t="s">
        <v>30</v>
      </c>
      <c r="O1226">
        <v>10.13</v>
      </c>
      <c r="P1226">
        <v>10.18</v>
      </c>
      <c r="Q1226">
        <v>10.05</v>
      </c>
      <c r="R1226">
        <v>10.12</v>
      </c>
      <c r="S1226" t="s">
        <v>40</v>
      </c>
      <c r="T1226">
        <v>0.98</v>
      </c>
      <c r="U1226" t="s">
        <v>44</v>
      </c>
    </row>
    <row r="1227" spans="1:21">
      <c r="A1227" t="str">
        <f>"002772"</f>
        <v>002772</v>
      </c>
      <c r="B1227" t="s">
        <v>2570</v>
      </c>
      <c r="C1227">
        <v>2.69</v>
      </c>
      <c r="D1227">
        <v>8.01</v>
      </c>
      <c r="E1227">
        <v>0.21</v>
      </c>
      <c r="F1227">
        <v>8</v>
      </c>
      <c r="G1227">
        <v>8.01</v>
      </c>
      <c r="H1227">
        <v>207704</v>
      </c>
      <c r="I1227">
        <v>1998</v>
      </c>
      <c r="J1227">
        <v>0</v>
      </c>
      <c r="K1227">
        <v>7.8</v>
      </c>
      <c r="L1227">
        <v>16532.91</v>
      </c>
      <c r="M1227" t="s">
        <v>2571</v>
      </c>
      <c r="N1227" t="s">
        <v>639</v>
      </c>
      <c r="O1227">
        <v>7.8</v>
      </c>
      <c r="P1227">
        <v>8.23</v>
      </c>
      <c r="Q1227">
        <v>7.7</v>
      </c>
      <c r="R1227">
        <v>7.8</v>
      </c>
      <c r="S1227" t="s">
        <v>40</v>
      </c>
      <c r="T1227">
        <v>1.4</v>
      </c>
      <c r="U1227" t="s">
        <v>391</v>
      </c>
    </row>
    <row r="1228" spans="1:21">
      <c r="A1228" t="str">
        <f>"002773"</f>
        <v>002773</v>
      </c>
      <c r="B1228" t="s">
        <v>2572</v>
      </c>
      <c r="C1228">
        <v>1.55</v>
      </c>
      <c r="D1228">
        <v>18.99</v>
      </c>
      <c r="E1228">
        <v>0.29</v>
      </c>
      <c r="F1228">
        <v>18.98</v>
      </c>
      <c r="G1228">
        <v>18.99</v>
      </c>
      <c r="H1228">
        <v>58043</v>
      </c>
      <c r="I1228">
        <v>724</v>
      </c>
      <c r="J1228">
        <v>0.11</v>
      </c>
      <c r="K1228">
        <v>0.84</v>
      </c>
      <c r="L1228">
        <v>10950.02</v>
      </c>
      <c r="M1228" t="s">
        <v>2573</v>
      </c>
      <c r="N1228" t="s">
        <v>192</v>
      </c>
      <c r="O1228">
        <v>18.75</v>
      </c>
      <c r="P1228">
        <v>19.02</v>
      </c>
      <c r="Q1228">
        <v>18.67</v>
      </c>
      <c r="R1228">
        <v>18.7</v>
      </c>
      <c r="S1228">
        <v>20.05</v>
      </c>
      <c r="T1228">
        <v>0.7</v>
      </c>
      <c r="U1228" t="s">
        <v>196</v>
      </c>
    </row>
    <row r="1229" spans="1:21">
      <c r="A1229" t="str">
        <f>"002774"</f>
        <v>002774</v>
      </c>
      <c r="B1229" t="s">
        <v>2574</v>
      </c>
      <c r="C1229">
        <v>0.74</v>
      </c>
      <c r="D1229">
        <v>8.13</v>
      </c>
      <c r="E1229">
        <v>0.06</v>
      </c>
      <c r="F1229">
        <v>8.12</v>
      </c>
      <c r="G1229">
        <v>8.13</v>
      </c>
      <c r="H1229">
        <v>43399</v>
      </c>
      <c r="I1229">
        <v>893</v>
      </c>
      <c r="J1229">
        <v>0</v>
      </c>
      <c r="K1229">
        <v>1.54</v>
      </c>
      <c r="L1229">
        <v>3504.71</v>
      </c>
      <c r="M1229" t="s">
        <v>2575</v>
      </c>
      <c r="N1229" t="s">
        <v>43</v>
      </c>
      <c r="O1229">
        <v>8.02</v>
      </c>
      <c r="P1229">
        <v>8.14</v>
      </c>
      <c r="Q1229">
        <v>7.96</v>
      </c>
      <c r="R1229">
        <v>8.07</v>
      </c>
      <c r="S1229">
        <v>7.75</v>
      </c>
      <c r="T1229">
        <v>0.73</v>
      </c>
      <c r="U1229" t="s">
        <v>183</v>
      </c>
    </row>
    <row r="1230" spans="1:21">
      <c r="A1230" t="str">
        <f>"002775"</f>
        <v>002775</v>
      </c>
      <c r="B1230" t="s">
        <v>2576</v>
      </c>
      <c r="C1230">
        <v>1.95</v>
      </c>
      <c r="D1230">
        <v>3.66</v>
      </c>
      <c r="E1230">
        <v>0.07</v>
      </c>
      <c r="F1230">
        <v>3.65</v>
      </c>
      <c r="G1230">
        <v>3.66</v>
      </c>
      <c r="H1230">
        <v>17105</v>
      </c>
      <c r="I1230">
        <v>662</v>
      </c>
      <c r="J1230">
        <v>0</v>
      </c>
      <c r="K1230">
        <v>0.38</v>
      </c>
      <c r="L1230">
        <v>619.8</v>
      </c>
      <c r="M1230" t="s">
        <v>2577</v>
      </c>
      <c r="N1230" t="s">
        <v>50</v>
      </c>
      <c r="O1230">
        <v>3.58</v>
      </c>
      <c r="P1230">
        <v>3.66</v>
      </c>
      <c r="Q1230">
        <v>3.57</v>
      </c>
      <c r="R1230">
        <v>3.59</v>
      </c>
      <c r="S1230">
        <v>44.9</v>
      </c>
      <c r="T1230">
        <v>0.56</v>
      </c>
      <c r="U1230" t="s">
        <v>24</v>
      </c>
    </row>
    <row r="1231" spans="1:21">
      <c r="A1231" t="str">
        <f>"002776"</f>
        <v>002776</v>
      </c>
      <c r="B1231" t="s">
        <v>2578</v>
      </c>
      <c r="C1231">
        <v>5.09</v>
      </c>
      <c r="D1231">
        <v>3.92</v>
      </c>
      <c r="E1231">
        <v>0.19</v>
      </c>
      <c r="F1231">
        <v>3.92</v>
      </c>
      <c r="G1231" t="s">
        <v>40</v>
      </c>
      <c r="H1231">
        <v>131357</v>
      </c>
      <c r="I1231">
        <v>18</v>
      </c>
      <c r="J1231">
        <v>0</v>
      </c>
      <c r="K1231">
        <v>2.44</v>
      </c>
      <c r="L1231">
        <v>5089.21</v>
      </c>
      <c r="M1231" t="s">
        <v>2579</v>
      </c>
      <c r="N1231" t="s">
        <v>1061</v>
      </c>
      <c r="O1231">
        <v>3.69</v>
      </c>
      <c r="P1231">
        <v>3.92</v>
      </c>
      <c r="Q1231">
        <v>3.69</v>
      </c>
      <c r="R1231">
        <v>3.73</v>
      </c>
      <c r="S1231" t="s">
        <v>40</v>
      </c>
      <c r="T1231">
        <v>0.64</v>
      </c>
      <c r="U1231" t="s">
        <v>183</v>
      </c>
    </row>
    <row r="1232" spans="1:21">
      <c r="A1232" t="str">
        <f>"002777"</f>
        <v>002777</v>
      </c>
      <c r="B1232" t="s">
        <v>2580</v>
      </c>
      <c r="C1232">
        <v>1.36</v>
      </c>
      <c r="D1232">
        <v>20.15</v>
      </c>
      <c r="E1232">
        <v>0.27</v>
      </c>
      <c r="F1232">
        <v>20.15</v>
      </c>
      <c r="G1232">
        <v>20.18</v>
      </c>
      <c r="H1232">
        <v>50911</v>
      </c>
      <c r="I1232">
        <v>1071</v>
      </c>
      <c r="J1232">
        <v>-0.34</v>
      </c>
      <c r="K1232">
        <v>1.66</v>
      </c>
      <c r="L1232">
        <v>10198.64</v>
      </c>
      <c r="M1232" t="s">
        <v>2581</v>
      </c>
      <c r="N1232" t="s">
        <v>30</v>
      </c>
      <c r="O1232">
        <v>19.69</v>
      </c>
      <c r="P1232">
        <v>20.43</v>
      </c>
      <c r="Q1232">
        <v>19.25</v>
      </c>
      <c r="R1232">
        <v>19.88</v>
      </c>
      <c r="S1232">
        <v>39.21</v>
      </c>
      <c r="T1232">
        <v>1.39</v>
      </c>
      <c r="U1232" t="s">
        <v>196</v>
      </c>
    </row>
    <row r="1233" spans="1:21">
      <c r="A1233" t="str">
        <f>"002778"</f>
        <v>002778</v>
      </c>
      <c r="B1233" t="s">
        <v>2582</v>
      </c>
      <c r="C1233">
        <v>1.64</v>
      </c>
      <c r="D1233">
        <v>19.18</v>
      </c>
      <c r="E1233">
        <v>0.31</v>
      </c>
      <c r="F1233">
        <v>19.17</v>
      </c>
      <c r="G1233">
        <v>19.18</v>
      </c>
      <c r="H1233">
        <v>25289</v>
      </c>
      <c r="I1233">
        <v>469</v>
      </c>
      <c r="J1233">
        <v>-0.15</v>
      </c>
      <c r="K1233">
        <v>2.03</v>
      </c>
      <c r="L1233">
        <v>4846.8</v>
      </c>
      <c r="M1233" t="s">
        <v>790</v>
      </c>
      <c r="N1233" t="s">
        <v>140</v>
      </c>
      <c r="O1233">
        <v>18.87</v>
      </c>
      <c r="P1233">
        <v>19.46</v>
      </c>
      <c r="Q1233">
        <v>18.7</v>
      </c>
      <c r="R1233">
        <v>18.87</v>
      </c>
      <c r="S1233">
        <v>28.55</v>
      </c>
      <c r="T1233">
        <v>0.86</v>
      </c>
      <c r="U1233" t="s">
        <v>102</v>
      </c>
    </row>
    <row r="1234" spans="1:21">
      <c r="A1234" t="str">
        <f>"002779"</f>
        <v>002779</v>
      </c>
      <c r="B1234" t="s">
        <v>2583</v>
      </c>
      <c r="C1234">
        <v>10.02</v>
      </c>
      <c r="D1234">
        <v>17.24</v>
      </c>
      <c r="E1234">
        <v>1.57</v>
      </c>
      <c r="F1234">
        <v>17.24</v>
      </c>
      <c r="G1234" t="s">
        <v>40</v>
      </c>
      <c r="H1234">
        <v>37758</v>
      </c>
      <c r="I1234">
        <v>428</v>
      </c>
      <c r="J1234">
        <v>0</v>
      </c>
      <c r="K1234">
        <v>3.19</v>
      </c>
      <c r="L1234">
        <v>6350.95</v>
      </c>
      <c r="M1234" t="s">
        <v>2584</v>
      </c>
      <c r="N1234" t="s">
        <v>786</v>
      </c>
      <c r="O1234">
        <v>15.67</v>
      </c>
      <c r="P1234">
        <v>17.24</v>
      </c>
      <c r="Q1234">
        <v>15.65</v>
      </c>
      <c r="R1234">
        <v>15.67</v>
      </c>
      <c r="S1234">
        <v>122.17</v>
      </c>
      <c r="T1234">
        <v>1.21</v>
      </c>
      <c r="U1234" t="s">
        <v>200</v>
      </c>
    </row>
    <row r="1235" spans="1:21">
      <c r="A1235" t="str">
        <f>"002780"</f>
        <v>002780</v>
      </c>
      <c r="B1235" t="s">
        <v>2585</v>
      </c>
      <c r="C1235">
        <v>-1.69</v>
      </c>
      <c r="D1235">
        <v>18</v>
      </c>
      <c r="E1235">
        <v>-0.31</v>
      </c>
      <c r="F1235">
        <v>18</v>
      </c>
      <c r="G1235">
        <v>18.01</v>
      </c>
      <c r="H1235">
        <v>27181</v>
      </c>
      <c r="I1235">
        <v>215</v>
      </c>
      <c r="J1235">
        <v>-0.05</v>
      </c>
      <c r="K1235">
        <v>2.36</v>
      </c>
      <c r="L1235">
        <v>4916.75</v>
      </c>
      <c r="M1235" t="s">
        <v>2586</v>
      </c>
      <c r="N1235" t="s">
        <v>66</v>
      </c>
      <c r="O1235">
        <v>18.3</v>
      </c>
      <c r="P1235">
        <v>18.43</v>
      </c>
      <c r="Q1235">
        <v>17.93</v>
      </c>
      <c r="R1235">
        <v>18.31</v>
      </c>
      <c r="S1235" t="s">
        <v>40</v>
      </c>
      <c r="T1235">
        <v>1.11</v>
      </c>
      <c r="U1235" t="s">
        <v>44</v>
      </c>
    </row>
    <row r="1236" spans="1:21">
      <c r="A1236" t="str">
        <f>"002781"</f>
        <v>002781</v>
      </c>
      <c r="B1236" t="s">
        <v>2587</v>
      </c>
      <c r="C1236">
        <v>1.98</v>
      </c>
      <c r="D1236">
        <v>6.18</v>
      </c>
      <c r="E1236">
        <v>0.12</v>
      </c>
      <c r="F1236">
        <v>6.17</v>
      </c>
      <c r="G1236">
        <v>6.18</v>
      </c>
      <c r="H1236">
        <v>17624</v>
      </c>
      <c r="I1236">
        <v>258</v>
      </c>
      <c r="J1236">
        <v>0.16</v>
      </c>
      <c r="K1236">
        <v>0.79</v>
      </c>
      <c r="L1236">
        <v>1082.6</v>
      </c>
      <c r="M1236" t="s">
        <v>2588</v>
      </c>
      <c r="N1236" t="s">
        <v>1189</v>
      </c>
      <c r="O1236">
        <v>6.06</v>
      </c>
      <c r="P1236">
        <v>6.19</v>
      </c>
      <c r="Q1236">
        <v>6.06</v>
      </c>
      <c r="R1236">
        <v>6.06</v>
      </c>
      <c r="S1236" t="s">
        <v>40</v>
      </c>
      <c r="T1236">
        <v>0.95</v>
      </c>
      <c r="U1236" t="s">
        <v>24</v>
      </c>
    </row>
    <row r="1237" spans="1:21">
      <c r="A1237" t="str">
        <f>"002782"</f>
        <v>002782</v>
      </c>
      <c r="B1237" t="s">
        <v>2589</v>
      </c>
      <c r="C1237">
        <v>-2.65</v>
      </c>
      <c r="D1237">
        <v>14.3</v>
      </c>
      <c r="E1237">
        <v>-0.39</v>
      </c>
      <c r="F1237">
        <v>14.3</v>
      </c>
      <c r="G1237">
        <v>14.31</v>
      </c>
      <c r="H1237">
        <v>131720</v>
      </c>
      <c r="I1237">
        <v>2074</v>
      </c>
      <c r="J1237">
        <v>0.21</v>
      </c>
      <c r="K1237">
        <v>2.81</v>
      </c>
      <c r="L1237">
        <v>18912.53</v>
      </c>
      <c r="M1237" t="s">
        <v>2590</v>
      </c>
      <c r="N1237" t="s">
        <v>47</v>
      </c>
      <c r="O1237">
        <v>14.77</v>
      </c>
      <c r="P1237">
        <v>14.82</v>
      </c>
      <c r="Q1237">
        <v>14.2</v>
      </c>
      <c r="R1237">
        <v>14.69</v>
      </c>
      <c r="S1237">
        <v>74.73</v>
      </c>
      <c r="T1237">
        <v>0.56</v>
      </c>
      <c r="U1237" t="s">
        <v>24</v>
      </c>
    </row>
    <row r="1238" spans="1:21">
      <c r="A1238" t="str">
        <f>"002783"</f>
        <v>002783</v>
      </c>
      <c r="B1238" t="s">
        <v>2591</v>
      </c>
      <c r="C1238">
        <v>3.35</v>
      </c>
      <c r="D1238">
        <v>9.88</v>
      </c>
      <c r="E1238">
        <v>0.32</v>
      </c>
      <c r="F1238">
        <v>9.88</v>
      </c>
      <c r="G1238">
        <v>9.89</v>
      </c>
      <c r="H1238">
        <v>137388</v>
      </c>
      <c r="I1238">
        <v>1334</v>
      </c>
      <c r="J1238">
        <v>-0.09</v>
      </c>
      <c r="K1238">
        <v>4.2</v>
      </c>
      <c r="L1238">
        <v>13404.13</v>
      </c>
      <c r="M1238" t="s">
        <v>2592</v>
      </c>
      <c r="N1238" t="s">
        <v>309</v>
      </c>
      <c r="O1238">
        <v>9.52</v>
      </c>
      <c r="P1238">
        <v>9.94</v>
      </c>
      <c r="Q1238">
        <v>9.37</v>
      </c>
      <c r="R1238">
        <v>9.56</v>
      </c>
      <c r="S1238">
        <v>87.78</v>
      </c>
      <c r="T1238">
        <v>1.33</v>
      </c>
      <c r="U1238" t="s">
        <v>267</v>
      </c>
    </row>
    <row r="1239" spans="1:21">
      <c r="A1239" t="str">
        <f>"002785"</f>
        <v>002785</v>
      </c>
      <c r="B1239" t="s">
        <v>2593</v>
      </c>
      <c r="C1239">
        <v>-2.82</v>
      </c>
      <c r="D1239">
        <v>31</v>
      </c>
      <c r="E1239">
        <v>-0.9</v>
      </c>
      <c r="F1239">
        <v>31</v>
      </c>
      <c r="G1239">
        <v>31.01</v>
      </c>
      <c r="H1239">
        <v>90864</v>
      </c>
      <c r="I1239">
        <v>563</v>
      </c>
      <c r="J1239">
        <v>-0.02</v>
      </c>
      <c r="K1239">
        <v>5.58</v>
      </c>
      <c r="L1239">
        <v>28399.64</v>
      </c>
      <c r="M1239" t="s">
        <v>2594</v>
      </c>
      <c r="N1239" t="s">
        <v>131</v>
      </c>
      <c r="O1239">
        <v>32</v>
      </c>
      <c r="P1239">
        <v>32.16</v>
      </c>
      <c r="Q1239">
        <v>30.8</v>
      </c>
      <c r="R1239">
        <v>31.9</v>
      </c>
      <c r="S1239">
        <v>271.97</v>
      </c>
      <c r="T1239">
        <v>1.08</v>
      </c>
      <c r="U1239" t="s">
        <v>339</v>
      </c>
    </row>
    <row r="1240" spans="1:21">
      <c r="A1240" t="str">
        <f>"002786"</f>
        <v>002786</v>
      </c>
      <c r="B1240" t="s">
        <v>2595</v>
      </c>
      <c r="C1240">
        <v>0.46</v>
      </c>
      <c r="D1240">
        <v>6.59</v>
      </c>
      <c r="E1240">
        <v>0.03</v>
      </c>
      <c r="F1240">
        <v>6.58</v>
      </c>
      <c r="G1240">
        <v>6.59</v>
      </c>
      <c r="H1240">
        <v>192866</v>
      </c>
      <c r="I1240">
        <v>1421</v>
      </c>
      <c r="J1240">
        <v>0.3</v>
      </c>
      <c r="K1240">
        <v>3.9</v>
      </c>
      <c r="L1240">
        <v>13017.94</v>
      </c>
      <c r="M1240" t="s">
        <v>2596</v>
      </c>
      <c r="N1240" t="s">
        <v>324</v>
      </c>
      <c r="O1240">
        <v>6.8</v>
      </c>
      <c r="P1240">
        <v>7.15</v>
      </c>
      <c r="Q1240">
        <v>6.53</v>
      </c>
      <c r="R1240">
        <v>6.56</v>
      </c>
      <c r="S1240" t="s">
        <v>40</v>
      </c>
      <c r="T1240">
        <v>2.62</v>
      </c>
      <c r="U1240" t="s">
        <v>24</v>
      </c>
    </row>
    <row r="1241" spans="1:21">
      <c r="A1241" t="str">
        <f>"002787"</f>
        <v>002787</v>
      </c>
      <c r="B1241" t="s">
        <v>2597</v>
      </c>
      <c r="C1241">
        <v>1.04</v>
      </c>
      <c r="D1241">
        <v>5.82</v>
      </c>
      <c r="E1241">
        <v>0.06</v>
      </c>
      <c r="F1241">
        <v>5.82</v>
      </c>
      <c r="G1241">
        <v>5.85</v>
      </c>
      <c r="H1241">
        <v>35960</v>
      </c>
      <c r="I1241">
        <v>255</v>
      </c>
      <c r="J1241">
        <v>-0.5</v>
      </c>
      <c r="K1241">
        <v>2.01</v>
      </c>
      <c r="L1241">
        <v>2083.14</v>
      </c>
      <c r="M1241" t="s">
        <v>2598</v>
      </c>
      <c r="N1241" t="s">
        <v>482</v>
      </c>
      <c r="O1241">
        <v>5.76</v>
      </c>
      <c r="P1241">
        <v>5.89</v>
      </c>
      <c r="Q1241">
        <v>5.7</v>
      </c>
      <c r="R1241">
        <v>5.76</v>
      </c>
      <c r="S1241">
        <v>22.97</v>
      </c>
      <c r="T1241">
        <v>1.53</v>
      </c>
      <c r="U1241" t="s">
        <v>102</v>
      </c>
    </row>
    <row r="1242" spans="1:21">
      <c r="A1242" t="str">
        <f>"002788"</f>
        <v>002788</v>
      </c>
      <c r="B1242" t="s">
        <v>2599</v>
      </c>
      <c r="C1242">
        <v>0.99</v>
      </c>
      <c r="D1242">
        <v>7.16</v>
      </c>
      <c r="E1242">
        <v>0.07</v>
      </c>
      <c r="F1242">
        <v>7.15</v>
      </c>
      <c r="G1242">
        <v>7.16</v>
      </c>
      <c r="H1242">
        <v>21844</v>
      </c>
      <c r="I1242">
        <v>157</v>
      </c>
      <c r="J1242">
        <v>-0.27</v>
      </c>
      <c r="K1242">
        <v>0.58</v>
      </c>
      <c r="L1242">
        <v>1553.69</v>
      </c>
      <c r="M1242" t="s">
        <v>2600</v>
      </c>
      <c r="N1242" t="s">
        <v>86</v>
      </c>
      <c r="O1242">
        <v>7.09</v>
      </c>
      <c r="P1242">
        <v>7.18</v>
      </c>
      <c r="Q1242">
        <v>7.05</v>
      </c>
      <c r="R1242">
        <v>7.09</v>
      </c>
      <c r="S1242">
        <v>9.13</v>
      </c>
      <c r="T1242">
        <v>1.18</v>
      </c>
      <c r="U1242" t="s">
        <v>339</v>
      </c>
    </row>
    <row r="1243" spans="1:21">
      <c r="A1243" t="str">
        <f>"002789"</f>
        <v>002789</v>
      </c>
      <c r="B1243" t="s">
        <v>2601</v>
      </c>
      <c r="C1243">
        <v>1.03</v>
      </c>
      <c r="D1243">
        <v>10.83</v>
      </c>
      <c r="E1243">
        <v>0.11</v>
      </c>
      <c r="F1243">
        <v>10.82</v>
      </c>
      <c r="G1243">
        <v>10.83</v>
      </c>
      <c r="H1243">
        <v>21387</v>
      </c>
      <c r="I1243">
        <v>311</v>
      </c>
      <c r="J1243">
        <v>0.19</v>
      </c>
      <c r="K1243">
        <v>2.46</v>
      </c>
      <c r="L1243">
        <v>2322.07</v>
      </c>
      <c r="M1243" t="s">
        <v>2602</v>
      </c>
      <c r="N1243" t="s">
        <v>1189</v>
      </c>
      <c r="O1243">
        <v>10.72</v>
      </c>
      <c r="P1243">
        <v>11.05</v>
      </c>
      <c r="Q1243">
        <v>10.68</v>
      </c>
      <c r="R1243">
        <v>10.72</v>
      </c>
      <c r="S1243">
        <v>52.79</v>
      </c>
      <c r="T1243">
        <v>1.1</v>
      </c>
      <c r="U1243" t="s">
        <v>24</v>
      </c>
    </row>
    <row r="1244" spans="1:21">
      <c r="A1244" t="str">
        <f>"002790"</f>
        <v>002790</v>
      </c>
      <c r="B1244" t="s">
        <v>2603</v>
      </c>
      <c r="C1244">
        <v>9.07</v>
      </c>
      <c r="D1244">
        <v>9.5</v>
      </c>
      <c r="E1244">
        <v>0.79</v>
      </c>
      <c r="F1244">
        <v>9.49</v>
      </c>
      <c r="G1244">
        <v>9.5</v>
      </c>
      <c r="H1244">
        <v>156701</v>
      </c>
      <c r="I1244">
        <v>1217</v>
      </c>
      <c r="J1244">
        <v>0</v>
      </c>
      <c r="K1244">
        <v>6.13</v>
      </c>
      <c r="L1244">
        <v>14500.44</v>
      </c>
      <c r="M1244" t="s">
        <v>2604</v>
      </c>
      <c r="N1244" t="s">
        <v>910</v>
      </c>
      <c r="O1244">
        <v>8.66</v>
      </c>
      <c r="P1244">
        <v>9.53</v>
      </c>
      <c r="Q1244">
        <v>8.62</v>
      </c>
      <c r="R1244">
        <v>8.71</v>
      </c>
      <c r="S1244">
        <v>26.73</v>
      </c>
      <c r="T1244">
        <v>0.79</v>
      </c>
      <c r="U1244" t="s">
        <v>339</v>
      </c>
    </row>
    <row r="1245" spans="1:21">
      <c r="A1245" t="str">
        <f>"002791"</f>
        <v>002791</v>
      </c>
      <c r="B1245" t="s">
        <v>2605</v>
      </c>
      <c r="C1245">
        <v>5.61</v>
      </c>
      <c r="D1245">
        <v>160</v>
      </c>
      <c r="E1245">
        <v>8.5</v>
      </c>
      <c r="F1245">
        <v>159.9</v>
      </c>
      <c r="G1245">
        <v>160</v>
      </c>
      <c r="H1245">
        <v>34474</v>
      </c>
      <c r="I1245">
        <v>641</v>
      </c>
      <c r="J1245">
        <v>0.01</v>
      </c>
      <c r="K1245">
        <v>2.14</v>
      </c>
      <c r="L1245">
        <v>52629.27</v>
      </c>
      <c r="M1245" t="s">
        <v>2606</v>
      </c>
      <c r="N1245" t="s">
        <v>131</v>
      </c>
      <c r="O1245">
        <v>151</v>
      </c>
      <c r="P1245">
        <v>160.98</v>
      </c>
      <c r="Q1245">
        <v>146.6</v>
      </c>
      <c r="R1245">
        <v>151.5</v>
      </c>
      <c r="S1245">
        <v>54.74</v>
      </c>
      <c r="T1245">
        <v>1.53</v>
      </c>
      <c r="U1245" t="s">
        <v>183</v>
      </c>
    </row>
    <row r="1246" spans="1:21">
      <c r="A1246" t="str">
        <f>"002792"</f>
        <v>002792</v>
      </c>
      <c r="B1246" t="s">
        <v>2607</v>
      </c>
      <c r="C1246">
        <v>2.45</v>
      </c>
      <c r="D1246">
        <v>15.88</v>
      </c>
      <c r="E1246">
        <v>0.38</v>
      </c>
      <c r="F1246">
        <v>15.88</v>
      </c>
      <c r="G1246">
        <v>15.89</v>
      </c>
      <c r="H1246">
        <v>19834</v>
      </c>
      <c r="I1246">
        <v>193</v>
      </c>
      <c r="J1246">
        <v>-0.18</v>
      </c>
      <c r="K1246">
        <v>1.12</v>
      </c>
      <c r="L1246">
        <v>3134.26</v>
      </c>
      <c r="M1246" t="s">
        <v>2608</v>
      </c>
      <c r="N1246" t="s">
        <v>153</v>
      </c>
      <c r="O1246">
        <v>15.5</v>
      </c>
      <c r="P1246">
        <v>15.93</v>
      </c>
      <c r="Q1246">
        <v>15.5</v>
      </c>
      <c r="R1246">
        <v>15.5</v>
      </c>
      <c r="S1246">
        <v>50.01</v>
      </c>
      <c r="T1246">
        <v>1.22</v>
      </c>
      <c r="U1246" t="s">
        <v>183</v>
      </c>
    </row>
    <row r="1247" spans="1:21">
      <c r="A1247" t="str">
        <f>"002793"</f>
        <v>002793</v>
      </c>
      <c r="B1247" t="s">
        <v>2609</v>
      </c>
      <c r="C1247">
        <v>0.1</v>
      </c>
      <c r="D1247">
        <v>9.54</v>
      </c>
      <c r="E1247">
        <v>0.01</v>
      </c>
      <c r="F1247">
        <v>9.53</v>
      </c>
      <c r="G1247">
        <v>9.54</v>
      </c>
      <c r="H1247">
        <v>17424</v>
      </c>
      <c r="I1247">
        <v>557</v>
      </c>
      <c r="J1247">
        <v>0.1</v>
      </c>
      <c r="K1247">
        <v>0.46</v>
      </c>
      <c r="L1247">
        <v>1652.89</v>
      </c>
      <c r="M1247" t="s">
        <v>2610</v>
      </c>
      <c r="N1247" t="s">
        <v>192</v>
      </c>
      <c r="O1247">
        <v>9.5</v>
      </c>
      <c r="P1247">
        <v>9.57</v>
      </c>
      <c r="Q1247">
        <v>9.4</v>
      </c>
      <c r="R1247">
        <v>9.53</v>
      </c>
      <c r="S1247">
        <v>24.01</v>
      </c>
      <c r="T1247">
        <v>0.75</v>
      </c>
      <c r="U1247" t="s">
        <v>200</v>
      </c>
    </row>
    <row r="1248" spans="1:21">
      <c r="A1248" t="str">
        <f>"002795"</f>
        <v>002795</v>
      </c>
      <c r="B1248" t="s">
        <v>2611</v>
      </c>
      <c r="C1248">
        <v>1.72</v>
      </c>
      <c r="D1248">
        <v>11.25</v>
      </c>
      <c r="E1248">
        <v>0.19</v>
      </c>
      <c r="F1248">
        <v>11.24</v>
      </c>
      <c r="G1248">
        <v>11.25</v>
      </c>
      <c r="H1248">
        <v>33398</v>
      </c>
      <c r="I1248">
        <v>504</v>
      </c>
      <c r="J1248">
        <v>0.09</v>
      </c>
      <c r="K1248">
        <v>2.36</v>
      </c>
      <c r="L1248">
        <v>3766.63</v>
      </c>
      <c r="M1248" t="s">
        <v>2612</v>
      </c>
      <c r="N1248" t="s">
        <v>347</v>
      </c>
      <c r="O1248">
        <v>11.08</v>
      </c>
      <c r="P1248">
        <v>11.49</v>
      </c>
      <c r="Q1248">
        <v>11.06</v>
      </c>
      <c r="R1248">
        <v>11.06</v>
      </c>
      <c r="S1248">
        <v>62.35</v>
      </c>
      <c r="T1248">
        <v>1.53</v>
      </c>
      <c r="U1248" t="s">
        <v>200</v>
      </c>
    </row>
    <row r="1249" spans="1:21">
      <c r="A1249" t="str">
        <f>"002796"</f>
        <v>002796</v>
      </c>
      <c r="B1249" t="s">
        <v>2613</v>
      </c>
      <c r="C1249">
        <v>-0.24</v>
      </c>
      <c r="D1249">
        <v>8.36</v>
      </c>
      <c r="E1249">
        <v>-0.02</v>
      </c>
      <c r="F1249">
        <v>8.36</v>
      </c>
      <c r="G1249">
        <v>8.37</v>
      </c>
      <c r="H1249">
        <v>20270</v>
      </c>
      <c r="I1249">
        <v>316</v>
      </c>
      <c r="J1249">
        <v>-0.11</v>
      </c>
      <c r="K1249">
        <v>0.92</v>
      </c>
      <c r="L1249">
        <v>1701.41</v>
      </c>
      <c r="M1249" t="s">
        <v>2614</v>
      </c>
      <c r="N1249" t="s">
        <v>153</v>
      </c>
      <c r="O1249">
        <v>8.34</v>
      </c>
      <c r="P1249">
        <v>8.48</v>
      </c>
      <c r="Q1249">
        <v>8.31</v>
      </c>
      <c r="R1249">
        <v>8.38</v>
      </c>
      <c r="S1249" t="s">
        <v>40</v>
      </c>
      <c r="T1249">
        <v>0.49</v>
      </c>
      <c r="U1249" t="s">
        <v>102</v>
      </c>
    </row>
    <row r="1250" spans="1:21">
      <c r="A1250" t="str">
        <f>"002797"</f>
        <v>002797</v>
      </c>
      <c r="B1250" t="s">
        <v>2615</v>
      </c>
      <c r="C1250">
        <v>3.04</v>
      </c>
      <c r="D1250">
        <v>7.11</v>
      </c>
      <c r="E1250">
        <v>0.21</v>
      </c>
      <c r="F1250">
        <v>7.11</v>
      </c>
      <c r="G1250">
        <v>7.12</v>
      </c>
      <c r="H1250">
        <v>720108</v>
      </c>
      <c r="I1250">
        <v>8213</v>
      </c>
      <c r="J1250">
        <v>0</v>
      </c>
      <c r="K1250">
        <v>1.74</v>
      </c>
      <c r="L1250">
        <v>50705.08</v>
      </c>
      <c r="M1250" t="s">
        <v>2616</v>
      </c>
      <c r="N1250" t="s">
        <v>213</v>
      </c>
      <c r="O1250">
        <v>6.9</v>
      </c>
      <c r="P1250">
        <v>7.13</v>
      </c>
      <c r="Q1250">
        <v>6.9</v>
      </c>
      <c r="R1250">
        <v>6.9</v>
      </c>
      <c r="S1250">
        <v>35.85</v>
      </c>
      <c r="T1250">
        <v>1.35</v>
      </c>
      <c r="U1250" t="s">
        <v>24</v>
      </c>
    </row>
    <row r="1251" spans="1:21">
      <c r="A1251" t="str">
        <f>"002798"</f>
        <v>002798</v>
      </c>
      <c r="B1251" t="s">
        <v>2617</v>
      </c>
      <c r="C1251">
        <v>2.2</v>
      </c>
      <c r="D1251">
        <v>14.39</v>
      </c>
      <c r="E1251">
        <v>0.31</v>
      </c>
      <c r="F1251">
        <v>14.38</v>
      </c>
      <c r="G1251">
        <v>14.39</v>
      </c>
      <c r="H1251">
        <v>57337</v>
      </c>
      <c r="I1251">
        <v>799</v>
      </c>
      <c r="J1251">
        <v>0.14</v>
      </c>
      <c r="K1251">
        <v>2.53</v>
      </c>
      <c r="L1251">
        <v>8169.89</v>
      </c>
      <c r="M1251" t="s">
        <v>2095</v>
      </c>
      <c r="N1251" t="s">
        <v>910</v>
      </c>
      <c r="O1251">
        <v>14.07</v>
      </c>
      <c r="P1251">
        <v>14.42</v>
      </c>
      <c r="Q1251">
        <v>14.03</v>
      </c>
      <c r="R1251">
        <v>14.08</v>
      </c>
      <c r="S1251">
        <v>11.95</v>
      </c>
      <c r="T1251">
        <v>0.63</v>
      </c>
      <c r="U1251" t="s">
        <v>196</v>
      </c>
    </row>
    <row r="1252" spans="1:21">
      <c r="A1252" t="str">
        <f>"002799"</f>
        <v>002799</v>
      </c>
      <c r="B1252" t="s">
        <v>2618</v>
      </c>
      <c r="C1252">
        <v>1.13</v>
      </c>
      <c r="D1252">
        <v>10.74</v>
      </c>
      <c r="E1252">
        <v>0.12</v>
      </c>
      <c r="F1252">
        <v>10.73</v>
      </c>
      <c r="G1252">
        <v>10.74</v>
      </c>
      <c r="H1252">
        <v>14182</v>
      </c>
      <c r="I1252">
        <v>138</v>
      </c>
      <c r="J1252">
        <v>0.19</v>
      </c>
      <c r="K1252">
        <v>0.56</v>
      </c>
      <c r="L1252">
        <v>1514.34</v>
      </c>
      <c r="M1252" t="s">
        <v>2619</v>
      </c>
      <c r="N1252" t="s">
        <v>482</v>
      </c>
      <c r="O1252">
        <v>10.67</v>
      </c>
      <c r="P1252">
        <v>10.79</v>
      </c>
      <c r="Q1252">
        <v>10.53</v>
      </c>
      <c r="R1252">
        <v>10.62</v>
      </c>
      <c r="S1252">
        <v>19.99</v>
      </c>
      <c r="T1252">
        <v>1.02</v>
      </c>
      <c r="U1252" t="s">
        <v>317</v>
      </c>
    </row>
    <row r="1253" spans="1:21">
      <c r="A1253" t="str">
        <f>"002800"</f>
        <v>002800</v>
      </c>
      <c r="B1253" t="s">
        <v>2620</v>
      </c>
      <c r="C1253">
        <v>1.14</v>
      </c>
      <c r="D1253">
        <v>14.24</v>
      </c>
      <c r="E1253">
        <v>0.16</v>
      </c>
      <c r="F1253">
        <v>14.24</v>
      </c>
      <c r="G1253">
        <v>14.26</v>
      </c>
      <c r="H1253">
        <v>16879</v>
      </c>
      <c r="I1253">
        <v>167</v>
      </c>
      <c r="J1253">
        <v>0</v>
      </c>
      <c r="K1253">
        <v>1.68</v>
      </c>
      <c r="L1253">
        <v>2399.37</v>
      </c>
      <c r="M1253" t="s">
        <v>2621</v>
      </c>
      <c r="N1253" t="s">
        <v>1049</v>
      </c>
      <c r="O1253">
        <v>14.08</v>
      </c>
      <c r="P1253">
        <v>14.34</v>
      </c>
      <c r="Q1253">
        <v>13.99</v>
      </c>
      <c r="R1253">
        <v>14.08</v>
      </c>
      <c r="S1253">
        <v>33.83</v>
      </c>
      <c r="T1253">
        <v>1.15</v>
      </c>
      <c r="U1253" t="s">
        <v>210</v>
      </c>
    </row>
    <row r="1254" spans="1:21">
      <c r="A1254" t="str">
        <f>"002801"</f>
        <v>002801</v>
      </c>
      <c r="B1254" t="s">
        <v>2622</v>
      </c>
      <c r="C1254">
        <v>0.27</v>
      </c>
      <c r="D1254">
        <v>18.59</v>
      </c>
      <c r="E1254">
        <v>0.05</v>
      </c>
      <c r="F1254">
        <v>18.58</v>
      </c>
      <c r="G1254">
        <v>18.59</v>
      </c>
      <c r="H1254">
        <v>20156</v>
      </c>
      <c r="I1254">
        <v>260</v>
      </c>
      <c r="J1254">
        <v>-0.04</v>
      </c>
      <c r="K1254">
        <v>1.78</v>
      </c>
      <c r="L1254">
        <v>3711.46</v>
      </c>
      <c r="M1254" t="s">
        <v>2623</v>
      </c>
      <c r="N1254" t="s">
        <v>47</v>
      </c>
      <c r="O1254">
        <v>18.41</v>
      </c>
      <c r="P1254">
        <v>18.67</v>
      </c>
      <c r="Q1254">
        <v>18.16</v>
      </c>
      <c r="R1254">
        <v>18.54</v>
      </c>
      <c r="S1254">
        <v>18.94</v>
      </c>
      <c r="T1254">
        <v>0.64</v>
      </c>
      <c r="U1254" t="s">
        <v>200</v>
      </c>
    </row>
    <row r="1255" spans="1:21">
      <c r="A1255" t="str">
        <f>"002802"</f>
        <v>002802</v>
      </c>
      <c r="B1255" t="s">
        <v>2624</v>
      </c>
      <c r="C1255">
        <v>1.76</v>
      </c>
      <c r="D1255">
        <v>21.97</v>
      </c>
      <c r="E1255">
        <v>0.38</v>
      </c>
      <c r="F1255">
        <v>21.97</v>
      </c>
      <c r="G1255">
        <v>21.99</v>
      </c>
      <c r="H1255">
        <v>13658</v>
      </c>
      <c r="I1255">
        <v>282</v>
      </c>
      <c r="J1255">
        <v>-0.17</v>
      </c>
      <c r="K1255">
        <v>1.28</v>
      </c>
      <c r="L1255">
        <v>3007.93</v>
      </c>
      <c r="M1255" t="s">
        <v>1763</v>
      </c>
      <c r="N1255" t="s">
        <v>309</v>
      </c>
      <c r="O1255">
        <v>21.59</v>
      </c>
      <c r="P1255">
        <v>22.3</v>
      </c>
      <c r="Q1255">
        <v>21.47</v>
      </c>
      <c r="R1255">
        <v>21.59</v>
      </c>
      <c r="S1255">
        <v>30.53</v>
      </c>
      <c r="T1255">
        <v>0.92</v>
      </c>
      <c r="U1255" t="s">
        <v>102</v>
      </c>
    </row>
    <row r="1256" spans="1:21">
      <c r="A1256" t="str">
        <f>"002803"</f>
        <v>002803</v>
      </c>
      <c r="B1256" t="s">
        <v>2625</v>
      </c>
      <c r="C1256">
        <v>1.22</v>
      </c>
      <c r="D1256">
        <v>16.59</v>
      </c>
      <c r="E1256">
        <v>0.2</v>
      </c>
      <c r="F1256">
        <v>16.58</v>
      </c>
      <c r="G1256">
        <v>16.59</v>
      </c>
      <c r="H1256">
        <v>35457</v>
      </c>
      <c r="I1256">
        <v>560</v>
      </c>
      <c r="J1256">
        <v>0</v>
      </c>
      <c r="K1256">
        <v>1.25</v>
      </c>
      <c r="L1256">
        <v>5854.14</v>
      </c>
      <c r="M1256" t="s">
        <v>2626</v>
      </c>
      <c r="N1256" t="s">
        <v>479</v>
      </c>
      <c r="O1256">
        <v>16.48</v>
      </c>
      <c r="P1256">
        <v>16.7</v>
      </c>
      <c r="Q1256">
        <v>16.31</v>
      </c>
      <c r="R1256">
        <v>16.39</v>
      </c>
      <c r="S1256">
        <v>19.46</v>
      </c>
      <c r="T1256">
        <v>0.59</v>
      </c>
      <c r="U1256" t="s">
        <v>339</v>
      </c>
    </row>
    <row r="1257" spans="1:21">
      <c r="A1257" t="str">
        <f>"002805"</f>
        <v>002805</v>
      </c>
      <c r="B1257" t="s">
        <v>2627</v>
      </c>
      <c r="C1257">
        <v>-0.55</v>
      </c>
      <c r="D1257">
        <v>34.31</v>
      </c>
      <c r="E1257">
        <v>-0.19</v>
      </c>
      <c r="F1257">
        <v>34.31</v>
      </c>
      <c r="G1257">
        <v>34.34</v>
      </c>
      <c r="H1257">
        <v>64352</v>
      </c>
      <c r="I1257">
        <v>777</v>
      </c>
      <c r="J1257">
        <v>0.03</v>
      </c>
      <c r="K1257">
        <v>6.62</v>
      </c>
      <c r="L1257">
        <v>22143.67</v>
      </c>
      <c r="M1257" t="s">
        <v>2628</v>
      </c>
      <c r="N1257" t="s">
        <v>309</v>
      </c>
      <c r="O1257">
        <v>34.6</v>
      </c>
      <c r="P1257">
        <v>35.4</v>
      </c>
      <c r="Q1257">
        <v>33.9</v>
      </c>
      <c r="R1257">
        <v>34.5</v>
      </c>
      <c r="S1257">
        <v>118.33</v>
      </c>
      <c r="T1257">
        <v>0.59</v>
      </c>
      <c r="U1257" t="s">
        <v>221</v>
      </c>
    </row>
    <row r="1258" spans="1:21">
      <c r="A1258" t="str">
        <f>"002806"</f>
        <v>002806</v>
      </c>
      <c r="B1258" t="s">
        <v>2629</v>
      </c>
      <c r="C1258">
        <v>1.17</v>
      </c>
      <c r="D1258">
        <v>16.39</v>
      </c>
      <c r="E1258">
        <v>0.19</v>
      </c>
      <c r="F1258">
        <v>16.38</v>
      </c>
      <c r="G1258">
        <v>16.39</v>
      </c>
      <c r="H1258">
        <v>98313</v>
      </c>
      <c r="I1258">
        <v>1411</v>
      </c>
      <c r="J1258">
        <v>-0.35</v>
      </c>
      <c r="K1258">
        <v>7.8</v>
      </c>
      <c r="L1258">
        <v>16053.89</v>
      </c>
      <c r="M1258" t="s">
        <v>2630</v>
      </c>
      <c r="N1258" t="s">
        <v>494</v>
      </c>
      <c r="O1258">
        <v>16.18</v>
      </c>
      <c r="P1258">
        <v>16.66</v>
      </c>
      <c r="Q1258">
        <v>15.83</v>
      </c>
      <c r="R1258">
        <v>16.2</v>
      </c>
      <c r="S1258">
        <v>123.97</v>
      </c>
      <c r="T1258">
        <v>0.86</v>
      </c>
      <c r="U1258" t="s">
        <v>183</v>
      </c>
    </row>
    <row r="1259" spans="1:21">
      <c r="A1259" t="str">
        <f>"002807"</f>
        <v>002807</v>
      </c>
      <c r="B1259" t="s">
        <v>2631</v>
      </c>
      <c r="C1259">
        <v>0.53</v>
      </c>
      <c r="D1259">
        <v>3.77</v>
      </c>
      <c r="E1259">
        <v>0.02</v>
      </c>
      <c r="F1259">
        <v>3.77</v>
      </c>
      <c r="G1259">
        <v>3.78</v>
      </c>
      <c r="H1259">
        <v>85743</v>
      </c>
      <c r="I1259">
        <v>827</v>
      </c>
      <c r="J1259">
        <v>0</v>
      </c>
      <c r="K1259">
        <v>0.4</v>
      </c>
      <c r="L1259">
        <v>3218.03</v>
      </c>
      <c r="M1259" t="s">
        <v>2632</v>
      </c>
      <c r="N1259" t="s">
        <v>23</v>
      </c>
      <c r="O1259">
        <v>3.75</v>
      </c>
      <c r="P1259">
        <v>3.78</v>
      </c>
      <c r="Q1259">
        <v>3.74</v>
      </c>
      <c r="R1259">
        <v>3.75</v>
      </c>
      <c r="S1259">
        <v>8.2</v>
      </c>
      <c r="T1259">
        <v>1.26</v>
      </c>
      <c r="U1259" t="s">
        <v>102</v>
      </c>
    </row>
    <row r="1260" spans="1:21">
      <c r="A1260" t="str">
        <f>"002808"</f>
        <v>002808</v>
      </c>
      <c r="B1260" t="s">
        <v>2633</v>
      </c>
      <c r="C1260">
        <v>2.01</v>
      </c>
      <c r="D1260">
        <v>7.61</v>
      </c>
      <c r="E1260">
        <v>0.15</v>
      </c>
      <c r="F1260">
        <v>7.6</v>
      </c>
      <c r="G1260">
        <v>7.61</v>
      </c>
      <c r="H1260">
        <v>35631</v>
      </c>
      <c r="I1260">
        <v>874</v>
      </c>
      <c r="J1260">
        <v>0.26</v>
      </c>
      <c r="K1260">
        <v>2.08</v>
      </c>
      <c r="L1260">
        <v>2691.24</v>
      </c>
      <c r="M1260" t="s">
        <v>2634</v>
      </c>
      <c r="N1260" t="s">
        <v>69</v>
      </c>
      <c r="O1260">
        <v>7.45</v>
      </c>
      <c r="P1260">
        <v>7.67</v>
      </c>
      <c r="Q1260">
        <v>7.4</v>
      </c>
      <c r="R1260">
        <v>7.46</v>
      </c>
      <c r="S1260">
        <v>152.74</v>
      </c>
      <c r="T1260">
        <v>1.2</v>
      </c>
      <c r="U1260" t="s">
        <v>102</v>
      </c>
    </row>
    <row r="1261" spans="1:21">
      <c r="A1261" t="str">
        <f>"002809"</f>
        <v>002809</v>
      </c>
      <c r="B1261" t="s">
        <v>2635</v>
      </c>
      <c r="C1261">
        <v>2.57</v>
      </c>
      <c r="D1261">
        <v>9.98</v>
      </c>
      <c r="E1261">
        <v>0.25</v>
      </c>
      <c r="F1261">
        <v>9.98</v>
      </c>
      <c r="G1261">
        <v>9.99</v>
      </c>
      <c r="H1261">
        <v>17421</v>
      </c>
      <c r="I1261">
        <v>224</v>
      </c>
      <c r="J1261">
        <v>0.1</v>
      </c>
      <c r="K1261">
        <v>1.3</v>
      </c>
      <c r="L1261">
        <v>1724.27</v>
      </c>
      <c r="M1261" t="s">
        <v>2636</v>
      </c>
      <c r="N1261" t="s">
        <v>309</v>
      </c>
      <c r="O1261">
        <v>9.73</v>
      </c>
      <c r="P1261">
        <v>9.99</v>
      </c>
      <c r="Q1261">
        <v>9.72</v>
      </c>
      <c r="R1261">
        <v>9.73</v>
      </c>
      <c r="S1261">
        <v>17.02</v>
      </c>
      <c r="T1261">
        <v>1.42</v>
      </c>
      <c r="U1261" t="s">
        <v>183</v>
      </c>
    </row>
    <row r="1262" spans="1:21">
      <c r="A1262" t="str">
        <f>"002810"</f>
        <v>002810</v>
      </c>
      <c r="B1262" t="s">
        <v>2637</v>
      </c>
      <c r="C1262">
        <v>7.93</v>
      </c>
      <c r="D1262">
        <v>58.41</v>
      </c>
      <c r="E1262">
        <v>4.29</v>
      </c>
      <c r="F1262">
        <v>58.4</v>
      </c>
      <c r="G1262">
        <v>58.41</v>
      </c>
      <c r="H1262">
        <v>32403</v>
      </c>
      <c r="I1262">
        <v>503</v>
      </c>
      <c r="J1262">
        <v>-0.06</v>
      </c>
      <c r="K1262">
        <v>1.03</v>
      </c>
      <c r="L1262">
        <v>18585.62</v>
      </c>
      <c r="M1262" t="s">
        <v>2638</v>
      </c>
      <c r="N1262" t="s">
        <v>309</v>
      </c>
      <c r="O1262">
        <v>54.12</v>
      </c>
      <c r="P1262">
        <v>58.6</v>
      </c>
      <c r="Q1262">
        <v>53.8</v>
      </c>
      <c r="R1262">
        <v>54.12</v>
      </c>
      <c r="S1262">
        <v>54.06</v>
      </c>
      <c r="T1262">
        <v>1.65</v>
      </c>
      <c r="U1262" t="s">
        <v>221</v>
      </c>
    </row>
    <row r="1263" spans="1:21">
      <c r="A1263" t="str">
        <f>"002811"</f>
        <v>002811</v>
      </c>
      <c r="B1263" t="s">
        <v>2639</v>
      </c>
      <c r="C1263">
        <v>0.23</v>
      </c>
      <c r="D1263">
        <v>8.55</v>
      </c>
      <c r="E1263">
        <v>0.02</v>
      </c>
      <c r="F1263">
        <v>8.54</v>
      </c>
      <c r="G1263">
        <v>8.55</v>
      </c>
      <c r="H1263">
        <v>24233</v>
      </c>
      <c r="I1263">
        <v>313</v>
      </c>
      <c r="J1263">
        <v>-0.22</v>
      </c>
      <c r="K1263">
        <v>1.01</v>
      </c>
      <c r="L1263">
        <v>2047.13</v>
      </c>
      <c r="M1263" t="s">
        <v>2640</v>
      </c>
      <c r="N1263" t="s">
        <v>1189</v>
      </c>
      <c r="O1263">
        <v>8.5</v>
      </c>
      <c r="P1263">
        <v>8.65</v>
      </c>
      <c r="Q1263">
        <v>8.27</v>
      </c>
      <c r="R1263">
        <v>8.53</v>
      </c>
      <c r="S1263">
        <v>44.42</v>
      </c>
      <c r="T1263">
        <v>0.78</v>
      </c>
      <c r="U1263" t="s">
        <v>24</v>
      </c>
    </row>
    <row r="1264" spans="1:21">
      <c r="A1264" t="str">
        <f>"002812"</f>
        <v>002812</v>
      </c>
      <c r="B1264" t="s">
        <v>2641</v>
      </c>
      <c r="C1264">
        <v>-2.8</v>
      </c>
      <c r="D1264">
        <v>259</v>
      </c>
      <c r="E1264">
        <v>-7.46</v>
      </c>
      <c r="F1264">
        <v>258.99</v>
      </c>
      <c r="G1264">
        <v>259</v>
      </c>
      <c r="H1264">
        <v>86771</v>
      </c>
      <c r="I1264">
        <v>995</v>
      </c>
      <c r="J1264">
        <v>0.36</v>
      </c>
      <c r="K1264">
        <v>1.01</v>
      </c>
      <c r="L1264">
        <v>226439.63</v>
      </c>
      <c r="M1264" t="s">
        <v>2642</v>
      </c>
      <c r="N1264" t="s">
        <v>47</v>
      </c>
      <c r="O1264">
        <v>267.97</v>
      </c>
      <c r="P1264">
        <v>273.56</v>
      </c>
      <c r="Q1264">
        <v>255.65</v>
      </c>
      <c r="R1264">
        <v>266.46</v>
      </c>
      <c r="S1264">
        <v>99.02</v>
      </c>
      <c r="T1264">
        <v>1.34</v>
      </c>
      <c r="U1264" t="s">
        <v>363</v>
      </c>
    </row>
    <row r="1265" spans="1:21">
      <c r="A1265" t="str">
        <f>"002813"</f>
        <v>002813</v>
      </c>
      <c r="B1265" t="s">
        <v>2643</v>
      </c>
      <c r="C1265">
        <v>3</v>
      </c>
      <c r="D1265">
        <v>24.72</v>
      </c>
      <c r="E1265">
        <v>0.72</v>
      </c>
      <c r="F1265">
        <v>24.71</v>
      </c>
      <c r="G1265">
        <v>24.72</v>
      </c>
      <c r="H1265">
        <v>51788</v>
      </c>
      <c r="I1265">
        <v>589</v>
      </c>
      <c r="J1265">
        <v>0.08</v>
      </c>
      <c r="K1265">
        <v>9.22</v>
      </c>
      <c r="L1265">
        <v>12901.33</v>
      </c>
      <c r="M1265" t="s">
        <v>2644</v>
      </c>
      <c r="N1265" t="s">
        <v>91</v>
      </c>
      <c r="O1265">
        <v>25.01</v>
      </c>
      <c r="P1265">
        <v>25.96</v>
      </c>
      <c r="Q1265">
        <v>24.09</v>
      </c>
      <c r="R1265">
        <v>24</v>
      </c>
      <c r="S1265">
        <v>402.65</v>
      </c>
      <c r="T1265">
        <v>1.8</v>
      </c>
      <c r="U1265" t="s">
        <v>24</v>
      </c>
    </row>
    <row r="1266" spans="1:21">
      <c r="A1266" t="str">
        <f>"002815"</f>
        <v>002815</v>
      </c>
      <c r="B1266" t="s">
        <v>2645</v>
      </c>
      <c r="C1266">
        <v>3.35</v>
      </c>
      <c r="D1266">
        <v>16.35</v>
      </c>
      <c r="E1266">
        <v>0.53</v>
      </c>
      <c r="F1266">
        <v>16.34</v>
      </c>
      <c r="G1266">
        <v>16.35</v>
      </c>
      <c r="H1266">
        <v>244191</v>
      </c>
      <c r="I1266">
        <v>1392</v>
      </c>
      <c r="J1266">
        <v>0.37</v>
      </c>
      <c r="K1266">
        <v>5.68</v>
      </c>
      <c r="L1266">
        <v>39411.56</v>
      </c>
      <c r="M1266" t="s">
        <v>2646</v>
      </c>
      <c r="N1266" t="s">
        <v>69</v>
      </c>
      <c r="O1266">
        <v>15.63</v>
      </c>
      <c r="P1266">
        <v>16.58</v>
      </c>
      <c r="Q1266">
        <v>15.4</v>
      </c>
      <c r="R1266">
        <v>15.82</v>
      </c>
      <c r="S1266">
        <v>23.45</v>
      </c>
      <c r="T1266">
        <v>1.16</v>
      </c>
      <c r="U1266" t="s">
        <v>24</v>
      </c>
    </row>
    <row r="1267" spans="1:21">
      <c r="A1267" t="str">
        <f>"002816"</f>
        <v>002816</v>
      </c>
      <c r="B1267" t="s">
        <v>2647</v>
      </c>
      <c r="C1267">
        <v>-1.28</v>
      </c>
      <c r="D1267">
        <v>18.49</v>
      </c>
      <c r="E1267">
        <v>-0.24</v>
      </c>
      <c r="F1267">
        <v>18.49</v>
      </c>
      <c r="G1267">
        <v>18.5</v>
      </c>
      <c r="H1267">
        <v>14148</v>
      </c>
      <c r="I1267">
        <v>71</v>
      </c>
      <c r="J1267">
        <v>0.11</v>
      </c>
      <c r="K1267">
        <v>1.44</v>
      </c>
      <c r="L1267">
        <v>2613.71</v>
      </c>
      <c r="M1267" t="s">
        <v>2648</v>
      </c>
      <c r="N1267" t="s">
        <v>324</v>
      </c>
      <c r="O1267">
        <v>19.29</v>
      </c>
      <c r="P1267">
        <v>19.5</v>
      </c>
      <c r="Q1267">
        <v>18.19</v>
      </c>
      <c r="R1267">
        <v>18.73</v>
      </c>
      <c r="S1267">
        <v>48</v>
      </c>
      <c r="T1267">
        <v>1.79</v>
      </c>
      <c r="U1267" t="s">
        <v>24</v>
      </c>
    </row>
    <row r="1268" spans="1:21">
      <c r="A1268" t="str">
        <f>"002817"</f>
        <v>002817</v>
      </c>
      <c r="B1268" t="s">
        <v>2649</v>
      </c>
      <c r="C1268">
        <v>0.82</v>
      </c>
      <c r="D1268">
        <v>9.8</v>
      </c>
      <c r="E1268">
        <v>0.08</v>
      </c>
      <c r="F1268">
        <v>9.79</v>
      </c>
      <c r="G1268">
        <v>9.8</v>
      </c>
      <c r="H1268">
        <v>18984</v>
      </c>
      <c r="I1268">
        <v>129</v>
      </c>
      <c r="J1268">
        <v>0</v>
      </c>
      <c r="K1268">
        <v>1.56</v>
      </c>
      <c r="L1268">
        <v>1854.7</v>
      </c>
      <c r="M1268" t="s">
        <v>2650</v>
      </c>
      <c r="N1268" t="s">
        <v>192</v>
      </c>
      <c r="O1268">
        <v>9.7</v>
      </c>
      <c r="P1268">
        <v>9.87</v>
      </c>
      <c r="Q1268">
        <v>9.68</v>
      </c>
      <c r="R1268">
        <v>9.72</v>
      </c>
      <c r="S1268">
        <v>36.77</v>
      </c>
      <c r="T1268">
        <v>0.78</v>
      </c>
      <c r="U1268" t="s">
        <v>193</v>
      </c>
    </row>
    <row r="1269" spans="1:21">
      <c r="A1269" t="str">
        <f>"002818"</f>
        <v>002818</v>
      </c>
      <c r="B1269" t="s">
        <v>2651</v>
      </c>
      <c r="C1269">
        <v>0.39</v>
      </c>
      <c r="D1269">
        <v>12.72</v>
      </c>
      <c r="E1269">
        <v>0.05</v>
      </c>
      <c r="F1269">
        <v>12.72</v>
      </c>
      <c r="G1269">
        <v>12.73</v>
      </c>
      <c r="H1269">
        <v>28570</v>
      </c>
      <c r="I1269">
        <v>99</v>
      </c>
      <c r="J1269">
        <v>-0.07</v>
      </c>
      <c r="K1269">
        <v>0.96</v>
      </c>
      <c r="L1269">
        <v>3608.99</v>
      </c>
      <c r="M1269" t="s">
        <v>2652</v>
      </c>
      <c r="N1269" t="s">
        <v>66</v>
      </c>
      <c r="O1269">
        <v>12.61</v>
      </c>
      <c r="P1269">
        <v>12.76</v>
      </c>
      <c r="Q1269">
        <v>12.53</v>
      </c>
      <c r="R1269">
        <v>12.67</v>
      </c>
      <c r="S1269">
        <v>10.27</v>
      </c>
      <c r="T1269">
        <v>1.16</v>
      </c>
      <c r="U1269" t="s">
        <v>196</v>
      </c>
    </row>
    <row r="1270" spans="1:21">
      <c r="A1270" t="str">
        <f>"002819"</f>
        <v>002819</v>
      </c>
      <c r="B1270" t="s">
        <v>2653</v>
      </c>
      <c r="C1270">
        <v>-1.3</v>
      </c>
      <c r="D1270">
        <v>38.67</v>
      </c>
      <c r="E1270">
        <v>-0.51</v>
      </c>
      <c r="F1270">
        <v>38.67</v>
      </c>
      <c r="G1270">
        <v>38.7</v>
      </c>
      <c r="H1270">
        <v>12246</v>
      </c>
      <c r="I1270">
        <v>85</v>
      </c>
      <c r="J1270">
        <v>-0.02</v>
      </c>
      <c r="K1270">
        <v>0.88</v>
      </c>
      <c r="L1270">
        <v>4718.11</v>
      </c>
      <c r="M1270" t="s">
        <v>2654</v>
      </c>
      <c r="N1270" t="s">
        <v>1028</v>
      </c>
      <c r="O1270">
        <v>39.27</v>
      </c>
      <c r="P1270">
        <v>39.8</v>
      </c>
      <c r="Q1270">
        <v>37.83</v>
      </c>
      <c r="R1270">
        <v>39.18</v>
      </c>
      <c r="S1270">
        <v>96.6</v>
      </c>
      <c r="T1270">
        <v>1.16</v>
      </c>
      <c r="U1270" t="s">
        <v>44</v>
      </c>
    </row>
    <row r="1271" spans="1:21">
      <c r="A1271" t="str">
        <f>"002820"</f>
        <v>002820</v>
      </c>
      <c r="B1271" t="s">
        <v>2655</v>
      </c>
      <c r="C1271">
        <v>0.81</v>
      </c>
      <c r="D1271">
        <v>10</v>
      </c>
      <c r="E1271">
        <v>0.08</v>
      </c>
      <c r="F1271">
        <v>10</v>
      </c>
      <c r="G1271">
        <v>10.01</v>
      </c>
      <c r="H1271">
        <v>10490</v>
      </c>
      <c r="I1271">
        <v>269</v>
      </c>
      <c r="J1271">
        <v>-0.09</v>
      </c>
      <c r="K1271">
        <v>0.52</v>
      </c>
      <c r="L1271">
        <v>1046.86</v>
      </c>
      <c r="M1271" t="s">
        <v>456</v>
      </c>
      <c r="N1271" t="s">
        <v>299</v>
      </c>
      <c r="O1271">
        <v>9.92</v>
      </c>
      <c r="P1271">
        <v>10.03</v>
      </c>
      <c r="Q1271">
        <v>9.92</v>
      </c>
      <c r="R1271">
        <v>9.92</v>
      </c>
      <c r="S1271">
        <v>53.36</v>
      </c>
      <c r="T1271">
        <v>0.78</v>
      </c>
      <c r="U1271" t="s">
        <v>360</v>
      </c>
    </row>
    <row r="1272" spans="1:21">
      <c r="A1272" t="str">
        <f>"002821"</f>
        <v>002821</v>
      </c>
      <c r="B1272" t="s">
        <v>2656</v>
      </c>
      <c r="C1272">
        <v>-1.43</v>
      </c>
      <c r="D1272">
        <v>441.2</v>
      </c>
      <c r="E1272">
        <v>-6.4</v>
      </c>
      <c r="F1272">
        <v>441.2</v>
      </c>
      <c r="G1272">
        <v>442</v>
      </c>
      <c r="H1272">
        <v>30460</v>
      </c>
      <c r="I1272">
        <v>233</v>
      </c>
      <c r="J1272">
        <v>-0.48</v>
      </c>
      <c r="K1272">
        <v>1.31</v>
      </c>
      <c r="L1272">
        <v>134524.95</v>
      </c>
      <c r="M1272" t="s">
        <v>2657</v>
      </c>
      <c r="N1272" t="s">
        <v>231</v>
      </c>
      <c r="O1272">
        <v>447.6</v>
      </c>
      <c r="P1272">
        <v>450</v>
      </c>
      <c r="Q1272">
        <v>435.52</v>
      </c>
      <c r="R1272">
        <v>447.6</v>
      </c>
      <c r="S1272">
        <v>116.51</v>
      </c>
      <c r="T1272">
        <v>0.97</v>
      </c>
      <c r="U1272" t="s">
        <v>360</v>
      </c>
    </row>
    <row r="1273" spans="1:21">
      <c r="A1273" t="str">
        <f>"002822"</f>
        <v>002822</v>
      </c>
      <c r="B1273" t="s">
        <v>2658</v>
      </c>
      <c r="C1273">
        <v>0.58</v>
      </c>
      <c r="D1273">
        <v>5.22</v>
      </c>
      <c r="E1273">
        <v>0.03</v>
      </c>
      <c r="F1273">
        <v>5.21</v>
      </c>
      <c r="G1273">
        <v>5.22</v>
      </c>
      <c r="H1273">
        <v>40871</v>
      </c>
      <c r="I1273">
        <v>1176</v>
      </c>
      <c r="J1273">
        <v>0</v>
      </c>
      <c r="K1273">
        <v>0.64</v>
      </c>
      <c r="L1273">
        <v>2124.03</v>
      </c>
      <c r="M1273" t="s">
        <v>2659</v>
      </c>
      <c r="N1273" t="s">
        <v>1189</v>
      </c>
      <c r="O1273">
        <v>5.2</v>
      </c>
      <c r="P1273">
        <v>5.23</v>
      </c>
      <c r="Q1273">
        <v>5.15</v>
      </c>
      <c r="R1273">
        <v>5.19</v>
      </c>
      <c r="S1273">
        <v>16.38</v>
      </c>
      <c r="T1273">
        <v>1</v>
      </c>
      <c r="U1273" t="s">
        <v>24</v>
      </c>
    </row>
    <row r="1274" spans="1:21">
      <c r="A1274" t="str">
        <f>"002823"</f>
        <v>002823</v>
      </c>
      <c r="B1274" t="s">
        <v>2660</v>
      </c>
      <c r="C1274">
        <v>-2.66</v>
      </c>
      <c r="D1274">
        <v>10.96</v>
      </c>
      <c r="E1274">
        <v>-0.3</v>
      </c>
      <c r="F1274">
        <v>10.95</v>
      </c>
      <c r="G1274">
        <v>10.96</v>
      </c>
      <c r="H1274">
        <v>57703</v>
      </c>
      <c r="I1274">
        <v>656</v>
      </c>
      <c r="J1274">
        <v>-0.08</v>
      </c>
      <c r="K1274">
        <v>3.7</v>
      </c>
      <c r="L1274">
        <v>6367.44</v>
      </c>
      <c r="M1274" t="s">
        <v>2661</v>
      </c>
      <c r="N1274" t="s">
        <v>347</v>
      </c>
      <c r="O1274">
        <v>11.36</v>
      </c>
      <c r="P1274">
        <v>11.43</v>
      </c>
      <c r="Q1274">
        <v>10.83</v>
      </c>
      <c r="R1274">
        <v>11.26</v>
      </c>
      <c r="S1274">
        <v>331.83</v>
      </c>
      <c r="T1274">
        <v>0.66</v>
      </c>
      <c r="U1274" t="s">
        <v>24</v>
      </c>
    </row>
    <row r="1275" spans="1:21">
      <c r="A1275" t="str">
        <f>"002824"</f>
        <v>002824</v>
      </c>
      <c r="B1275" t="s">
        <v>2662</v>
      </c>
      <c r="C1275">
        <v>-1.27</v>
      </c>
      <c r="D1275">
        <v>43.66</v>
      </c>
      <c r="E1275">
        <v>-0.56</v>
      </c>
      <c r="F1275">
        <v>43.66</v>
      </c>
      <c r="G1275">
        <v>43.67</v>
      </c>
      <c r="H1275">
        <v>45755</v>
      </c>
      <c r="I1275">
        <v>538</v>
      </c>
      <c r="J1275">
        <v>-0.1</v>
      </c>
      <c r="K1275">
        <v>4.03</v>
      </c>
      <c r="L1275">
        <v>20045.44</v>
      </c>
      <c r="M1275" t="s">
        <v>2663</v>
      </c>
      <c r="N1275" t="s">
        <v>494</v>
      </c>
      <c r="O1275">
        <v>44.22</v>
      </c>
      <c r="P1275">
        <v>45.23</v>
      </c>
      <c r="Q1275">
        <v>43.1</v>
      </c>
      <c r="R1275">
        <v>44.22</v>
      </c>
      <c r="S1275">
        <v>47.98</v>
      </c>
      <c r="T1275">
        <v>0.9</v>
      </c>
      <c r="U1275" t="s">
        <v>183</v>
      </c>
    </row>
    <row r="1276" spans="1:21">
      <c r="A1276" t="str">
        <f>"002825"</f>
        <v>002825</v>
      </c>
      <c r="B1276" t="s">
        <v>2664</v>
      </c>
      <c r="C1276">
        <v>1.07</v>
      </c>
      <c r="D1276">
        <v>16.02</v>
      </c>
      <c r="E1276">
        <v>0.17</v>
      </c>
      <c r="F1276">
        <v>16.01</v>
      </c>
      <c r="G1276">
        <v>16.02</v>
      </c>
      <c r="H1276">
        <v>46311</v>
      </c>
      <c r="I1276">
        <v>312</v>
      </c>
      <c r="J1276">
        <v>0.31</v>
      </c>
      <c r="K1276">
        <v>4.08</v>
      </c>
      <c r="L1276">
        <v>7475.9</v>
      </c>
      <c r="M1276" t="s">
        <v>1670</v>
      </c>
      <c r="N1276" t="s">
        <v>309</v>
      </c>
      <c r="O1276">
        <v>15.88</v>
      </c>
      <c r="P1276">
        <v>16.58</v>
      </c>
      <c r="Q1276">
        <v>15.77</v>
      </c>
      <c r="R1276">
        <v>15.85</v>
      </c>
      <c r="S1276">
        <v>29.01</v>
      </c>
      <c r="T1276">
        <v>0.9</v>
      </c>
      <c r="U1276" t="s">
        <v>848</v>
      </c>
    </row>
    <row r="1277" spans="1:21">
      <c r="A1277" t="str">
        <f>"002826"</f>
        <v>002826</v>
      </c>
      <c r="B1277" t="s">
        <v>2665</v>
      </c>
      <c r="C1277">
        <v>0.66</v>
      </c>
      <c r="D1277">
        <v>9.17</v>
      </c>
      <c r="E1277">
        <v>0.06</v>
      </c>
      <c r="F1277">
        <v>9.17</v>
      </c>
      <c r="G1277">
        <v>9.19</v>
      </c>
      <c r="H1277">
        <v>9396</v>
      </c>
      <c r="I1277">
        <v>90</v>
      </c>
      <c r="J1277">
        <v>-0.32</v>
      </c>
      <c r="K1277">
        <v>0.7</v>
      </c>
      <c r="L1277">
        <v>861.41</v>
      </c>
      <c r="M1277" t="s">
        <v>1472</v>
      </c>
      <c r="N1277" t="s">
        <v>270</v>
      </c>
      <c r="O1277">
        <v>9.13</v>
      </c>
      <c r="P1277">
        <v>9.26</v>
      </c>
      <c r="Q1277">
        <v>9.08</v>
      </c>
      <c r="R1277">
        <v>9.11</v>
      </c>
      <c r="S1277">
        <v>76.75</v>
      </c>
      <c r="T1277">
        <v>0.47</v>
      </c>
      <c r="U1277" t="s">
        <v>694</v>
      </c>
    </row>
    <row r="1278" spans="1:21">
      <c r="A1278" t="str">
        <f>"002827"</f>
        <v>002827</v>
      </c>
      <c r="B1278" t="s">
        <v>2666</v>
      </c>
      <c r="C1278">
        <v>0.81</v>
      </c>
      <c r="D1278">
        <v>9.93</v>
      </c>
      <c r="E1278">
        <v>0.08</v>
      </c>
      <c r="F1278">
        <v>9.92</v>
      </c>
      <c r="G1278">
        <v>9.93</v>
      </c>
      <c r="H1278">
        <v>12218</v>
      </c>
      <c r="I1278">
        <v>144</v>
      </c>
      <c r="J1278">
        <v>0</v>
      </c>
      <c r="K1278">
        <v>0.44</v>
      </c>
      <c r="L1278">
        <v>1207.19</v>
      </c>
      <c r="M1278" t="s">
        <v>2667</v>
      </c>
      <c r="N1278" t="s">
        <v>309</v>
      </c>
      <c r="O1278">
        <v>9.85</v>
      </c>
      <c r="P1278">
        <v>9.94</v>
      </c>
      <c r="Q1278">
        <v>9.8</v>
      </c>
      <c r="R1278">
        <v>9.85</v>
      </c>
      <c r="S1278">
        <v>68.48</v>
      </c>
      <c r="T1278">
        <v>0.65</v>
      </c>
      <c r="U1278" t="s">
        <v>694</v>
      </c>
    </row>
    <row r="1279" spans="1:21">
      <c r="A1279" t="str">
        <f>"002828"</f>
        <v>002828</v>
      </c>
      <c r="B1279" t="s">
        <v>2668</v>
      </c>
      <c r="C1279">
        <v>1.41</v>
      </c>
      <c r="D1279">
        <v>7.9</v>
      </c>
      <c r="E1279">
        <v>0.11</v>
      </c>
      <c r="F1279">
        <v>7.9</v>
      </c>
      <c r="G1279">
        <v>7.91</v>
      </c>
      <c r="H1279">
        <v>41294</v>
      </c>
      <c r="I1279">
        <v>1029</v>
      </c>
      <c r="J1279">
        <v>0.13</v>
      </c>
      <c r="K1279">
        <v>2.68</v>
      </c>
      <c r="L1279">
        <v>3245.44</v>
      </c>
      <c r="M1279" t="s">
        <v>2669</v>
      </c>
      <c r="N1279" t="s">
        <v>996</v>
      </c>
      <c r="O1279">
        <v>7.77</v>
      </c>
      <c r="P1279">
        <v>7.96</v>
      </c>
      <c r="Q1279">
        <v>7.73</v>
      </c>
      <c r="R1279">
        <v>7.79</v>
      </c>
      <c r="S1279">
        <v>63.57</v>
      </c>
      <c r="T1279">
        <v>0.84</v>
      </c>
      <c r="U1279" t="s">
        <v>210</v>
      </c>
    </row>
    <row r="1280" spans="1:21">
      <c r="A1280" t="str">
        <f>"002829"</f>
        <v>002829</v>
      </c>
      <c r="B1280" t="s">
        <v>2670</v>
      </c>
      <c r="C1280">
        <v>-0.33</v>
      </c>
      <c r="D1280">
        <v>36.12</v>
      </c>
      <c r="E1280">
        <v>-0.12</v>
      </c>
      <c r="F1280">
        <v>36.12</v>
      </c>
      <c r="G1280">
        <v>36.13</v>
      </c>
      <c r="H1280">
        <v>10304</v>
      </c>
      <c r="I1280">
        <v>128</v>
      </c>
      <c r="J1280">
        <v>0.11</v>
      </c>
      <c r="K1280">
        <v>1.07</v>
      </c>
      <c r="L1280">
        <v>3721.33</v>
      </c>
      <c r="M1280" t="s">
        <v>2671</v>
      </c>
      <c r="N1280" t="s">
        <v>611</v>
      </c>
      <c r="O1280">
        <v>36.22</v>
      </c>
      <c r="P1280">
        <v>36.39</v>
      </c>
      <c r="Q1280">
        <v>35.83</v>
      </c>
      <c r="R1280">
        <v>36.24</v>
      </c>
      <c r="S1280">
        <v>50.05</v>
      </c>
      <c r="T1280">
        <v>0.57</v>
      </c>
      <c r="U1280" t="s">
        <v>44</v>
      </c>
    </row>
    <row r="1281" spans="1:21">
      <c r="A1281" t="str">
        <f>"002830"</f>
        <v>002830</v>
      </c>
      <c r="B1281" t="s">
        <v>2672</v>
      </c>
      <c r="C1281">
        <v>-1.2</v>
      </c>
      <c r="D1281">
        <v>9.88</v>
      </c>
      <c r="E1281">
        <v>-0.12</v>
      </c>
      <c r="F1281">
        <v>9.88</v>
      </c>
      <c r="G1281">
        <v>9.89</v>
      </c>
      <c r="H1281">
        <v>45643</v>
      </c>
      <c r="I1281">
        <v>659</v>
      </c>
      <c r="J1281">
        <v>-0.29</v>
      </c>
      <c r="K1281">
        <v>6.83</v>
      </c>
      <c r="L1281">
        <v>4680.59</v>
      </c>
      <c r="M1281" t="s">
        <v>2673</v>
      </c>
      <c r="N1281" t="s">
        <v>1189</v>
      </c>
      <c r="O1281">
        <v>10.53</v>
      </c>
      <c r="P1281">
        <v>10.58</v>
      </c>
      <c r="Q1281">
        <v>9.88</v>
      </c>
      <c r="R1281">
        <v>10</v>
      </c>
      <c r="S1281">
        <v>70.67</v>
      </c>
      <c r="T1281">
        <v>3.66</v>
      </c>
      <c r="U1281" t="s">
        <v>24</v>
      </c>
    </row>
    <row r="1282" spans="1:21">
      <c r="A1282" t="str">
        <f>"002831"</f>
        <v>002831</v>
      </c>
      <c r="B1282" t="s">
        <v>2674</v>
      </c>
      <c r="C1282">
        <v>2.79</v>
      </c>
      <c r="D1282">
        <v>32.08</v>
      </c>
      <c r="E1282">
        <v>0.87</v>
      </c>
      <c r="F1282">
        <v>32.05</v>
      </c>
      <c r="G1282">
        <v>32.08</v>
      </c>
      <c r="H1282">
        <v>33281</v>
      </c>
      <c r="I1282">
        <v>545</v>
      </c>
      <c r="J1282">
        <v>0.09</v>
      </c>
      <c r="K1282">
        <v>0.64</v>
      </c>
      <c r="L1282">
        <v>10592.88</v>
      </c>
      <c r="M1282" t="s">
        <v>2675</v>
      </c>
      <c r="N1282" t="s">
        <v>482</v>
      </c>
      <c r="O1282">
        <v>31</v>
      </c>
      <c r="P1282">
        <v>32.24</v>
      </c>
      <c r="Q1282">
        <v>30.9</v>
      </c>
      <c r="R1282">
        <v>31.21</v>
      </c>
      <c r="S1282">
        <v>33.54</v>
      </c>
      <c r="T1282">
        <v>0.6</v>
      </c>
      <c r="U1282" t="s">
        <v>24</v>
      </c>
    </row>
    <row r="1283" spans="1:21">
      <c r="A1283" t="str">
        <f>"002832"</f>
        <v>002832</v>
      </c>
      <c r="B1283" t="s">
        <v>2676</v>
      </c>
      <c r="C1283">
        <v>-1.18</v>
      </c>
      <c r="D1283">
        <v>25.1</v>
      </c>
      <c r="E1283">
        <v>-0.3</v>
      </c>
      <c r="F1283">
        <v>25.1</v>
      </c>
      <c r="G1283">
        <v>25.11</v>
      </c>
      <c r="H1283">
        <v>27709</v>
      </c>
      <c r="I1283">
        <v>95</v>
      </c>
      <c r="J1283">
        <v>0.08</v>
      </c>
      <c r="K1283">
        <v>0.75</v>
      </c>
      <c r="L1283">
        <v>6941.31</v>
      </c>
      <c r="M1283" t="s">
        <v>2677</v>
      </c>
      <c r="N1283" t="s">
        <v>1061</v>
      </c>
      <c r="O1283">
        <v>25.3</v>
      </c>
      <c r="P1283">
        <v>25.54</v>
      </c>
      <c r="Q1283">
        <v>24.7</v>
      </c>
      <c r="R1283">
        <v>25.4</v>
      </c>
      <c r="S1283">
        <v>22.56</v>
      </c>
      <c r="T1283">
        <v>1.39</v>
      </c>
      <c r="U1283" t="s">
        <v>183</v>
      </c>
    </row>
    <row r="1284" spans="1:21">
      <c r="A1284" t="str">
        <f>"002833"</f>
        <v>002833</v>
      </c>
      <c r="B1284" t="s">
        <v>2678</v>
      </c>
      <c r="C1284">
        <v>2.3</v>
      </c>
      <c r="D1284">
        <v>32.41</v>
      </c>
      <c r="E1284">
        <v>0.73</v>
      </c>
      <c r="F1284">
        <v>32.4</v>
      </c>
      <c r="G1284">
        <v>32.41</v>
      </c>
      <c r="H1284">
        <v>32073</v>
      </c>
      <c r="I1284">
        <v>262</v>
      </c>
      <c r="J1284">
        <v>-0.08</v>
      </c>
      <c r="K1284">
        <v>1.78</v>
      </c>
      <c r="L1284">
        <v>10323.77</v>
      </c>
      <c r="M1284" t="s">
        <v>2679</v>
      </c>
      <c r="N1284" t="s">
        <v>324</v>
      </c>
      <c r="O1284">
        <v>31.6</v>
      </c>
      <c r="P1284">
        <v>32.5</v>
      </c>
      <c r="Q1284">
        <v>31.52</v>
      </c>
      <c r="R1284">
        <v>31.68</v>
      </c>
      <c r="S1284">
        <v>17.14</v>
      </c>
      <c r="T1284">
        <v>0.65</v>
      </c>
      <c r="U1284" t="s">
        <v>183</v>
      </c>
    </row>
    <row r="1285" spans="1:21">
      <c r="A1285" t="str">
        <f>"002835"</f>
        <v>002835</v>
      </c>
      <c r="B1285" t="s">
        <v>2680</v>
      </c>
      <c r="C1285">
        <v>1.04</v>
      </c>
      <c r="D1285">
        <v>10.64</v>
      </c>
      <c r="E1285">
        <v>0.11</v>
      </c>
      <c r="F1285">
        <v>10.64</v>
      </c>
      <c r="G1285">
        <v>10.65</v>
      </c>
      <c r="H1285">
        <v>22410</v>
      </c>
      <c r="I1285">
        <v>159</v>
      </c>
      <c r="J1285">
        <v>0</v>
      </c>
      <c r="K1285">
        <v>1.79</v>
      </c>
      <c r="L1285">
        <v>2370.24</v>
      </c>
      <c r="M1285" t="s">
        <v>2681</v>
      </c>
      <c r="N1285" t="s">
        <v>69</v>
      </c>
      <c r="O1285">
        <v>10.49</v>
      </c>
      <c r="P1285">
        <v>10.68</v>
      </c>
      <c r="Q1285">
        <v>10.34</v>
      </c>
      <c r="R1285">
        <v>10.53</v>
      </c>
      <c r="S1285">
        <v>35.94</v>
      </c>
      <c r="T1285">
        <v>0.78</v>
      </c>
      <c r="U1285" t="s">
        <v>24</v>
      </c>
    </row>
    <row r="1286" spans="1:21">
      <c r="A1286" t="str">
        <f>"002836"</f>
        <v>002836</v>
      </c>
      <c r="B1286" t="s">
        <v>2682</v>
      </c>
      <c r="C1286">
        <v>2.33</v>
      </c>
      <c r="D1286">
        <v>8.79</v>
      </c>
      <c r="E1286">
        <v>0.2</v>
      </c>
      <c r="F1286">
        <v>8.77</v>
      </c>
      <c r="G1286">
        <v>8.79</v>
      </c>
      <c r="H1286">
        <v>11561</v>
      </c>
      <c r="I1286">
        <v>35</v>
      </c>
      <c r="J1286">
        <v>-0.1</v>
      </c>
      <c r="K1286">
        <v>0.72</v>
      </c>
      <c r="L1286">
        <v>1001.91</v>
      </c>
      <c r="M1286" t="s">
        <v>2683</v>
      </c>
      <c r="N1286" t="s">
        <v>482</v>
      </c>
      <c r="O1286">
        <v>8.54</v>
      </c>
      <c r="P1286">
        <v>8.82</v>
      </c>
      <c r="Q1286">
        <v>8.5</v>
      </c>
      <c r="R1286">
        <v>8.59</v>
      </c>
      <c r="S1286">
        <v>120.77</v>
      </c>
      <c r="T1286">
        <v>0.93</v>
      </c>
      <c r="U1286" t="s">
        <v>183</v>
      </c>
    </row>
    <row r="1287" spans="1:21">
      <c r="A1287" t="str">
        <f>"002837"</f>
        <v>002837</v>
      </c>
      <c r="B1287" t="s">
        <v>2684</v>
      </c>
      <c r="C1287">
        <v>5.38</v>
      </c>
      <c r="D1287">
        <v>45.61</v>
      </c>
      <c r="E1287">
        <v>2.33</v>
      </c>
      <c r="F1287">
        <v>45.6</v>
      </c>
      <c r="G1287">
        <v>45.61</v>
      </c>
      <c r="H1287">
        <v>119296</v>
      </c>
      <c r="I1287">
        <v>1659</v>
      </c>
      <c r="J1287">
        <v>-0.03</v>
      </c>
      <c r="K1287">
        <v>4.69</v>
      </c>
      <c r="L1287">
        <v>53101.31</v>
      </c>
      <c r="M1287" t="s">
        <v>2685</v>
      </c>
      <c r="N1287" t="s">
        <v>324</v>
      </c>
      <c r="O1287">
        <v>42.54</v>
      </c>
      <c r="P1287">
        <v>46.25</v>
      </c>
      <c r="Q1287">
        <v>42.06</v>
      </c>
      <c r="R1287">
        <v>43.28</v>
      </c>
      <c r="S1287">
        <v>75.53</v>
      </c>
      <c r="T1287">
        <v>1.13</v>
      </c>
      <c r="U1287" t="s">
        <v>24</v>
      </c>
    </row>
    <row r="1288" spans="1:21">
      <c r="A1288" t="str">
        <f>"002838"</f>
        <v>002838</v>
      </c>
      <c r="B1288" t="s">
        <v>2686</v>
      </c>
      <c r="C1288">
        <v>2.18</v>
      </c>
      <c r="D1288">
        <v>15.47</v>
      </c>
      <c r="E1288">
        <v>0.33</v>
      </c>
      <c r="F1288">
        <v>15.46</v>
      </c>
      <c r="G1288">
        <v>15.47</v>
      </c>
      <c r="H1288">
        <v>19684</v>
      </c>
      <c r="I1288">
        <v>306</v>
      </c>
      <c r="J1288">
        <v>0.19</v>
      </c>
      <c r="K1288">
        <v>0.57</v>
      </c>
      <c r="L1288">
        <v>3018.62</v>
      </c>
      <c r="M1288" t="s">
        <v>2687</v>
      </c>
      <c r="N1288" t="s">
        <v>839</v>
      </c>
      <c r="O1288">
        <v>15.08</v>
      </c>
      <c r="P1288">
        <v>15.48</v>
      </c>
      <c r="Q1288">
        <v>15.08</v>
      </c>
      <c r="R1288">
        <v>15.14</v>
      </c>
      <c r="S1288">
        <v>31.68</v>
      </c>
      <c r="T1288">
        <v>0.95</v>
      </c>
      <c r="U1288" t="s">
        <v>221</v>
      </c>
    </row>
    <row r="1289" spans="1:21">
      <c r="A1289" t="str">
        <f>"002839"</f>
        <v>002839</v>
      </c>
      <c r="B1289" t="s">
        <v>2688</v>
      </c>
      <c r="C1289">
        <v>1.06</v>
      </c>
      <c r="D1289">
        <v>5.74</v>
      </c>
      <c r="E1289">
        <v>0.06</v>
      </c>
      <c r="F1289">
        <v>5.73</v>
      </c>
      <c r="G1289">
        <v>5.74</v>
      </c>
      <c r="H1289">
        <v>172431</v>
      </c>
      <c r="I1289">
        <v>1955</v>
      </c>
      <c r="J1289">
        <v>0</v>
      </c>
      <c r="K1289">
        <v>1.13</v>
      </c>
      <c r="L1289">
        <v>9840.27</v>
      </c>
      <c r="M1289" t="s">
        <v>2689</v>
      </c>
      <c r="N1289" t="s">
        <v>23</v>
      </c>
      <c r="O1289">
        <v>5.67</v>
      </c>
      <c r="P1289">
        <v>5.75</v>
      </c>
      <c r="Q1289">
        <v>5.66</v>
      </c>
      <c r="R1289">
        <v>5.68</v>
      </c>
      <c r="S1289">
        <v>7.98</v>
      </c>
      <c r="T1289">
        <v>0.9</v>
      </c>
      <c r="U1289" t="s">
        <v>102</v>
      </c>
    </row>
    <row r="1290" spans="1:21">
      <c r="A1290" t="str">
        <f>"002840"</f>
        <v>002840</v>
      </c>
      <c r="B1290" t="s">
        <v>2690</v>
      </c>
      <c r="C1290">
        <v>-0.91</v>
      </c>
      <c r="D1290">
        <v>10.86</v>
      </c>
      <c r="E1290">
        <v>-0.1</v>
      </c>
      <c r="F1290">
        <v>10.86</v>
      </c>
      <c r="G1290">
        <v>10.87</v>
      </c>
      <c r="H1290">
        <v>45690</v>
      </c>
      <c r="I1290">
        <v>556</v>
      </c>
      <c r="J1290">
        <v>-0.08</v>
      </c>
      <c r="K1290">
        <v>1.05</v>
      </c>
      <c r="L1290">
        <v>4957.93</v>
      </c>
      <c r="M1290" t="s">
        <v>2691</v>
      </c>
      <c r="N1290" t="s">
        <v>299</v>
      </c>
      <c r="O1290">
        <v>11.11</v>
      </c>
      <c r="P1290">
        <v>11.11</v>
      </c>
      <c r="Q1290">
        <v>10.71</v>
      </c>
      <c r="R1290">
        <v>10.96</v>
      </c>
      <c r="S1290">
        <v>78.77</v>
      </c>
      <c r="T1290">
        <v>0.59</v>
      </c>
      <c r="U1290" t="s">
        <v>200</v>
      </c>
    </row>
    <row r="1291" spans="1:21">
      <c r="A1291" t="str">
        <f>"002841"</f>
        <v>002841</v>
      </c>
      <c r="B1291" t="s">
        <v>2692</v>
      </c>
      <c r="C1291">
        <v>-0.6</v>
      </c>
      <c r="D1291">
        <v>72.96</v>
      </c>
      <c r="E1291">
        <v>-0.44</v>
      </c>
      <c r="F1291">
        <v>72.96</v>
      </c>
      <c r="G1291">
        <v>72.97</v>
      </c>
      <c r="H1291">
        <v>14442</v>
      </c>
      <c r="I1291">
        <v>185</v>
      </c>
      <c r="J1291">
        <v>-0.02</v>
      </c>
      <c r="K1291">
        <v>0.32</v>
      </c>
      <c r="L1291">
        <v>10555.33</v>
      </c>
      <c r="M1291" t="s">
        <v>2693</v>
      </c>
      <c r="N1291" t="s">
        <v>69</v>
      </c>
      <c r="O1291">
        <v>73.39</v>
      </c>
      <c r="P1291">
        <v>73.9</v>
      </c>
      <c r="Q1291">
        <v>72.68</v>
      </c>
      <c r="R1291">
        <v>73.4</v>
      </c>
      <c r="S1291">
        <v>29.85</v>
      </c>
      <c r="T1291">
        <v>0.76</v>
      </c>
      <c r="U1291" t="s">
        <v>183</v>
      </c>
    </row>
    <row r="1292" spans="1:21">
      <c r="A1292" t="str">
        <f>"002842"</f>
        <v>002842</v>
      </c>
      <c r="B1292" t="s">
        <v>2694</v>
      </c>
      <c r="C1292">
        <v>-0.21</v>
      </c>
      <c r="D1292">
        <v>9.41</v>
      </c>
      <c r="E1292">
        <v>-0.02</v>
      </c>
      <c r="F1292">
        <v>9.41</v>
      </c>
      <c r="G1292">
        <v>9.42</v>
      </c>
      <c r="H1292">
        <v>48631</v>
      </c>
      <c r="I1292">
        <v>521</v>
      </c>
      <c r="J1292">
        <v>-0.2</v>
      </c>
      <c r="K1292">
        <v>2.29</v>
      </c>
      <c r="L1292">
        <v>4561.57</v>
      </c>
      <c r="M1292" t="s">
        <v>2695</v>
      </c>
      <c r="N1292" t="s">
        <v>523</v>
      </c>
      <c r="O1292">
        <v>9.32</v>
      </c>
      <c r="P1292">
        <v>9.45</v>
      </c>
      <c r="Q1292">
        <v>9.25</v>
      </c>
      <c r="R1292">
        <v>9.43</v>
      </c>
      <c r="S1292">
        <v>48.78</v>
      </c>
      <c r="T1292">
        <v>1.05</v>
      </c>
      <c r="U1292" t="s">
        <v>183</v>
      </c>
    </row>
    <row r="1293" spans="1:21">
      <c r="A1293" t="str">
        <f>"002843"</f>
        <v>002843</v>
      </c>
      <c r="B1293" t="s">
        <v>2696</v>
      </c>
      <c r="C1293">
        <v>0.2</v>
      </c>
      <c r="D1293">
        <v>9.96</v>
      </c>
      <c r="E1293">
        <v>0.02</v>
      </c>
      <c r="F1293">
        <v>9.96</v>
      </c>
      <c r="G1293">
        <v>9.97</v>
      </c>
      <c r="H1293">
        <v>32656</v>
      </c>
      <c r="I1293">
        <v>90</v>
      </c>
      <c r="J1293">
        <v>-0.09</v>
      </c>
      <c r="K1293">
        <v>1.56</v>
      </c>
      <c r="L1293">
        <v>3221.29</v>
      </c>
      <c r="M1293" t="s">
        <v>2697</v>
      </c>
      <c r="N1293" t="s">
        <v>724</v>
      </c>
      <c r="O1293">
        <v>10.04</v>
      </c>
      <c r="P1293">
        <v>10.05</v>
      </c>
      <c r="Q1293">
        <v>9.7</v>
      </c>
      <c r="R1293">
        <v>9.94</v>
      </c>
      <c r="S1293">
        <v>33.5</v>
      </c>
      <c r="T1293">
        <v>0.99</v>
      </c>
      <c r="U1293" t="s">
        <v>204</v>
      </c>
    </row>
    <row r="1294" spans="1:21">
      <c r="A1294" t="str">
        <f>"002845"</f>
        <v>002845</v>
      </c>
      <c r="B1294" t="s">
        <v>2698</v>
      </c>
      <c r="C1294">
        <v>0.64</v>
      </c>
      <c r="D1294">
        <v>26.62</v>
      </c>
      <c r="E1294">
        <v>0.17</v>
      </c>
      <c r="F1294">
        <v>26.61</v>
      </c>
      <c r="G1294">
        <v>26.62</v>
      </c>
      <c r="H1294">
        <v>24705</v>
      </c>
      <c r="I1294">
        <v>344</v>
      </c>
      <c r="J1294">
        <v>0.04</v>
      </c>
      <c r="K1294">
        <v>1.55</v>
      </c>
      <c r="L1294">
        <v>6562.32</v>
      </c>
      <c r="M1294" t="s">
        <v>2699</v>
      </c>
      <c r="N1294" t="s">
        <v>69</v>
      </c>
      <c r="O1294">
        <v>26.42</v>
      </c>
      <c r="P1294">
        <v>26.66</v>
      </c>
      <c r="Q1294">
        <v>26.38</v>
      </c>
      <c r="R1294">
        <v>26.45</v>
      </c>
      <c r="S1294">
        <v>14.32</v>
      </c>
      <c r="T1294">
        <v>0.72</v>
      </c>
      <c r="U1294" t="s">
        <v>24</v>
      </c>
    </row>
    <row r="1295" spans="1:21">
      <c r="A1295" t="str">
        <f>"002846"</f>
        <v>002846</v>
      </c>
      <c r="B1295" t="s">
        <v>2700</v>
      </c>
      <c r="C1295">
        <v>1.09</v>
      </c>
      <c r="D1295">
        <v>7.42</v>
      </c>
      <c r="E1295">
        <v>0.08</v>
      </c>
      <c r="F1295">
        <v>7.41</v>
      </c>
      <c r="G1295">
        <v>7.42</v>
      </c>
      <c r="H1295">
        <v>10441</v>
      </c>
      <c r="I1295">
        <v>250</v>
      </c>
      <c r="J1295">
        <v>0</v>
      </c>
      <c r="K1295">
        <v>0.47</v>
      </c>
      <c r="L1295">
        <v>772.31</v>
      </c>
      <c r="M1295" t="s">
        <v>2701</v>
      </c>
      <c r="N1295" t="s">
        <v>482</v>
      </c>
      <c r="O1295">
        <v>7.4</v>
      </c>
      <c r="P1295">
        <v>7.45</v>
      </c>
      <c r="Q1295">
        <v>7.31</v>
      </c>
      <c r="R1295">
        <v>7.34</v>
      </c>
      <c r="S1295">
        <v>33.03</v>
      </c>
      <c r="T1295">
        <v>0.76</v>
      </c>
      <c r="U1295" t="s">
        <v>183</v>
      </c>
    </row>
    <row r="1296" spans="1:21">
      <c r="A1296" t="str">
        <f>"002847"</f>
        <v>002847</v>
      </c>
      <c r="B1296" t="s">
        <v>2702</v>
      </c>
      <c r="C1296">
        <v>7.06</v>
      </c>
      <c r="D1296">
        <v>85.7</v>
      </c>
      <c r="E1296">
        <v>5.65</v>
      </c>
      <c r="F1296">
        <v>85.69</v>
      </c>
      <c r="G1296">
        <v>85.7</v>
      </c>
      <c r="H1296">
        <v>45790</v>
      </c>
      <c r="I1296">
        <v>668</v>
      </c>
      <c r="J1296">
        <v>0.58</v>
      </c>
      <c r="K1296">
        <v>4.04</v>
      </c>
      <c r="L1296">
        <v>37949.15</v>
      </c>
      <c r="M1296" t="s">
        <v>2703</v>
      </c>
      <c r="N1296" t="s">
        <v>299</v>
      </c>
      <c r="O1296">
        <v>80.18</v>
      </c>
      <c r="P1296">
        <v>87</v>
      </c>
      <c r="Q1296">
        <v>78.8</v>
      </c>
      <c r="R1296">
        <v>80.05</v>
      </c>
      <c r="S1296">
        <v>107.58</v>
      </c>
      <c r="T1296">
        <v>1.34</v>
      </c>
      <c r="U1296" t="s">
        <v>204</v>
      </c>
    </row>
    <row r="1297" spans="1:21">
      <c r="A1297" t="str">
        <f>"002848"</f>
        <v>002848</v>
      </c>
      <c r="B1297" t="s">
        <v>2704</v>
      </c>
      <c r="C1297">
        <v>1.61</v>
      </c>
      <c r="D1297">
        <v>8.84</v>
      </c>
      <c r="E1297">
        <v>0.14</v>
      </c>
      <c r="F1297">
        <v>8.84</v>
      </c>
      <c r="G1297">
        <v>8.86</v>
      </c>
      <c r="H1297">
        <v>17605</v>
      </c>
      <c r="I1297">
        <v>251</v>
      </c>
      <c r="J1297">
        <v>-0.1</v>
      </c>
      <c r="K1297">
        <v>1.1</v>
      </c>
      <c r="L1297">
        <v>1550.55</v>
      </c>
      <c r="M1297" t="s">
        <v>2705</v>
      </c>
      <c r="N1297" t="s">
        <v>60</v>
      </c>
      <c r="O1297">
        <v>8.75</v>
      </c>
      <c r="P1297">
        <v>8.87</v>
      </c>
      <c r="Q1297">
        <v>8.7</v>
      </c>
      <c r="R1297">
        <v>8.7</v>
      </c>
      <c r="S1297" t="s">
        <v>40</v>
      </c>
      <c r="T1297">
        <v>1.44</v>
      </c>
      <c r="U1297" t="s">
        <v>204</v>
      </c>
    </row>
    <row r="1298" spans="1:21">
      <c r="A1298" t="str">
        <f>"002849"</f>
        <v>002849</v>
      </c>
      <c r="B1298" t="s">
        <v>2706</v>
      </c>
      <c r="C1298">
        <v>1.78</v>
      </c>
      <c r="D1298">
        <v>12.57</v>
      </c>
      <c r="E1298">
        <v>0.22</v>
      </c>
      <c r="F1298">
        <v>12.57</v>
      </c>
      <c r="G1298">
        <v>12.58</v>
      </c>
      <c r="H1298">
        <v>10551</v>
      </c>
      <c r="I1298">
        <v>2</v>
      </c>
      <c r="J1298">
        <v>0</v>
      </c>
      <c r="K1298">
        <v>1.05</v>
      </c>
      <c r="L1298">
        <v>1326.71</v>
      </c>
      <c r="M1298" t="s">
        <v>2707</v>
      </c>
      <c r="N1298" t="s">
        <v>1028</v>
      </c>
      <c r="O1298">
        <v>12.54</v>
      </c>
      <c r="P1298">
        <v>12.75</v>
      </c>
      <c r="Q1298">
        <v>12.37</v>
      </c>
      <c r="R1298">
        <v>12.35</v>
      </c>
      <c r="S1298">
        <v>23.55</v>
      </c>
      <c r="T1298">
        <v>1.02</v>
      </c>
      <c r="U1298" t="s">
        <v>200</v>
      </c>
    </row>
    <row r="1299" spans="1:21">
      <c r="A1299" t="str">
        <f>"002850"</f>
        <v>002850</v>
      </c>
      <c r="B1299" t="s">
        <v>2708</v>
      </c>
      <c r="C1299">
        <v>-1.97</v>
      </c>
      <c r="D1299">
        <v>169.64</v>
      </c>
      <c r="E1299">
        <v>-3.41</v>
      </c>
      <c r="F1299">
        <v>169.63</v>
      </c>
      <c r="G1299">
        <v>169.64</v>
      </c>
      <c r="H1299">
        <v>26035</v>
      </c>
      <c r="I1299">
        <v>244</v>
      </c>
      <c r="J1299">
        <v>-0.04</v>
      </c>
      <c r="K1299">
        <v>1.69</v>
      </c>
      <c r="L1299">
        <v>44089.17</v>
      </c>
      <c r="M1299" t="s">
        <v>2709</v>
      </c>
      <c r="N1299" t="s">
        <v>47</v>
      </c>
      <c r="O1299">
        <v>171.75</v>
      </c>
      <c r="P1299">
        <v>172.97</v>
      </c>
      <c r="Q1299">
        <v>166.52</v>
      </c>
      <c r="R1299">
        <v>173.05</v>
      </c>
      <c r="S1299">
        <v>79.12</v>
      </c>
      <c r="T1299">
        <v>0.73</v>
      </c>
      <c r="U1299" t="s">
        <v>24</v>
      </c>
    </row>
    <row r="1300" spans="1:21">
      <c r="A1300" t="str">
        <f>"002851"</f>
        <v>002851</v>
      </c>
      <c r="B1300" t="s">
        <v>2710</v>
      </c>
      <c r="C1300">
        <v>6.13</v>
      </c>
      <c r="D1300">
        <v>34.61</v>
      </c>
      <c r="E1300">
        <v>2</v>
      </c>
      <c r="F1300">
        <v>34.61</v>
      </c>
      <c r="G1300">
        <v>34.62</v>
      </c>
      <c r="H1300">
        <v>40218</v>
      </c>
      <c r="I1300">
        <v>158</v>
      </c>
      <c r="J1300">
        <v>-0.25</v>
      </c>
      <c r="K1300">
        <v>0.99</v>
      </c>
      <c r="L1300">
        <v>13726.65</v>
      </c>
      <c r="M1300" t="s">
        <v>2711</v>
      </c>
      <c r="N1300" t="s">
        <v>47</v>
      </c>
      <c r="O1300">
        <v>32.51</v>
      </c>
      <c r="P1300">
        <v>34.97</v>
      </c>
      <c r="Q1300">
        <v>32.26</v>
      </c>
      <c r="R1300">
        <v>32.61</v>
      </c>
      <c r="S1300">
        <v>40.25</v>
      </c>
      <c r="T1300">
        <v>0.93</v>
      </c>
      <c r="U1300" t="s">
        <v>24</v>
      </c>
    </row>
    <row r="1301" spans="1:21">
      <c r="A1301" t="str">
        <f>"002852"</f>
        <v>002852</v>
      </c>
      <c r="B1301" t="s">
        <v>2712</v>
      </c>
      <c r="C1301">
        <v>-4.96</v>
      </c>
      <c r="D1301">
        <v>15.9</v>
      </c>
      <c r="E1301">
        <v>-0.83</v>
      </c>
      <c r="F1301">
        <v>15.89</v>
      </c>
      <c r="G1301">
        <v>15.9</v>
      </c>
      <c r="H1301">
        <v>131291</v>
      </c>
      <c r="I1301">
        <v>6760</v>
      </c>
      <c r="J1301">
        <v>-0.61</v>
      </c>
      <c r="K1301">
        <v>6.09</v>
      </c>
      <c r="L1301">
        <v>21111.64</v>
      </c>
      <c r="M1301" t="s">
        <v>2713</v>
      </c>
      <c r="N1301" t="s">
        <v>299</v>
      </c>
      <c r="O1301">
        <v>16.74</v>
      </c>
      <c r="P1301">
        <v>16.98</v>
      </c>
      <c r="Q1301">
        <v>15.67</v>
      </c>
      <c r="R1301">
        <v>16.73</v>
      </c>
      <c r="S1301">
        <v>36.65</v>
      </c>
      <c r="T1301">
        <v>0.88</v>
      </c>
      <c r="U1301" t="s">
        <v>204</v>
      </c>
    </row>
    <row r="1302" spans="1:21">
      <c r="A1302" t="str">
        <f>"002853"</f>
        <v>002853</v>
      </c>
      <c r="B1302" t="s">
        <v>2714</v>
      </c>
      <c r="C1302">
        <v>2.47</v>
      </c>
      <c r="D1302">
        <v>15.79</v>
      </c>
      <c r="E1302">
        <v>0.38</v>
      </c>
      <c r="F1302">
        <v>15.79</v>
      </c>
      <c r="G1302">
        <v>15.8</v>
      </c>
      <c r="H1302">
        <v>14397</v>
      </c>
      <c r="I1302">
        <v>173</v>
      </c>
      <c r="J1302">
        <v>0.13</v>
      </c>
      <c r="K1302">
        <v>1.26</v>
      </c>
      <c r="L1302">
        <v>2263.47</v>
      </c>
      <c r="M1302" t="s">
        <v>2715</v>
      </c>
      <c r="N1302" t="s">
        <v>910</v>
      </c>
      <c r="O1302">
        <v>15.42</v>
      </c>
      <c r="P1302">
        <v>15.95</v>
      </c>
      <c r="Q1302">
        <v>15.4</v>
      </c>
      <c r="R1302">
        <v>15.41</v>
      </c>
      <c r="S1302">
        <v>13.04</v>
      </c>
      <c r="T1302">
        <v>0.91</v>
      </c>
      <c r="U1302" t="s">
        <v>183</v>
      </c>
    </row>
    <row r="1303" spans="1:21">
      <c r="A1303" t="str">
        <f>"002855"</f>
        <v>002855</v>
      </c>
      <c r="B1303" t="s">
        <v>2716</v>
      </c>
      <c r="C1303">
        <v>2.82</v>
      </c>
      <c r="D1303">
        <v>8.74</v>
      </c>
      <c r="E1303">
        <v>0.24</v>
      </c>
      <c r="F1303">
        <v>8.73</v>
      </c>
      <c r="G1303">
        <v>8.74</v>
      </c>
      <c r="H1303">
        <v>14072</v>
      </c>
      <c r="I1303">
        <v>117</v>
      </c>
      <c r="J1303">
        <v>-0.22</v>
      </c>
      <c r="K1303">
        <v>0.57</v>
      </c>
      <c r="L1303">
        <v>1227.97</v>
      </c>
      <c r="M1303" t="s">
        <v>2717</v>
      </c>
      <c r="N1303" t="s">
        <v>69</v>
      </c>
      <c r="O1303">
        <v>8.51</v>
      </c>
      <c r="P1303">
        <v>8.81</v>
      </c>
      <c r="Q1303">
        <v>8.49</v>
      </c>
      <c r="R1303">
        <v>8.5</v>
      </c>
      <c r="S1303">
        <v>225.13</v>
      </c>
      <c r="T1303">
        <v>1.2</v>
      </c>
      <c r="U1303" t="s">
        <v>183</v>
      </c>
    </row>
    <row r="1304" spans="1:21">
      <c r="A1304" t="str">
        <f>"002856"</f>
        <v>002856</v>
      </c>
      <c r="B1304" t="s">
        <v>2718</v>
      </c>
      <c r="C1304">
        <v>0</v>
      </c>
      <c r="D1304">
        <v>11.08</v>
      </c>
      <c r="E1304">
        <v>0</v>
      </c>
      <c r="F1304">
        <v>11.08</v>
      </c>
      <c r="G1304">
        <v>11.1</v>
      </c>
      <c r="H1304">
        <v>12207</v>
      </c>
      <c r="I1304">
        <v>291</v>
      </c>
      <c r="J1304">
        <v>-0.44</v>
      </c>
      <c r="K1304">
        <v>1.25</v>
      </c>
      <c r="L1304">
        <v>1356.91</v>
      </c>
      <c r="M1304" t="s">
        <v>2719</v>
      </c>
      <c r="N1304" t="s">
        <v>1189</v>
      </c>
      <c r="O1304">
        <v>11.07</v>
      </c>
      <c r="P1304">
        <v>11.2</v>
      </c>
      <c r="Q1304">
        <v>10.95</v>
      </c>
      <c r="R1304">
        <v>11.08</v>
      </c>
      <c r="S1304" t="s">
        <v>40</v>
      </c>
      <c r="T1304">
        <v>1.27</v>
      </c>
      <c r="U1304" t="s">
        <v>24</v>
      </c>
    </row>
    <row r="1305" spans="1:21">
      <c r="A1305" t="str">
        <f>"002857"</f>
        <v>002857</v>
      </c>
      <c r="B1305" t="s">
        <v>2720</v>
      </c>
      <c r="C1305">
        <v>0.78</v>
      </c>
      <c r="D1305">
        <v>17.99</v>
      </c>
      <c r="E1305">
        <v>0.14</v>
      </c>
      <c r="F1305">
        <v>17.98</v>
      </c>
      <c r="G1305">
        <v>17.99</v>
      </c>
      <c r="H1305">
        <v>12080</v>
      </c>
      <c r="I1305">
        <v>97</v>
      </c>
      <c r="J1305">
        <v>0.33</v>
      </c>
      <c r="K1305">
        <v>1.33</v>
      </c>
      <c r="L1305">
        <v>2171.9</v>
      </c>
      <c r="M1305" t="s">
        <v>2721</v>
      </c>
      <c r="N1305" t="s">
        <v>1028</v>
      </c>
      <c r="O1305">
        <v>17.85</v>
      </c>
      <c r="P1305">
        <v>18.26</v>
      </c>
      <c r="Q1305">
        <v>17.71</v>
      </c>
      <c r="R1305">
        <v>17.85</v>
      </c>
      <c r="S1305">
        <v>23788.43</v>
      </c>
      <c r="T1305">
        <v>0.57</v>
      </c>
      <c r="U1305" t="s">
        <v>224</v>
      </c>
    </row>
    <row r="1306" spans="1:21">
      <c r="A1306" t="str">
        <f>"002858"</f>
        <v>002858</v>
      </c>
      <c r="B1306" t="s">
        <v>2722</v>
      </c>
      <c r="C1306">
        <v>-1.13</v>
      </c>
      <c r="D1306">
        <v>15.75</v>
      </c>
      <c r="E1306">
        <v>-0.18</v>
      </c>
      <c r="F1306">
        <v>15.75</v>
      </c>
      <c r="G1306">
        <v>15.77</v>
      </c>
      <c r="H1306">
        <v>19518</v>
      </c>
      <c r="I1306">
        <v>124</v>
      </c>
      <c r="J1306">
        <v>0.19</v>
      </c>
      <c r="K1306">
        <v>2.01</v>
      </c>
      <c r="L1306">
        <v>3077.46</v>
      </c>
      <c r="M1306" t="s">
        <v>1862</v>
      </c>
      <c r="N1306" t="s">
        <v>63</v>
      </c>
      <c r="O1306">
        <v>15.95</v>
      </c>
      <c r="P1306">
        <v>15.98</v>
      </c>
      <c r="Q1306">
        <v>15.6</v>
      </c>
      <c r="R1306">
        <v>15.93</v>
      </c>
      <c r="S1306">
        <v>201.23</v>
      </c>
      <c r="T1306">
        <v>0.7</v>
      </c>
      <c r="U1306" t="s">
        <v>848</v>
      </c>
    </row>
    <row r="1307" spans="1:21">
      <c r="A1307" t="str">
        <f>"002859"</f>
        <v>002859</v>
      </c>
      <c r="B1307" t="s">
        <v>2723</v>
      </c>
      <c r="C1307">
        <v>3.92</v>
      </c>
      <c r="D1307">
        <v>32.04</v>
      </c>
      <c r="E1307">
        <v>1.21</v>
      </c>
      <c r="F1307">
        <v>32.04</v>
      </c>
      <c r="G1307">
        <v>32.05</v>
      </c>
      <c r="H1307">
        <v>104183</v>
      </c>
      <c r="I1307">
        <v>1329</v>
      </c>
      <c r="J1307">
        <v>-0.15</v>
      </c>
      <c r="K1307">
        <v>2.59</v>
      </c>
      <c r="L1307">
        <v>33005.24</v>
      </c>
      <c r="M1307" t="s">
        <v>2724</v>
      </c>
      <c r="N1307" t="s">
        <v>69</v>
      </c>
      <c r="O1307">
        <v>30.81</v>
      </c>
      <c r="P1307">
        <v>32.18</v>
      </c>
      <c r="Q1307">
        <v>30.72</v>
      </c>
      <c r="R1307">
        <v>30.83</v>
      </c>
      <c r="S1307">
        <v>29.88</v>
      </c>
      <c r="T1307">
        <v>2.26</v>
      </c>
      <c r="U1307" t="s">
        <v>200</v>
      </c>
    </row>
    <row r="1308" spans="1:21">
      <c r="A1308" t="str">
        <f>"002860"</f>
        <v>002860</v>
      </c>
      <c r="B1308" t="s">
        <v>2725</v>
      </c>
      <c r="C1308">
        <v>3.28</v>
      </c>
      <c r="D1308">
        <v>23.63</v>
      </c>
      <c r="E1308">
        <v>0.75</v>
      </c>
      <c r="F1308">
        <v>23.53</v>
      </c>
      <c r="G1308">
        <v>23.63</v>
      </c>
      <c r="H1308">
        <v>87988</v>
      </c>
      <c r="I1308">
        <v>749</v>
      </c>
      <c r="J1308">
        <v>-0.2</v>
      </c>
      <c r="K1308">
        <v>6.01</v>
      </c>
      <c r="L1308">
        <v>20233.78</v>
      </c>
      <c r="M1308" t="s">
        <v>2025</v>
      </c>
      <c r="N1308" t="s">
        <v>60</v>
      </c>
      <c r="O1308">
        <v>22.92</v>
      </c>
      <c r="P1308">
        <v>23.75</v>
      </c>
      <c r="Q1308">
        <v>22.45</v>
      </c>
      <c r="R1308">
        <v>22.88</v>
      </c>
      <c r="S1308">
        <v>26.85</v>
      </c>
      <c r="T1308">
        <v>0.7</v>
      </c>
      <c r="U1308" t="s">
        <v>200</v>
      </c>
    </row>
    <row r="1309" spans="1:21">
      <c r="A1309" t="str">
        <f>"002861"</f>
        <v>002861</v>
      </c>
      <c r="B1309" t="s">
        <v>2726</v>
      </c>
      <c r="C1309">
        <v>0.58</v>
      </c>
      <c r="D1309">
        <v>12.15</v>
      </c>
      <c r="E1309">
        <v>0.07</v>
      </c>
      <c r="F1309">
        <v>12.14</v>
      </c>
      <c r="G1309">
        <v>12.15</v>
      </c>
      <c r="H1309">
        <v>6014</v>
      </c>
      <c r="I1309">
        <v>26</v>
      </c>
      <c r="J1309">
        <v>0.08</v>
      </c>
      <c r="K1309">
        <v>0.56</v>
      </c>
      <c r="L1309">
        <v>731.5</v>
      </c>
      <c r="M1309" t="s">
        <v>2727</v>
      </c>
      <c r="N1309" t="s">
        <v>153</v>
      </c>
      <c r="O1309">
        <v>12.08</v>
      </c>
      <c r="P1309">
        <v>12.26</v>
      </c>
      <c r="Q1309">
        <v>12.07</v>
      </c>
      <c r="R1309">
        <v>12.08</v>
      </c>
      <c r="S1309" t="s">
        <v>40</v>
      </c>
      <c r="T1309">
        <v>0.63</v>
      </c>
      <c r="U1309" t="s">
        <v>267</v>
      </c>
    </row>
    <row r="1310" spans="1:21">
      <c r="A1310" t="str">
        <f>"002862"</f>
        <v>002862</v>
      </c>
      <c r="B1310" t="s">
        <v>2728</v>
      </c>
      <c r="C1310">
        <v>1.18</v>
      </c>
      <c r="D1310">
        <v>14.62</v>
      </c>
      <c r="E1310">
        <v>0.17</v>
      </c>
      <c r="F1310">
        <v>14.62</v>
      </c>
      <c r="G1310">
        <v>14.63</v>
      </c>
      <c r="H1310">
        <v>18767</v>
      </c>
      <c r="I1310">
        <v>135</v>
      </c>
      <c r="J1310">
        <v>-0.06</v>
      </c>
      <c r="K1310">
        <v>2.25</v>
      </c>
      <c r="L1310">
        <v>2724.36</v>
      </c>
      <c r="M1310" t="s">
        <v>2729</v>
      </c>
      <c r="N1310" t="s">
        <v>63</v>
      </c>
      <c r="O1310">
        <v>14.45</v>
      </c>
      <c r="P1310">
        <v>14.72</v>
      </c>
      <c r="Q1310">
        <v>14.3</v>
      </c>
      <c r="R1310">
        <v>14.45</v>
      </c>
      <c r="S1310">
        <v>211.9</v>
      </c>
      <c r="T1310">
        <v>0.71</v>
      </c>
      <c r="U1310" t="s">
        <v>183</v>
      </c>
    </row>
    <row r="1311" spans="1:21">
      <c r="A1311" t="str">
        <f>"002863"</f>
        <v>002863</v>
      </c>
      <c r="B1311" t="s">
        <v>2730</v>
      </c>
      <c r="C1311">
        <v>2.8</v>
      </c>
      <c r="D1311">
        <v>5.87</v>
      </c>
      <c r="E1311">
        <v>0.16</v>
      </c>
      <c r="F1311">
        <v>5.86</v>
      </c>
      <c r="G1311">
        <v>5.87</v>
      </c>
      <c r="H1311">
        <v>121531</v>
      </c>
      <c r="I1311">
        <v>1148</v>
      </c>
      <c r="J1311">
        <v>0.34</v>
      </c>
      <c r="K1311">
        <v>2.44</v>
      </c>
      <c r="L1311">
        <v>7076.84</v>
      </c>
      <c r="M1311" t="s">
        <v>2731</v>
      </c>
      <c r="N1311" t="s">
        <v>91</v>
      </c>
      <c r="O1311">
        <v>5.75</v>
      </c>
      <c r="P1311">
        <v>5.89</v>
      </c>
      <c r="Q1311">
        <v>5.71</v>
      </c>
      <c r="R1311">
        <v>5.71</v>
      </c>
      <c r="S1311">
        <v>35.89</v>
      </c>
      <c r="T1311">
        <v>0.96</v>
      </c>
      <c r="U1311" t="s">
        <v>200</v>
      </c>
    </row>
    <row r="1312" spans="1:21">
      <c r="A1312" t="str">
        <f>"002864"</f>
        <v>002864</v>
      </c>
      <c r="B1312" t="s">
        <v>2732</v>
      </c>
      <c r="C1312">
        <v>2.8</v>
      </c>
      <c r="D1312">
        <v>24.61</v>
      </c>
      <c r="E1312">
        <v>0.67</v>
      </c>
      <c r="F1312">
        <v>24.61</v>
      </c>
      <c r="G1312">
        <v>24.62</v>
      </c>
      <c r="H1312">
        <v>16746</v>
      </c>
      <c r="I1312">
        <v>201</v>
      </c>
      <c r="J1312">
        <v>-0.15</v>
      </c>
      <c r="K1312">
        <v>3.03</v>
      </c>
      <c r="L1312">
        <v>4074.34</v>
      </c>
      <c r="M1312" t="s">
        <v>2733</v>
      </c>
      <c r="N1312" t="s">
        <v>270</v>
      </c>
      <c r="O1312">
        <v>23.92</v>
      </c>
      <c r="P1312">
        <v>24.65</v>
      </c>
      <c r="Q1312">
        <v>23.86</v>
      </c>
      <c r="R1312">
        <v>23.94</v>
      </c>
      <c r="S1312">
        <v>21.88</v>
      </c>
      <c r="T1312">
        <v>1.55</v>
      </c>
      <c r="U1312" t="s">
        <v>317</v>
      </c>
    </row>
    <row r="1313" spans="1:21">
      <c r="A1313" t="str">
        <f>"002865"</f>
        <v>002865</v>
      </c>
      <c r="B1313" t="s">
        <v>2734</v>
      </c>
      <c r="C1313">
        <v>2.99</v>
      </c>
      <c r="D1313">
        <v>58.5</v>
      </c>
      <c r="E1313">
        <v>1.7</v>
      </c>
      <c r="F1313">
        <v>58.49</v>
      </c>
      <c r="G1313">
        <v>58.5</v>
      </c>
      <c r="H1313">
        <v>54261</v>
      </c>
      <c r="I1313">
        <v>652</v>
      </c>
      <c r="J1313">
        <v>0.29</v>
      </c>
      <c r="K1313">
        <v>4.14</v>
      </c>
      <c r="L1313">
        <v>31421.56</v>
      </c>
      <c r="M1313" t="s">
        <v>2735</v>
      </c>
      <c r="N1313" t="s">
        <v>91</v>
      </c>
      <c r="O1313">
        <v>55.92</v>
      </c>
      <c r="P1313">
        <v>59.19</v>
      </c>
      <c r="Q1313">
        <v>55.92</v>
      </c>
      <c r="R1313">
        <v>56.8</v>
      </c>
      <c r="S1313" t="s">
        <v>40</v>
      </c>
      <c r="T1313">
        <v>0.81</v>
      </c>
      <c r="U1313" t="s">
        <v>294</v>
      </c>
    </row>
    <row r="1314" spans="1:21">
      <c r="A1314" t="str">
        <f>"002866"</f>
        <v>002866</v>
      </c>
      <c r="B1314" t="s">
        <v>2736</v>
      </c>
      <c r="C1314">
        <v>3.34</v>
      </c>
      <c r="D1314">
        <v>12.99</v>
      </c>
      <c r="E1314">
        <v>0.42</v>
      </c>
      <c r="F1314">
        <v>12.98</v>
      </c>
      <c r="G1314">
        <v>12.99</v>
      </c>
      <c r="H1314">
        <v>33072</v>
      </c>
      <c r="I1314">
        <v>195</v>
      </c>
      <c r="J1314">
        <v>0.15</v>
      </c>
      <c r="K1314">
        <v>1.93</v>
      </c>
      <c r="L1314">
        <v>4265.82</v>
      </c>
      <c r="M1314" t="s">
        <v>2737</v>
      </c>
      <c r="N1314" t="s">
        <v>72</v>
      </c>
      <c r="O1314">
        <v>12.57</v>
      </c>
      <c r="P1314">
        <v>13.05</v>
      </c>
      <c r="Q1314">
        <v>12.57</v>
      </c>
      <c r="R1314">
        <v>12.57</v>
      </c>
      <c r="S1314">
        <v>21.68</v>
      </c>
      <c r="T1314">
        <v>1.57</v>
      </c>
      <c r="U1314" t="s">
        <v>102</v>
      </c>
    </row>
    <row r="1315" spans="1:21">
      <c r="A1315" t="str">
        <f>"002867"</f>
        <v>002867</v>
      </c>
      <c r="B1315" t="s">
        <v>2738</v>
      </c>
      <c r="C1315">
        <v>-0.21</v>
      </c>
      <c r="D1315">
        <v>18.6</v>
      </c>
      <c r="E1315">
        <v>-0.04</v>
      </c>
      <c r="F1315">
        <v>18.6</v>
      </c>
      <c r="G1315">
        <v>18.61</v>
      </c>
      <c r="H1315">
        <v>42300</v>
      </c>
      <c r="I1315">
        <v>605</v>
      </c>
      <c r="J1315">
        <v>0.11</v>
      </c>
      <c r="K1315">
        <v>0.39</v>
      </c>
      <c r="L1315">
        <v>7856.23</v>
      </c>
      <c r="M1315" t="s">
        <v>2739</v>
      </c>
      <c r="N1315" t="s">
        <v>1061</v>
      </c>
      <c r="O1315">
        <v>18.64</v>
      </c>
      <c r="P1315">
        <v>18.7</v>
      </c>
      <c r="Q1315">
        <v>18.46</v>
      </c>
      <c r="R1315">
        <v>18.64</v>
      </c>
      <c r="S1315">
        <v>15.2</v>
      </c>
      <c r="T1315">
        <v>0.64</v>
      </c>
      <c r="U1315" t="s">
        <v>24</v>
      </c>
    </row>
    <row r="1316" spans="1:21">
      <c r="A1316" t="str">
        <f>"002868"</f>
        <v>002868</v>
      </c>
      <c r="B1316" t="s">
        <v>2740</v>
      </c>
      <c r="C1316">
        <v>1.24</v>
      </c>
      <c r="D1316">
        <v>9.82</v>
      </c>
      <c r="E1316">
        <v>0.12</v>
      </c>
      <c r="F1316">
        <v>9.82</v>
      </c>
      <c r="G1316">
        <v>9.83</v>
      </c>
      <c r="H1316">
        <v>5506</v>
      </c>
      <c r="I1316">
        <v>19</v>
      </c>
      <c r="J1316">
        <v>0</v>
      </c>
      <c r="K1316">
        <v>0.35</v>
      </c>
      <c r="L1316">
        <v>539.89</v>
      </c>
      <c r="M1316" t="s">
        <v>2741</v>
      </c>
      <c r="N1316" t="s">
        <v>147</v>
      </c>
      <c r="O1316">
        <v>9.66</v>
      </c>
      <c r="P1316">
        <v>9.9</v>
      </c>
      <c r="Q1316">
        <v>9.65</v>
      </c>
      <c r="R1316">
        <v>9.7</v>
      </c>
      <c r="S1316" t="s">
        <v>40</v>
      </c>
      <c r="T1316">
        <v>1</v>
      </c>
      <c r="U1316" t="s">
        <v>339</v>
      </c>
    </row>
    <row r="1317" spans="1:21">
      <c r="A1317" t="str">
        <f>"002869"</f>
        <v>002869</v>
      </c>
      <c r="B1317" t="s">
        <v>2742</v>
      </c>
      <c r="C1317">
        <v>1.27</v>
      </c>
      <c r="D1317">
        <v>15.16</v>
      </c>
      <c r="E1317">
        <v>0.19</v>
      </c>
      <c r="F1317">
        <v>15.16</v>
      </c>
      <c r="G1317">
        <v>15.17</v>
      </c>
      <c r="H1317">
        <v>19743</v>
      </c>
      <c r="I1317">
        <v>394</v>
      </c>
      <c r="J1317">
        <v>0</v>
      </c>
      <c r="K1317">
        <v>1.27</v>
      </c>
      <c r="L1317">
        <v>2980.8</v>
      </c>
      <c r="M1317" t="s">
        <v>2743</v>
      </c>
      <c r="N1317" t="s">
        <v>153</v>
      </c>
      <c r="O1317">
        <v>14.9</v>
      </c>
      <c r="P1317">
        <v>15.24</v>
      </c>
      <c r="Q1317">
        <v>14.88</v>
      </c>
      <c r="R1317">
        <v>14.97</v>
      </c>
      <c r="S1317" t="s">
        <v>40</v>
      </c>
      <c r="T1317">
        <v>0.52</v>
      </c>
      <c r="U1317" t="s">
        <v>24</v>
      </c>
    </row>
    <row r="1318" spans="1:21">
      <c r="A1318" t="str">
        <f>"002870"</f>
        <v>002870</v>
      </c>
      <c r="B1318" t="s">
        <v>2744</v>
      </c>
      <c r="C1318">
        <v>6.7</v>
      </c>
      <c r="D1318">
        <v>43.97</v>
      </c>
      <c r="E1318">
        <v>2.76</v>
      </c>
      <c r="F1318">
        <v>43.97</v>
      </c>
      <c r="G1318">
        <v>43.98</v>
      </c>
      <c r="H1318">
        <v>37575</v>
      </c>
      <c r="I1318">
        <v>536</v>
      </c>
      <c r="J1318">
        <v>0</v>
      </c>
      <c r="K1318">
        <v>6.62</v>
      </c>
      <c r="L1318">
        <v>16289.95</v>
      </c>
      <c r="M1318" t="s">
        <v>2745</v>
      </c>
      <c r="N1318" t="s">
        <v>91</v>
      </c>
      <c r="O1318">
        <v>41.08</v>
      </c>
      <c r="P1318">
        <v>44.92</v>
      </c>
      <c r="Q1318">
        <v>41</v>
      </c>
      <c r="R1318">
        <v>41.21</v>
      </c>
      <c r="S1318">
        <v>33.69</v>
      </c>
      <c r="T1318">
        <v>0.81</v>
      </c>
      <c r="U1318" t="s">
        <v>183</v>
      </c>
    </row>
    <row r="1319" spans="1:21">
      <c r="A1319" t="str">
        <f>"002871"</f>
        <v>002871</v>
      </c>
      <c r="B1319" t="s">
        <v>2746</v>
      </c>
      <c r="C1319">
        <v>2.07</v>
      </c>
      <c r="D1319">
        <v>10.37</v>
      </c>
      <c r="E1319">
        <v>0.21</v>
      </c>
      <c r="F1319">
        <v>10.36</v>
      </c>
      <c r="G1319">
        <v>10.37</v>
      </c>
      <c r="H1319">
        <v>8282</v>
      </c>
      <c r="I1319">
        <v>193</v>
      </c>
      <c r="J1319">
        <v>0</v>
      </c>
      <c r="K1319">
        <v>0.97</v>
      </c>
      <c r="L1319">
        <v>852.82</v>
      </c>
      <c r="M1319" t="s">
        <v>2729</v>
      </c>
      <c r="N1319" t="s">
        <v>347</v>
      </c>
      <c r="O1319">
        <v>10.18</v>
      </c>
      <c r="P1319">
        <v>10.42</v>
      </c>
      <c r="Q1319">
        <v>10.15</v>
      </c>
      <c r="R1319">
        <v>10.16</v>
      </c>
      <c r="S1319">
        <v>30.42</v>
      </c>
      <c r="T1319">
        <v>0.7</v>
      </c>
      <c r="U1319" t="s">
        <v>221</v>
      </c>
    </row>
    <row r="1320" spans="1:21">
      <c r="A1320" t="str">
        <f>"002872"</f>
        <v>002872</v>
      </c>
      <c r="B1320" t="s">
        <v>2747</v>
      </c>
      <c r="C1320">
        <v>1.3</v>
      </c>
      <c r="D1320">
        <v>4.68</v>
      </c>
      <c r="E1320">
        <v>0.06</v>
      </c>
      <c r="F1320">
        <v>4.67</v>
      </c>
      <c r="G1320">
        <v>4.68</v>
      </c>
      <c r="H1320">
        <v>15467</v>
      </c>
      <c r="I1320">
        <v>408</v>
      </c>
      <c r="J1320">
        <v>0</v>
      </c>
      <c r="K1320">
        <v>0.72</v>
      </c>
      <c r="L1320">
        <v>719.47</v>
      </c>
      <c r="M1320" t="s">
        <v>2748</v>
      </c>
      <c r="N1320" t="s">
        <v>192</v>
      </c>
      <c r="O1320">
        <v>4.62</v>
      </c>
      <c r="P1320">
        <v>4.7</v>
      </c>
      <c r="Q1320">
        <v>4.59</v>
      </c>
      <c r="R1320">
        <v>4.62</v>
      </c>
      <c r="S1320" t="s">
        <v>40</v>
      </c>
      <c r="T1320">
        <v>0.92</v>
      </c>
      <c r="U1320" t="s">
        <v>314</v>
      </c>
    </row>
    <row r="1321" spans="1:21">
      <c r="A1321" t="str">
        <f>"002873"</f>
        <v>002873</v>
      </c>
      <c r="B1321" t="s">
        <v>2749</v>
      </c>
      <c r="C1321">
        <v>-0.3</v>
      </c>
      <c r="D1321">
        <v>13.33</v>
      </c>
      <c r="E1321">
        <v>-0.04</v>
      </c>
      <c r="F1321">
        <v>13.32</v>
      </c>
      <c r="G1321">
        <v>13.33</v>
      </c>
      <c r="H1321">
        <v>40466</v>
      </c>
      <c r="I1321">
        <v>1097</v>
      </c>
      <c r="J1321">
        <v>0</v>
      </c>
      <c r="K1321">
        <v>2.61</v>
      </c>
      <c r="L1321">
        <v>5400.07</v>
      </c>
      <c r="M1321" t="s">
        <v>2750</v>
      </c>
      <c r="N1321" t="s">
        <v>270</v>
      </c>
      <c r="O1321">
        <v>13.29</v>
      </c>
      <c r="P1321">
        <v>13.54</v>
      </c>
      <c r="Q1321">
        <v>13.23</v>
      </c>
      <c r="R1321">
        <v>13.37</v>
      </c>
      <c r="S1321">
        <v>18.44</v>
      </c>
      <c r="T1321">
        <v>0.49</v>
      </c>
      <c r="U1321" t="s">
        <v>368</v>
      </c>
    </row>
    <row r="1322" spans="1:21">
      <c r="A1322" t="str">
        <f>"002875"</f>
        <v>002875</v>
      </c>
      <c r="B1322" t="s">
        <v>2751</v>
      </c>
      <c r="C1322">
        <v>1.35</v>
      </c>
      <c r="D1322">
        <v>8.98</v>
      </c>
      <c r="E1322">
        <v>0.12</v>
      </c>
      <c r="F1322">
        <v>8.98</v>
      </c>
      <c r="G1322">
        <v>8.99</v>
      </c>
      <c r="H1322">
        <v>11007</v>
      </c>
      <c r="I1322">
        <v>190</v>
      </c>
      <c r="J1322">
        <v>-0.32</v>
      </c>
      <c r="K1322">
        <v>1.39</v>
      </c>
      <c r="L1322">
        <v>984.34</v>
      </c>
      <c r="M1322" t="s">
        <v>2752</v>
      </c>
      <c r="N1322" t="s">
        <v>1061</v>
      </c>
      <c r="O1322">
        <v>8.86</v>
      </c>
      <c r="P1322">
        <v>9.05</v>
      </c>
      <c r="Q1322">
        <v>8.82</v>
      </c>
      <c r="R1322">
        <v>8.86</v>
      </c>
      <c r="S1322">
        <v>114.65</v>
      </c>
      <c r="T1322">
        <v>1.04</v>
      </c>
      <c r="U1322" t="s">
        <v>24</v>
      </c>
    </row>
    <row r="1323" spans="1:21">
      <c r="A1323" t="str">
        <f>"002876"</f>
        <v>002876</v>
      </c>
      <c r="B1323" t="s">
        <v>2753</v>
      </c>
      <c r="C1323">
        <v>-0.12</v>
      </c>
      <c r="D1323">
        <v>58.85</v>
      </c>
      <c r="E1323">
        <v>-0.07</v>
      </c>
      <c r="F1323">
        <v>58.83</v>
      </c>
      <c r="G1323">
        <v>58.85</v>
      </c>
      <c r="H1323">
        <v>38260</v>
      </c>
      <c r="I1323">
        <v>547</v>
      </c>
      <c r="J1323">
        <v>-0.11</v>
      </c>
      <c r="K1323">
        <v>2.67</v>
      </c>
      <c r="L1323">
        <v>22526.39</v>
      </c>
      <c r="M1323" t="s">
        <v>2754</v>
      </c>
      <c r="N1323" t="s">
        <v>69</v>
      </c>
      <c r="O1323">
        <v>58.59</v>
      </c>
      <c r="P1323">
        <v>60.51</v>
      </c>
      <c r="Q1323">
        <v>57</v>
      </c>
      <c r="R1323">
        <v>58.92</v>
      </c>
      <c r="S1323">
        <v>27.61</v>
      </c>
      <c r="T1323">
        <v>0.97</v>
      </c>
      <c r="U1323" t="s">
        <v>24</v>
      </c>
    </row>
    <row r="1324" spans="1:21">
      <c r="A1324" t="str">
        <f>"002877"</f>
        <v>002877</v>
      </c>
      <c r="B1324" t="s">
        <v>2755</v>
      </c>
      <c r="C1324">
        <v>1.99</v>
      </c>
      <c r="D1324">
        <v>6.65</v>
      </c>
      <c r="E1324">
        <v>0.13</v>
      </c>
      <c r="F1324">
        <v>6.65</v>
      </c>
      <c r="G1324">
        <v>6.66</v>
      </c>
      <c r="H1324">
        <v>31115</v>
      </c>
      <c r="I1324">
        <v>180</v>
      </c>
      <c r="J1324">
        <v>0</v>
      </c>
      <c r="K1324">
        <v>1.51</v>
      </c>
      <c r="L1324">
        <v>2057.18</v>
      </c>
      <c r="M1324" t="s">
        <v>2756</v>
      </c>
      <c r="N1324" t="s">
        <v>1028</v>
      </c>
      <c r="O1324">
        <v>6.5</v>
      </c>
      <c r="P1324">
        <v>6.72</v>
      </c>
      <c r="Q1324">
        <v>6.49</v>
      </c>
      <c r="R1324">
        <v>6.52</v>
      </c>
      <c r="S1324">
        <v>41.11</v>
      </c>
      <c r="T1324">
        <v>1.85</v>
      </c>
      <c r="U1324" t="s">
        <v>102</v>
      </c>
    </row>
    <row r="1325" spans="1:21">
      <c r="A1325" t="str">
        <f>"002878"</f>
        <v>002878</v>
      </c>
      <c r="B1325" t="s">
        <v>2757</v>
      </c>
      <c r="C1325">
        <v>0.81</v>
      </c>
      <c r="D1325">
        <v>17.51</v>
      </c>
      <c r="E1325">
        <v>0.14</v>
      </c>
      <c r="F1325">
        <v>17.5</v>
      </c>
      <c r="G1325">
        <v>17.51</v>
      </c>
      <c r="H1325">
        <v>31859</v>
      </c>
      <c r="I1325">
        <v>455</v>
      </c>
      <c r="J1325">
        <v>0.17</v>
      </c>
      <c r="K1325">
        <v>1.69</v>
      </c>
      <c r="L1325">
        <v>5553.06</v>
      </c>
      <c r="M1325" t="s">
        <v>2758</v>
      </c>
      <c r="N1325" t="s">
        <v>63</v>
      </c>
      <c r="O1325">
        <v>17.37</v>
      </c>
      <c r="P1325">
        <v>17.56</v>
      </c>
      <c r="Q1325">
        <v>17.2</v>
      </c>
      <c r="R1325">
        <v>17.37</v>
      </c>
      <c r="S1325">
        <v>35.71</v>
      </c>
      <c r="T1325">
        <v>0.52</v>
      </c>
      <c r="U1325" t="s">
        <v>44</v>
      </c>
    </row>
    <row r="1326" spans="1:21">
      <c r="A1326" t="str">
        <f>"002879"</f>
        <v>002879</v>
      </c>
      <c r="B1326" t="s">
        <v>2759</v>
      </c>
      <c r="C1326">
        <v>-1.25</v>
      </c>
      <c r="D1326">
        <v>23.73</v>
      </c>
      <c r="E1326">
        <v>-0.3</v>
      </c>
      <c r="F1326">
        <v>23.72</v>
      </c>
      <c r="G1326">
        <v>23.73</v>
      </c>
      <c r="H1326">
        <v>80177</v>
      </c>
      <c r="I1326">
        <v>1141</v>
      </c>
      <c r="J1326">
        <v>-0.2</v>
      </c>
      <c r="K1326">
        <v>5.99</v>
      </c>
      <c r="L1326">
        <v>19424.59</v>
      </c>
      <c r="M1326" t="s">
        <v>2760</v>
      </c>
      <c r="N1326" t="s">
        <v>47</v>
      </c>
      <c r="O1326">
        <v>23.97</v>
      </c>
      <c r="P1326">
        <v>24.98</v>
      </c>
      <c r="Q1326">
        <v>23.6</v>
      </c>
      <c r="R1326">
        <v>24.03</v>
      </c>
      <c r="S1326">
        <v>30.4</v>
      </c>
      <c r="T1326">
        <v>0.89</v>
      </c>
      <c r="U1326" t="s">
        <v>204</v>
      </c>
    </row>
    <row r="1327" spans="1:21">
      <c r="A1327" t="str">
        <f>"002880"</f>
        <v>002880</v>
      </c>
      <c r="B1327" t="s">
        <v>2761</v>
      </c>
      <c r="C1327">
        <v>1.44</v>
      </c>
      <c r="D1327">
        <v>30.99</v>
      </c>
      <c r="E1327">
        <v>0.44</v>
      </c>
      <c r="F1327">
        <v>30.99</v>
      </c>
      <c r="G1327">
        <v>31</v>
      </c>
      <c r="H1327">
        <v>5989</v>
      </c>
      <c r="I1327">
        <v>175</v>
      </c>
      <c r="J1327">
        <v>0.52</v>
      </c>
      <c r="K1327">
        <v>0.26</v>
      </c>
      <c r="L1327">
        <v>1843.14</v>
      </c>
      <c r="M1327" t="s">
        <v>2762</v>
      </c>
      <c r="N1327" t="s">
        <v>231</v>
      </c>
      <c r="O1327">
        <v>30.67</v>
      </c>
      <c r="P1327">
        <v>31.02</v>
      </c>
      <c r="Q1327">
        <v>30.36</v>
      </c>
      <c r="R1327">
        <v>30.55</v>
      </c>
      <c r="S1327">
        <v>38.29</v>
      </c>
      <c r="T1327">
        <v>0.58</v>
      </c>
      <c r="U1327" t="s">
        <v>24</v>
      </c>
    </row>
    <row r="1328" spans="1:21">
      <c r="A1328" t="str">
        <f>"002881"</f>
        <v>002881</v>
      </c>
      <c r="B1328" t="s">
        <v>2763</v>
      </c>
      <c r="C1328">
        <v>3.86</v>
      </c>
      <c r="D1328">
        <v>49.21</v>
      </c>
      <c r="E1328">
        <v>1.83</v>
      </c>
      <c r="F1328">
        <v>49.21</v>
      </c>
      <c r="G1328">
        <v>49.22</v>
      </c>
      <c r="H1328">
        <v>40940</v>
      </c>
      <c r="I1328">
        <v>601</v>
      </c>
      <c r="J1328">
        <v>-0.56</v>
      </c>
      <c r="K1328">
        <v>3.96</v>
      </c>
      <c r="L1328">
        <v>20115.38</v>
      </c>
      <c r="M1328" t="s">
        <v>2764</v>
      </c>
      <c r="N1328" t="s">
        <v>153</v>
      </c>
      <c r="O1328">
        <v>47.19</v>
      </c>
      <c r="P1328">
        <v>50.5</v>
      </c>
      <c r="Q1328">
        <v>46.81</v>
      </c>
      <c r="R1328">
        <v>47.38</v>
      </c>
      <c r="S1328">
        <v>85.63</v>
      </c>
      <c r="T1328">
        <v>0.93</v>
      </c>
      <c r="U1328" t="s">
        <v>24</v>
      </c>
    </row>
    <row r="1329" spans="1:21">
      <c r="A1329" t="str">
        <f>"002882"</f>
        <v>002882</v>
      </c>
      <c r="B1329" t="s">
        <v>2765</v>
      </c>
      <c r="C1329">
        <v>-1.92</v>
      </c>
      <c r="D1329">
        <v>12.76</v>
      </c>
      <c r="E1329">
        <v>-0.25</v>
      </c>
      <c r="F1329">
        <v>12.76</v>
      </c>
      <c r="G1329">
        <v>12.77</v>
      </c>
      <c r="H1329">
        <v>114510</v>
      </c>
      <c r="I1329">
        <v>1514</v>
      </c>
      <c r="J1329">
        <v>0.24</v>
      </c>
      <c r="K1329">
        <v>2.66</v>
      </c>
      <c r="L1329">
        <v>14675.52</v>
      </c>
      <c r="M1329" t="s">
        <v>2766</v>
      </c>
      <c r="N1329" t="s">
        <v>47</v>
      </c>
      <c r="O1329">
        <v>13.05</v>
      </c>
      <c r="P1329">
        <v>13.2</v>
      </c>
      <c r="Q1329">
        <v>12.66</v>
      </c>
      <c r="R1329">
        <v>13.01</v>
      </c>
      <c r="S1329">
        <v>24.1</v>
      </c>
      <c r="T1329">
        <v>0.83</v>
      </c>
      <c r="U1329" t="s">
        <v>24</v>
      </c>
    </row>
    <row r="1330" spans="1:21">
      <c r="A1330" t="str">
        <f>"002883"</f>
        <v>002883</v>
      </c>
      <c r="B1330" t="s">
        <v>2767</v>
      </c>
      <c r="C1330">
        <v>1.95</v>
      </c>
      <c r="D1330">
        <v>10.48</v>
      </c>
      <c r="E1330">
        <v>0.2</v>
      </c>
      <c r="F1330">
        <v>10.48</v>
      </c>
      <c r="G1330">
        <v>10.49</v>
      </c>
      <c r="H1330">
        <v>8925</v>
      </c>
      <c r="I1330">
        <v>50</v>
      </c>
      <c r="J1330">
        <v>-0.18</v>
      </c>
      <c r="K1330">
        <v>1</v>
      </c>
      <c r="L1330">
        <v>929.55</v>
      </c>
      <c r="M1330" t="s">
        <v>2768</v>
      </c>
      <c r="N1330" t="s">
        <v>50</v>
      </c>
      <c r="O1330">
        <v>10.28</v>
      </c>
      <c r="P1330">
        <v>10.52</v>
      </c>
      <c r="Q1330">
        <v>10.24</v>
      </c>
      <c r="R1330">
        <v>10.28</v>
      </c>
      <c r="S1330">
        <v>24.61</v>
      </c>
      <c r="T1330">
        <v>1.09</v>
      </c>
      <c r="U1330" t="s">
        <v>102</v>
      </c>
    </row>
    <row r="1331" spans="1:21">
      <c r="A1331" t="str">
        <f>"002884"</f>
        <v>002884</v>
      </c>
      <c r="B1331" t="s">
        <v>2769</v>
      </c>
      <c r="C1331">
        <v>2.98</v>
      </c>
      <c r="D1331">
        <v>23.87</v>
      </c>
      <c r="E1331">
        <v>0.69</v>
      </c>
      <c r="F1331">
        <v>23.87</v>
      </c>
      <c r="G1331">
        <v>23.88</v>
      </c>
      <c r="H1331">
        <v>21395</v>
      </c>
      <c r="I1331">
        <v>326</v>
      </c>
      <c r="J1331">
        <v>0.13</v>
      </c>
      <c r="K1331">
        <v>0.79</v>
      </c>
      <c r="L1331">
        <v>5020.79</v>
      </c>
      <c r="M1331" t="s">
        <v>2770</v>
      </c>
      <c r="N1331" t="s">
        <v>324</v>
      </c>
      <c r="O1331">
        <v>23.19</v>
      </c>
      <c r="P1331">
        <v>23.88</v>
      </c>
      <c r="Q1331">
        <v>22.78</v>
      </c>
      <c r="R1331">
        <v>23.18</v>
      </c>
      <c r="S1331">
        <v>18.31</v>
      </c>
      <c r="T1331">
        <v>1.16</v>
      </c>
      <c r="U1331" t="s">
        <v>183</v>
      </c>
    </row>
    <row r="1332" spans="1:21">
      <c r="A1332" t="str">
        <f>"002885"</f>
        <v>002885</v>
      </c>
      <c r="B1332" t="s">
        <v>2771</v>
      </c>
      <c r="C1332">
        <v>-0.54</v>
      </c>
      <c r="D1332">
        <v>23.87</v>
      </c>
      <c r="E1332">
        <v>-0.13</v>
      </c>
      <c r="F1332">
        <v>23.86</v>
      </c>
      <c r="G1332">
        <v>23.87</v>
      </c>
      <c r="H1332">
        <v>141297</v>
      </c>
      <c r="I1332">
        <v>3505</v>
      </c>
      <c r="J1332">
        <v>-0.49</v>
      </c>
      <c r="K1332">
        <v>11.93</v>
      </c>
      <c r="L1332">
        <v>33950.8</v>
      </c>
      <c r="M1332" t="s">
        <v>2772</v>
      </c>
      <c r="N1332" t="s">
        <v>69</v>
      </c>
      <c r="O1332">
        <v>23.48</v>
      </c>
      <c r="P1332">
        <v>24.61</v>
      </c>
      <c r="Q1332">
        <v>23.48</v>
      </c>
      <c r="R1332">
        <v>24</v>
      </c>
      <c r="S1332">
        <v>159.39</v>
      </c>
      <c r="T1332">
        <v>0.69</v>
      </c>
      <c r="U1332" t="s">
        <v>24</v>
      </c>
    </row>
    <row r="1333" spans="1:21">
      <c r="A1333" t="str">
        <f>"002886"</f>
        <v>002886</v>
      </c>
      <c r="B1333" t="s">
        <v>2773</v>
      </c>
      <c r="C1333">
        <v>0.49</v>
      </c>
      <c r="D1333">
        <v>24.73</v>
      </c>
      <c r="E1333">
        <v>0.12</v>
      </c>
      <c r="F1333">
        <v>24.72</v>
      </c>
      <c r="G1333">
        <v>24.73</v>
      </c>
      <c r="H1333">
        <v>27001</v>
      </c>
      <c r="I1333">
        <v>544</v>
      </c>
      <c r="J1333">
        <v>0.12</v>
      </c>
      <c r="K1333">
        <v>1.57</v>
      </c>
      <c r="L1333">
        <v>6683.08</v>
      </c>
      <c r="M1333" t="s">
        <v>2774</v>
      </c>
      <c r="N1333" t="s">
        <v>839</v>
      </c>
      <c r="O1333">
        <v>24.61</v>
      </c>
      <c r="P1333">
        <v>25.18</v>
      </c>
      <c r="Q1333">
        <v>24.13</v>
      </c>
      <c r="R1333">
        <v>24.61</v>
      </c>
      <c r="S1333">
        <v>83.58</v>
      </c>
      <c r="T1333">
        <v>0.71</v>
      </c>
      <c r="U1333" t="s">
        <v>24</v>
      </c>
    </row>
    <row r="1334" spans="1:21">
      <c r="A1334" t="str">
        <f>"002887"</f>
        <v>002887</v>
      </c>
      <c r="B1334" t="s">
        <v>2775</v>
      </c>
      <c r="C1334">
        <v>0.42</v>
      </c>
      <c r="D1334">
        <v>9.54</v>
      </c>
      <c r="E1334">
        <v>0.04</v>
      </c>
      <c r="F1334">
        <v>9.54</v>
      </c>
      <c r="G1334">
        <v>9.55</v>
      </c>
      <c r="H1334">
        <v>9583</v>
      </c>
      <c r="I1334">
        <v>108</v>
      </c>
      <c r="J1334">
        <v>-0.09</v>
      </c>
      <c r="K1334">
        <v>0.6</v>
      </c>
      <c r="L1334">
        <v>910.85</v>
      </c>
      <c r="M1334" t="s">
        <v>2776</v>
      </c>
      <c r="N1334" t="s">
        <v>33</v>
      </c>
      <c r="O1334">
        <v>9.5</v>
      </c>
      <c r="P1334">
        <v>9.6</v>
      </c>
      <c r="Q1334">
        <v>9.41</v>
      </c>
      <c r="R1334">
        <v>9.5</v>
      </c>
      <c r="S1334">
        <v>17.09</v>
      </c>
      <c r="T1334">
        <v>0.78</v>
      </c>
      <c r="U1334" t="s">
        <v>360</v>
      </c>
    </row>
    <row r="1335" spans="1:21">
      <c r="A1335" t="str">
        <f>"002888"</f>
        <v>002888</v>
      </c>
      <c r="B1335" t="s">
        <v>2777</v>
      </c>
      <c r="C1335">
        <v>1.95</v>
      </c>
      <c r="D1335">
        <v>12.57</v>
      </c>
      <c r="E1335">
        <v>0.24</v>
      </c>
      <c r="F1335">
        <v>12.57</v>
      </c>
      <c r="G1335">
        <v>12.58</v>
      </c>
      <c r="H1335">
        <v>15989</v>
      </c>
      <c r="I1335">
        <v>91</v>
      </c>
      <c r="J1335">
        <v>0</v>
      </c>
      <c r="K1335">
        <v>2.13</v>
      </c>
      <c r="L1335">
        <v>2001.39</v>
      </c>
      <c r="M1335" t="s">
        <v>2778</v>
      </c>
      <c r="N1335" t="s">
        <v>69</v>
      </c>
      <c r="O1335">
        <v>12.32</v>
      </c>
      <c r="P1335">
        <v>12.63</v>
      </c>
      <c r="Q1335">
        <v>12.28</v>
      </c>
      <c r="R1335">
        <v>12.33</v>
      </c>
      <c r="S1335">
        <v>60.76</v>
      </c>
      <c r="T1335">
        <v>0.68</v>
      </c>
      <c r="U1335" t="s">
        <v>183</v>
      </c>
    </row>
    <row r="1336" spans="1:21">
      <c r="A1336" t="str">
        <f>"002889"</f>
        <v>002889</v>
      </c>
      <c r="B1336" t="s">
        <v>2779</v>
      </c>
      <c r="C1336">
        <v>6.34</v>
      </c>
      <c r="D1336">
        <v>25.68</v>
      </c>
      <c r="E1336">
        <v>1.53</v>
      </c>
      <c r="F1336">
        <v>25.68</v>
      </c>
      <c r="G1336">
        <v>25.69</v>
      </c>
      <c r="H1336">
        <v>31030</v>
      </c>
      <c r="I1336">
        <v>684</v>
      </c>
      <c r="J1336">
        <v>0.31</v>
      </c>
      <c r="K1336">
        <v>3.46</v>
      </c>
      <c r="L1336">
        <v>7861.25</v>
      </c>
      <c r="M1336" t="s">
        <v>2780</v>
      </c>
      <c r="N1336" t="s">
        <v>1049</v>
      </c>
      <c r="O1336">
        <v>24.25</v>
      </c>
      <c r="P1336">
        <v>25.85</v>
      </c>
      <c r="Q1336">
        <v>24.15</v>
      </c>
      <c r="R1336">
        <v>24.15</v>
      </c>
      <c r="S1336">
        <v>15.2</v>
      </c>
      <c r="T1336">
        <v>4.17</v>
      </c>
      <c r="U1336" t="s">
        <v>24</v>
      </c>
    </row>
    <row r="1337" spans="1:21">
      <c r="A1337" t="str">
        <f>"002890"</f>
        <v>002890</v>
      </c>
      <c r="B1337" t="s">
        <v>2781</v>
      </c>
      <c r="C1337">
        <v>2.07</v>
      </c>
      <c r="D1337">
        <v>16.25</v>
      </c>
      <c r="E1337">
        <v>0.33</v>
      </c>
      <c r="F1337">
        <v>16.24</v>
      </c>
      <c r="G1337">
        <v>16.25</v>
      </c>
      <c r="H1337">
        <v>7977</v>
      </c>
      <c r="I1337">
        <v>151</v>
      </c>
      <c r="J1337">
        <v>0.12</v>
      </c>
      <c r="K1337">
        <v>1.19</v>
      </c>
      <c r="L1337">
        <v>1290.25</v>
      </c>
      <c r="M1337" t="s">
        <v>2782</v>
      </c>
      <c r="N1337" t="s">
        <v>786</v>
      </c>
      <c r="O1337">
        <v>15.73</v>
      </c>
      <c r="P1337">
        <v>16.36</v>
      </c>
      <c r="Q1337">
        <v>15.73</v>
      </c>
      <c r="R1337">
        <v>15.92</v>
      </c>
      <c r="S1337">
        <v>71.08</v>
      </c>
      <c r="T1337">
        <v>1.19</v>
      </c>
      <c r="U1337" t="s">
        <v>221</v>
      </c>
    </row>
    <row r="1338" spans="1:21">
      <c r="A1338" t="str">
        <f>"002891"</f>
        <v>002891</v>
      </c>
      <c r="B1338" t="s">
        <v>2783</v>
      </c>
      <c r="C1338">
        <v>-0.75</v>
      </c>
      <c r="D1338">
        <v>31.55</v>
      </c>
      <c r="E1338">
        <v>-0.24</v>
      </c>
      <c r="F1338">
        <v>31.55</v>
      </c>
      <c r="G1338">
        <v>31.56</v>
      </c>
      <c r="H1338">
        <v>41471</v>
      </c>
      <c r="I1338">
        <v>950</v>
      </c>
      <c r="J1338">
        <v>0.19</v>
      </c>
      <c r="K1338">
        <v>1.41</v>
      </c>
      <c r="L1338">
        <v>13059.07</v>
      </c>
      <c r="M1338" t="s">
        <v>2784</v>
      </c>
      <c r="N1338" t="s">
        <v>124</v>
      </c>
      <c r="O1338">
        <v>31.48</v>
      </c>
      <c r="P1338">
        <v>31.98</v>
      </c>
      <c r="Q1338">
        <v>31.06</v>
      </c>
      <c r="R1338">
        <v>31.79</v>
      </c>
      <c r="S1338">
        <v>75.89</v>
      </c>
      <c r="T1338">
        <v>0.71</v>
      </c>
      <c r="U1338" t="s">
        <v>221</v>
      </c>
    </row>
    <row r="1339" spans="1:21">
      <c r="A1339" t="str">
        <f>"002892"</f>
        <v>002892</v>
      </c>
      <c r="B1339" t="s">
        <v>2785</v>
      </c>
      <c r="C1339">
        <v>-2.15</v>
      </c>
      <c r="D1339">
        <v>25.43</v>
      </c>
      <c r="E1339">
        <v>-0.56</v>
      </c>
      <c r="F1339">
        <v>25.43</v>
      </c>
      <c r="G1339">
        <v>25.44</v>
      </c>
      <c r="H1339">
        <v>31993</v>
      </c>
      <c r="I1339">
        <v>605</v>
      </c>
      <c r="J1339">
        <v>-0.07</v>
      </c>
      <c r="K1339">
        <v>2.75</v>
      </c>
      <c r="L1339">
        <v>8246.3</v>
      </c>
      <c r="M1339" t="s">
        <v>2786</v>
      </c>
      <c r="N1339" t="s">
        <v>47</v>
      </c>
      <c r="O1339">
        <v>26.77</v>
      </c>
      <c r="P1339">
        <v>26.77</v>
      </c>
      <c r="Q1339">
        <v>25.42</v>
      </c>
      <c r="R1339">
        <v>25.99</v>
      </c>
      <c r="S1339">
        <v>52.43</v>
      </c>
      <c r="T1339">
        <v>1.21</v>
      </c>
      <c r="U1339" t="s">
        <v>204</v>
      </c>
    </row>
    <row r="1340" spans="1:21">
      <c r="A1340" t="str">
        <f>"002893"</f>
        <v>002893</v>
      </c>
      <c r="B1340" t="s">
        <v>2787</v>
      </c>
      <c r="C1340">
        <v>0.35</v>
      </c>
      <c r="D1340">
        <v>8.67</v>
      </c>
      <c r="E1340">
        <v>0.03</v>
      </c>
      <c r="F1340">
        <v>8.66</v>
      </c>
      <c r="G1340">
        <v>8.67</v>
      </c>
      <c r="H1340">
        <v>42641</v>
      </c>
      <c r="I1340">
        <v>604</v>
      </c>
      <c r="J1340">
        <v>-0.11</v>
      </c>
      <c r="K1340">
        <v>2.11</v>
      </c>
      <c r="L1340">
        <v>3663.06</v>
      </c>
      <c r="M1340" t="s">
        <v>2788</v>
      </c>
      <c r="N1340" t="s">
        <v>238</v>
      </c>
      <c r="O1340">
        <v>8.65</v>
      </c>
      <c r="P1340">
        <v>8.73</v>
      </c>
      <c r="Q1340">
        <v>8.45</v>
      </c>
      <c r="R1340">
        <v>8.64</v>
      </c>
      <c r="S1340">
        <v>70.79</v>
      </c>
      <c r="T1340">
        <v>0.88</v>
      </c>
      <c r="U1340" t="s">
        <v>44</v>
      </c>
    </row>
    <row r="1341" spans="1:21">
      <c r="A1341" t="str">
        <f>"002895"</f>
        <v>002895</v>
      </c>
      <c r="B1341" t="s">
        <v>2789</v>
      </c>
      <c r="C1341">
        <v>-0.49</v>
      </c>
      <c r="D1341">
        <v>28.66</v>
      </c>
      <c r="E1341">
        <v>-0.14</v>
      </c>
      <c r="F1341">
        <v>28.66</v>
      </c>
      <c r="G1341">
        <v>28.67</v>
      </c>
      <c r="H1341">
        <v>94964</v>
      </c>
      <c r="I1341">
        <v>508</v>
      </c>
      <c r="J1341">
        <v>0.21</v>
      </c>
      <c r="K1341">
        <v>1.96</v>
      </c>
      <c r="L1341">
        <v>27119.4</v>
      </c>
      <c r="M1341" t="s">
        <v>2790</v>
      </c>
      <c r="N1341" t="s">
        <v>309</v>
      </c>
      <c r="O1341">
        <v>28.87</v>
      </c>
      <c r="P1341">
        <v>29.5</v>
      </c>
      <c r="Q1341">
        <v>27.85</v>
      </c>
      <c r="R1341">
        <v>28.8</v>
      </c>
      <c r="S1341">
        <v>49.55</v>
      </c>
      <c r="T1341">
        <v>0.71</v>
      </c>
      <c r="U1341" t="s">
        <v>368</v>
      </c>
    </row>
    <row r="1342" spans="1:21">
      <c r="A1342" t="str">
        <f>"002896"</f>
        <v>002896</v>
      </c>
      <c r="B1342" t="s">
        <v>2791</v>
      </c>
      <c r="C1342">
        <v>1.22</v>
      </c>
      <c r="D1342">
        <v>22.48</v>
      </c>
      <c r="E1342">
        <v>0.27</v>
      </c>
      <c r="F1342">
        <v>22.48</v>
      </c>
      <c r="G1342">
        <v>22.49</v>
      </c>
      <c r="H1342">
        <v>12311</v>
      </c>
      <c r="I1342">
        <v>169</v>
      </c>
      <c r="J1342">
        <v>0.09</v>
      </c>
      <c r="K1342">
        <v>1.18</v>
      </c>
      <c r="L1342">
        <v>2746.58</v>
      </c>
      <c r="M1342" t="s">
        <v>2792</v>
      </c>
      <c r="N1342" t="s">
        <v>347</v>
      </c>
      <c r="O1342">
        <v>22.2</v>
      </c>
      <c r="P1342">
        <v>22.59</v>
      </c>
      <c r="Q1342">
        <v>21.77</v>
      </c>
      <c r="R1342">
        <v>22.21</v>
      </c>
      <c r="S1342">
        <v>25.38</v>
      </c>
      <c r="T1342">
        <v>1.19</v>
      </c>
      <c r="U1342" t="s">
        <v>200</v>
      </c>
    </row>
    <row r="1343" spans="1:21">
      <c r="A1343" t="str">
        <f>"002897"</f>
        <v>002897</v>
      </c>
      <c r="B1343" t="s">
        <v>2793</v>
      </c>
      <c r="C1343">
        <v>-1.17</v>
      </c>
      <c r="D1343">
        <v>45.74</v>
      </c>
      <c r="E1343">
        <v>-0.54</v>
      </c>
      <c r="F1343">
        <v>45.74</v>
      </c>
      <c r="G1343">
        <v>45.76</v>
      </c>
      <c r="H1343">
        <v>41142</v>
      </c>
      <c r="I1343">
        <v>397</v>
      </c>
      <c r="J1343">
        <v>-0.32</v>
      </c>
      <c r="K1343">
        <v>2.61</v>
      </c>
      <c r="L1343">
        <v>19159.21</v>
      </c>
      <c r="M1343" t="s">
        <v>2794</v>
      </c>
      <c r="N1343" t="s">
        <v>69</v>
      </c>
      <c r="O1343">
        <v>45.85</v>
      </c>
      <c r="P1343">
        <v>48.06</v>
      </c>
      <c r="Q1343">
        <v>45.35</v>
      </c>
      <c r="R1343">
        <v>46.28</v>
      </c>
      <c r="S1343">
        <v>54.33</v>
      </c>
      <c r="T1343">
        <v>0.77</v>
      </c>
      <c r="U1343" t="s">
        <v>200</v>
      </c>
    </row>
    <row r="1344" spans="1:21">
      <c r="A1344" t="str">
        <f>"002898"</f>
        <v>002898</v>
      </c>
      <c r="B1344" t="s">
        <v>2795</v>
      </c>
      <c r="C1344">
        <v>1.15</v>
      </c>
      <c r="D1344">
        <v>9.68</v>
      </c>
      <c r="E1344">
        <v>0.11</v>
      </c>
      <c r="F1344">
        <v>9.67</v>
      </c>
      <c r="G1344">
        <v>9.68</v>
      </c>
      <c r="H1344">
        <v>7433</v>
      </c>
      <c r="I1344">
        <v>111</v>
      </c>
      <c r="J1344">
        <v>-0.2</v>
      </c>
      <c r="K1344">
        <v>0.74</v>
      </c>
      <c r="L1344">
        <v>715.57</v>
      </c>
      <c r="M1344" t="s">
        <v>2796</v>
      </c>
      <c r="N1344" t="s">
        <v>192</v>
      </c>
      <c r="O1344">
        <v>9.54</v>
      </c>
      <c r="P1344">
        <v>9.72</v>
      </c>
      <c r="Q1344">
        <v>9.51</v>
      </c>
      <c r="R1344">
        <v>9.57</v>
      </c>
      <c r="S1344">
        <v>108.28</v>
      </c>
      <c r="T1344">
        <v>1.03</v>
      </c>
      <c r="U1344" t="s">
        <v>183</v>
      </c>
    </row>
    <row r="1345" spans="1:21">
      <c r="A1345" t="str">
        <f>"002899"</f>
        <v>002899</v>
      </c>
      <c r="B1345" t="s">
        <v>2797</v>
      </c>
      <c r="C1345">
        <v>1.41</v>
      </c>
      <c r="D1345">
        <v>14.38</v>
      </c>
      <c r="E1345">
        <v>0.2</v>
      </c>
      <c r="F1345">
        <v>14.38</v>
      </c>
      <c r="G1345">
        <v>14.4</v>
      </c>
      <c r="H1345">
        <v>19580</v>
      </c>
      <c r="I1345">
        <v>479</v>
      </c>
      <c r="J1345">
        <v>-0.06</v>
      </c>
      <c r="K1345">
        <v>1.63</v>
      </c>
      <c r="L1345">
        <v>2809.12</v>
      </c>
      <c r="M1345" t="s">
        <v>2798</v>
      </c>
      <c r="N1345" t="s">
        <v>63</v>
      </c>
      <c r="O1345">
        <v>14.15</v>
      </c>
      <c r="P1345">
        <v>14.49</v>
      </c>
      <c r="Q1345">
        <v>14.12</v>
      </c>
      <c r="R1345">
        <v>14.18</v>
      </c>
      <c r="S1345">
        <v>46.02</v>
      </c>
      <c r="T1345">
        <v>1.12</v>
      </c>
      <c r="U1345" t="s">
        <v>221</v>
      </c>
    </row>
    <row r="1346" spans="1:21">
      <c r="A1346" t="str">
        <f>"002900"</f>
        <v>002900</v>
      </c>
      <c r="B1346" t="s">
        <v>2799</v>
      </c>
      <c r="C1346">
        <v>-0.41</v>
      </c>
      <c r="D1346">
        <v>21.84</v>
      </c>
      <c r="E1346">
        <v>-0.09</v>
      </c>
      <c r="F1346">
        <v>21.84</v>
      </c>
      <c r="G1346">
        <v>21.85</v>
      </c>
      <c r="H1346">
        <v>68063</v>
      </c>
      <c r="I1346">
        <v>825</v>
      </c>
      <c r="J1346">
        <v>-0.04</v>
      </c>
      <c r="K1346">
        <v>3.99</v>
      </c>
      <c r="L1346">
        <v>14860.32</v>
      </c>
      <c r="M1346" t="s">
        <v>2800</v>
      </c>
      <c r="N1346" t="s">
        <v>192</v>
      </c>
      <c r="O1346">
        <v>21.7</v>
      </c>
      <c r="P1346">
        <v>22.2</v>
      </c>
      <c r="Q1346">
        <v>21.56</v>
      </c>
      <c r="R1346">
        <v>21.93</v>
      </c>
      <c r="S1346">
        <v>9.61</v>
      </c>
      <c r="T1346">
        <v>0.63</v>
      </c>
      <c r="U1346" t="s">
        <v>445</v>
      </c>
    </row>
    <row r="1347" spans="1:21">
      <c r="A1347" t="str">
        <f>"002901"</f>
        <v>002901</v>
      </c>
      <c r="B1347" t="s">
        <v>2801</v>
      </c>
      <c r="C1347">
        <v>-0.37</v>
      </c>
      <c r="D1347">
        <v>48.45</v>
      </c>
      <c r="E1347">
        <v>-0.18</v>
      </c>
      <c r="F1347">
        <v>48.45</v>
      </c>
      <c r="G1347">
        <v>48.48</v>
      </c>
      <c r="H1347">
        <v>6513</v>
      </c>
      <c r="I1347">
        <v>161</v>
      </c>
      <c r="J1347">
        <v>-0.01</v>
      </c>
      <c r="K1347">
        <v>0.19</v>
      </c>
      <c r="L1347">
        <v>3150.22</v>
      </c>
      <c r="M1347" t="s">
        <v>2802</v>
      </c>
      <c r="N1347" t="s">
        <v>186</v>
      </c>
      <c r="O1347">
        <v>48.52</v>
      </c>
      <c r="P1347">
        <v>48.86</v>
      </c>
      <c r="Q1347">
        <v>47.5</v>
      </c>
      <c r="R1347">
        <v>48.63</v>
      </c>
      <c r="S1347">
        <v>32.46</v>
      </c>
      <c r="T1347">
        <v>0.52</v>
      </c>
      <c r="U1347" t="s">
        <v>339</v>
      </c>
    </row>
    <row r="1348" spans="1:21">
      <c r="A1348" t="str">
        <f>"002902"</f>
        <v>002902</v>
      </c>
      <c r="B1348" t="s">
        <v>2803</v>
      </c>
      <c r="C1348">
        <v>-0.2</v>
      </c>
      <c r="D1348">
        <v>14.77</v>
      </c>
      <c r="E1348">
        <v>-0.03</v>
      </c>
      <c r="F1348">
        <v>14.77</v>
      </c>
      <c r="G1348">
        <v>14.79</v>
      </c>
      <c r="H1348">
        <v>59360</v>
      </c>
      <c r="I1348">
        <v>463</v>
      </c>
      <c r="J1348">
        <v>0.2</v>
      </c>
      <c r="K1348">
        <v>4.49</v>
      </c>
      <c r="L1348">
        <v>8725.87</v>
      </c>
      <c r="M1348" t="s">
        <v>2804</v>
      </c>
      <c r="N1348" t="s">
        <v>69</v>
      </c>
      <c r="O1348">
        <v>14.76</v>
      </c>
      <c r="P1348">
        <v>14.96</v>
      </c>
      <c r="Q1348">
        <v>14.48</v>
      </c>
      <c r="R1348">
        <v>14.8</v>
      </c>
      <c r="S1348">
        <v>258.09</v>
      </c>
      <c r="T1348">
        <v>0.79</v>
      </c>
      <c r="U1348" t="s">
        <v>183</v>
      </c>
    </row>
    <row r="1349" spans="1:21">
      <c r="A1349" t="str">
        <f>"002903"</f>
        <v>002903</v>
      </c>
      <c r="B1349" t="s">
        <v>2805</v>
      </c>
      <c r="C1349">
        <v>3.03</v>
      </c>
      <c r="D1349">
        <v>17.66</v>
      </c>
      <c r="E1349">
        <v>0.52</v>
      </c>
      <c r="F1349">
        <v>17.66</v>
      </c>
      <c r="G1349">
        <v>17.67</v>
      </c>
      <c r="H1349">
        <v>70554</v>
      </c>
      <c r="I1349">
        <v>1105</v>
      </c>
      <c r="J1349">
        <v>-0.05</v>
      </c>
      <c r="K1349">
        <v>7.73</v>
      </c>
      <c r="L1349">
        <v>12292.84</v>
      </c>
      <c r="M1349" t="s">
        <v>2806</v>
      </c>
      <c r="N1349" t="s">
        <v>247</v>
      </c>
      <c r="O1349">
        <v>17.06</v>
      </c>
      <c r="P1349">
        <v>17.69</v>
      </c>
      <c r="Q1349">
        <v>16.98</v>
      </c>
      <c r="R1349">
        <v>17.14</v>
      </c>
      <c r="S1349">
        <v>39.55</v>
      </c>
      <c r="T1349">
        <v>1.1</v>
      </c>
      <c r="U1349" t="s">
        <v>204</v>
      </c>
    </row>
    <row r="1350" spans="1:21">
      <c r="A1350" t="str">
        <f>"002905"</f>
        <v>002905</v>
      </c>
      <c r="B1350" t="s">
        <v>2807</v>
      </c>
      <c r="C1350">
        <v>1.04</v>
      </c>
      <c r="D1350">
        <v>6.8</v>
      </c>
      <c r="E1350">
        <v>0.07</v>
      </c>
      <c r="F1350">
        <v>6.8</v>
      </c>
      <c r="G1350">
        <v>6.81</v>
      </c>
      <c r="H1350">
        <v>22511</v>
      </c>
      <c r="I1350">
        <v>524</v>
      </c>
      <c r="J1350">
        <v>0.15</v>
      </c>
      <c r="K1350">
        <v>0.64</v>
      </c>
      <c r="L1350">
        <v>1521.36</v>
      </c>
      <c r="M1350" t="s">
        <v>2808</v>
      </c>
      <c r="N1350" t="s">
        <v>199</v>
      </c>
      <c r="O1350">
        <v>6.76</v>
      </c>
      <c r="P1350">
        <v>6.8</v>
      </c>
      <c r="Q1350">
        <v>6.69</v>
      </c>
      <c r="R1350">
        <v>6.73</v>
      </c>
      <c r="S1350" t="s">
        <v>40</v>
      </c>
      <c r="T1350">
        <v>1.22</v>
      </c>
      <c r="U1350" t="s">
        <v>183</v>
      </c>
    </row>
    <row r="1351" spans="1:21">
      <c r="A1351" t="str">
        <f>"002906"</f>
        <v>002906</v>
      </c>
      <c r="B1351" t="s">
        <v>2809</v>
      </c>
      <c r="C1351">
        <v>4.43</v>
      </c>
      <c r="D1351">
        <v>55.38</v>
      </c>
      <c r="E1351">
        <v>2.35</v>
      </c>
      <c r="F1351">
        <v>55.35</v>
      </c>
      <c r="G1351">
        <v>55.38</v>
      </c>
      <c r="H1351">
        <v>80317</v>
      </c>
      <c r="I1351">
        <v>736</v>
      </c>
      <c r="J1351">
        <v>-0.53</v>
      </c>
      <c r="K1351">
        <v>1.7</v>
      </c>
      <c r="L1351">
        <v>43576.14</v>
      </c>
      <c r="M1351" t="s">
        <v>2810</v>
      </c>
      <c r="N1351" t="s">
        <v>91</v>
      </c>
      <c r="O1351">
        <v>53.14</v>
      </c>
      <c r="P1351">
        <v>56.34</v>
      </c>
      <c r="Q1351">
        <v>52.2</v>
      </c>
      <c r="R1351">
        <v>53.03</v>
      </c>
      <c r="S1351">
        <v>94.63</v>
      </c>
      <c r="T1351">
        <v>1.74</v>
      </c>
      <c r="U1351" t="s">
        <v>183</v>
      </c>
    </row>
    <row r="1352" spans="1:21">
      <c r="A1352" t="str">
        <f>"002907"</f>
        <v>002907</v>
      </c>
      <c r="B1352" t="s">
        <v>2811</v>
      </c>
      <c r="C1352">
        <v>0.95</v>
      </c>
      <c r="D1352">
        <v>11.71</v>
      </c>
      <c r="E1352">
        <v>0.11</v>
      </c>
      <c r="F1352">
        <v>11.71</v>
      </c>
      <c r="G1352">
        <v>11.72</v>
      </c>
      <c r="H1352">
        <v>4710</v>
      </c>
      <c r="I1352">
        <v>59</v>
      </c>
      <c r="J1352">
        <v>-0.16</v>
      </c>
      <c r="K1352">
        <v>0.17</v>
      </c>
      <c r="L1352">
        <v>549.68</v>
      </c>
      <c r="M1352" t="s">
        <v>2812</v>
      </c>
      <c r="N1352" t="s">
        <v>192</v>
      </c>
      <c r="O1352">
        <v>11.48</v>
      </c>
      <c r="P1352">
        <v>11.75</v>
      </c>
      <c r="Q1352">
        <v>11.48</v>
      </c>
      <c r="R1352">
        <v>11.6</v>
      </c>
      <c r="S1352">
        <v>39.45</v>
      </c>
      <c r="T1352">
        <v>0.82</v>
      </c>
      <c r="U1352" t="s">
        <v>314</v>
      </c>
    </row>
    <row r="1353" spans="1:21">
      <c r="A1353" t="str">
        <f>"002908"</f>
        <v>002908</v>
      </c>
      <c r="B1353" t="s">
        <v>2813</v>
      </c>
      <c r="C1353">
        <v>2.2</v>
      </c>
      <c r="D1353">
        <v>14.85</v>
      </c>
      <c r="E1353">
        <v>0.32</v>
      </c>
      <c r="F1353">
        <v>14.85</v>
      </c>
      <c r="G1353">
        <v>14.86</v>
      </c>
      <c r="H1353">
        <v>37382</v>
      </c>
      <c r="I1353">
        <v>343</v>
      </c>
      <c r="J1353">
        <v>0.13</v>
      </c>
      <c r="K1353">
        <v>2.53</v>
      </c>
      <c r="L1353">
        <v>5536.28</v>
      </c>
      <c r="M1353" t="s">
        <v>2814</v>
      </c>
      <c r="N1353" t="s">
        <v>69</v>
      </c>
      <c r="O1353">
        <v>14.65</v>
      </c>
      <c r="P1353">
        <v>15</v>
      </c>
      <c r="Q1353">
        <v>14.51</v>
      </c>
      <c r="R1353">
        <v>14.53</v>
      </c>
      <c r="S1353">
        <v>59.24</v>
      </c>
      <c r="T1353">
        <v>0.99</v>
      </c>
      <c r="U1353" t="s">
        <v>183</v>
      </c>
    </row>
    <row r="1354" spans="1:21">
      <c r="A1354" t="str">
        <f>"002909"</f>
        <v>002909</v>
      </c>
      <c r="B1354" t="s">
        <v>2815</v>
      </c>
      <c r="C1354">
        <v>-0.72</v>
      </c>
      <c r="D1354">
        <v>6.93</v>
      </c>
      <c r="E1354">
        <v>-0.05</v>
      </c>
      <c r="F1354">
        <v>6.93</v>
      </c>
      <c r="G1354">
        <v>6.94</v>
      </c>
      <c r="H1354">
        <v>34184</v>
      </c>
      <c r="I1354">
        <v>423</v>
      </c>
      <c r="J1354">
        <v>-0.28</v>
      </c>
      <c r="K1354">
        <v>0.98</v>
      </c>
      <c r="L1354">
        <v>2370.43</v>
      </c>
      <c r="M1354" t="s">
        <v>2816</v>
      </c>
      <c r="N1354" t="s">
        <v>309</v>
      </c>
      <c r="O1354">
        <v>6.98</v>
      </c>
      <c r="P1354">
        <v>7.1</v>
      </c>
      <c r="Q1354">
        <v>6.79</v>
      </c>
      <c r="R1354">
        <v>6.98</v>
      </c>
      <c r="S1354">
        <v>75.11</v>
      </c>
      <c r="T1354">
        <v>0.81</v>
      </c>
      <c r="U1354" t="s">
        <v>183</v>
      </c>
    </row>
    <row r="1355" spans="1:21">
      <c r="A1355" t="str">
        <f>"002910"</f>
        <v>002910</v>
      </c>
      <c r="B1355" t="s">
        <v>2817</v>
      </c>
      <c r="C1355">
        <v>0.26</v>
      </c>
      <c r="D1355">
        <v>11.41</v>
      </c>
      <c r="E1355">
        <v>0.03</v>
      </c>
      <c r="F1355">
        <v>11.41</v>
      </c>
      <c r="G1355">
        <v>11.42</v>
      </c>
      <c r="H1355">
        <v>50795</v>
      </c>
      <c r="I1355">
        <v>480</v>
      </c>
      <c r="J1355">
        <v>-0.16</v>
      </c>
      <c r="K1355">
        <v>2.97</v>
      </c>
      <c r="L1355">
        <v>5742.21</v>
      </c>
      <c r="M1355" t="s">
        <v>2818</v>
      </c>
      <c r="N1355" t="s">
        <v>1735</v>
      </c>
      <c r="O1355">
        <v>11.37</v>
      </c>
      <c r="P1355">
        <v>11.54</v>
      </c>
      <c r="Q1355">
        <v>11.09</v>
      </c>
      <c r="R1355">
        <v>11.38</v>
      </c>
      <c r="S1355">
        <v>61.6</v>
      </c>
      <c r="T1355">
        <v>1.01</v>
      </c>
      <c r="U1355" t="s">
        <v>391</v>
      </c>
    </row>
    <row r="1356" spans="1:21">
      <c r="A1356" t="str">
        <f>"002911"</f>
        <v>002911</v>
      </c>
      <c r="B1356" t="s">
        <v>2819</v>
      </c>
      <c r="C1356">
        <v>0.78</v>
      </c>
      <c r="D1356">
        <v>10.28</v>
      </c>
      <c r="E1356">
        <v>0.08</v>
      </c>
      <c r="F1356">
        <v>10.28</v>
      </c>
      <c r="G1356">
        <v>10.29</v>
      </c>
      <c r="H1356">
        <v>52972</v>
      </c>
      <c r="I1356">
        <v>810</v>
      </c>
      <c r="J1356">
        <v>0.1</v>
      </c>
      <c r="K1356">
        <v>0.56</v>
      </c>
      <c r="L1356">
        <v>5403.59</v>
      </c>
      <c r="M1356" t="s">
        <v>2820</v>
      </c>
      <c r="N1356" t="s">
        <v>238</v>
      </c>
      <c r="O1356">
        <v>10.1</v>
      </c>
      <c r="P1356">
        <v>10.38</v>
      </c>
      <c r="Q1356">
        <v>9.97</v>
      </c>
      <c r="R1356">
        <v>10.2</v>
      </c>
      <c r="S1356">
        <v>18.54</v>
      </c>
      <c r="T1356">
        <v>1.02</v>
      </c>
      <c r="U1356" t="s">
        <v>183</v>
      </c>
    </row>
    <row r="1357" spans="1:21">
      <c r="A1357" t="str">
        <f>"002912"</f>
        <v>002912</v>
      </c>
      <c r="B1357" t="s">
        <v>2821</v>
      </c>
      <c r="C1357">
        <v>0.88</v>
      </c>
      <c r="D1357">
        <v>30.95</v>
      </c>
      <c r="E1357">
        <v>0.27</v>
      </c>
      <c r="F1357">
        <v>30.95</v>
      </c>
      <c r="G1357">
        <v>30.96</v>
      </c>
      <c r="H1357">
        <v>6481</v>
      </c>
      <c r="I1357">
        <v>119</v>
      </c>
      <c r="J1357">
        <v>-0.12</v>
      </c>
      <c r="K1357">
        <v>0.55</v>
      </c>
      <c r="L1357">
        <v>2006.57</v>
      </c>
      <c r="M1357" t="s">
        <v>2822</v>
      </c>
      <c r="N1357" t="s">
        <v>30</v>
      </c>
      <c r="O1357">
        <v>30.78</v>
      </c>
      <c r="P1357">
        <v>31.2</v>
      </c>
      <c r="Q1357">
        <v>30.69</v>
      </c>
      <c r="R1357">
        <v>30.68</v>
      </c>
      <c r="S1357" t="s">
        <v>40</v>
      </c>
      <c r="T1357">
        <v>0.9</v>
      </c>
      <c r="U1357" t="s">
        <v>24</v>
      </c>
    </row>
    <row r="1358" spans="1:21">
      <c r="A1358" t="str">
        <f>"002913"</f>
        <v>002913</v>
      </c>
      <c r="B1358" t="s">
        <v>2823</v>
      </c>
      <c r="C1358">
        <v>-0.17</v>
      </c>
      <c r="D1358">
        <v>74.75</v>
      </c>
      <c r="E1358">
        <v>-0.13</v>
      </c>
      <c r="F1358">
        <v>74.74</v>
      </c>
      <c r="G1358">
        <v>74.75</v>
      </c>
      <c r="H1358">
        <v>12354</v>
      </c>
      <c r="I1358">
        <v>106</v>
      </c>
      <c r="J1358">
        <v>0.04</v>
      </c>
      <c r="K1358">
        <v>0.95</v>
      </c>
      <c r="L1358">
        <v>9188.78</v>
      </c>
      <c r="M1358" t="s">
        <v>2824</v>
      </c>
      <c r="N1358" t="s">
        <v>69</v>
      </c>
      <c r="O1358">
        <v>74.64</v>
      </c>
      <c r="P1358">
        <v>75.47</v>
      </c>
      <c r="Q1358">
        <v>73.4</v>
      </c>
      <c r="R1358">
        <v>74.88</v>
      </c>
      <c r="S1358">
        <v>23.64</v>
      </c>
      <c r="T1358">
        <v>0.6</v>
      </c>
      <c r="U1358" t="s">
        <v>204</v>
      </c>
    </row>
    <row r="1359" spans="1:21">
      <c r="A1359" t="str">
        <f>"002915"</f>
        <v>002915</v>
      </c>
      <c r="B1359" t="s">
        <v>2825</v>
      </c>
      <c r="C1359">
        <v>6.25</v>
      </c>
      <c r="D1359">
        <v>31.79</v>
      </c>
      <c r="E1359">
        <v>1.87</v>
      </c>
      <c r="F1359">
        <v>31.78</v>
      </c>
      <c r="G1359">
        <v>31.79</v>
      </c>
      <c r="H1359">
        <v>60111</v>
      </c>
      <c r="I1359">
        <v>1994</v>
      </c>
      <c r="J1359">
        <v>0.32</v>
      </c>
      <c r="K1359">
        <v>4.07</v>
      </c>
      <c r="L1359">
        <v>18821.26</v>
      </c>
      <c r="M1359" t="s">
        <v>2500</v>
      </c>
      <c r="N1359" t="s">
        <v>309</v>
      </c>
      <c r="O1359">
        <v>29.9</v>
      </c>
      <c r="P1359">
        <v>31.99</v>
      </c>
      <c r="Q1359">
        <v>29.86</v>
      </c>
      <c r="R1359">
        <v>29.92</v>
      </c>
      <c r="S1359">
        <v>40.52</v>
      </c>
      <c r="T1359">
        <v>0.85</v>
      </c>
      <c r="U1359" t="s">
        <v>200</v>
      </c>
    </row>
    <row r="1360" spans="1:21">
      <c r="A1360" t="str">
        <f>"002916"</f>
        <v>002916</v>
      </c>
      <c r="B1360" t="s">
        <v>2826</v>
      </c>
      <c r="C1360">
        <v>0.21</v>
      </c>
      <c r="D1360">
        <v>111.92</v>
      </c>
      <c r="E1360">
        <v>0.23</v>
      </c>
      <c r="F1360">
        <v>111.92</v>
      </c>
      <c r="G1360">
        <v>111.95</v>
      </c>
      <c r="H1360">
        <v>34467</v>
      </c>
      <c r="I1360">
        <v>214</v>
      </c>
      <c r="J1360">
        <v>0.12</v>
      </c>
      <c r="K1360">
        <v>0.71</v>
      </c>
      <c r="L1360">
        <v>38539.66</v>
      </c>
      <c r="M1360" t="s">
        <v>2827</v>
      </c>
      <c r="N1360" t="s">
        <v>69</v>
      </c>
      <c r="O1360">
        <v>111.11</v>
      </c>
      <c r="P1360">
        <v>112.6</v>
      </c>
      <c r="Q1360">
        <v>110.61</v>
      </c>
      <c r="R1360">
        <v>111.69</v>
      </c>
      <c r="S1360">
        <v>40.01</v>
      </c>
      <c r="T1360">
        <v>0.69</v>
      </c>
      <c r="U1360" t="s">
        <v>24</v>
      </c>
    </row>
    <row r="1361" spans="1:21">
      <c r="A1361" t="str">
        <f>"002917"</f>
        <v>002917</v>
      </c>
      <c r="B1361" t="s">
        <v>2828</v>
      </c>
      <c r="C1361">
        <v>2.22</v>
      </c>
      <c r="D1361">
        <v>8.27</v>
      </c>
      <c r="E1361">
        <v>0.18</v>
      </c>
      <c r="F1361">
        <v>8.27</v>
      </c>
      <c r="G1361">
        <v>8.28</v>
      </c>
      <c r="H1361">
        <v>11444</v>
      </c>
      <c r="I1361">
        <v>190</v>
      </c>
      <c r="J1361">
        <v>0.12</v>
      </c>
      <c r="K1361">
        <v>0.62</v>
      </c>
      <c r="L1361">
        <v>941.74</v>
      </c>
      <c r="M1361" t="s">
        <v>2829</v>
      </c>
      <c r="N1361" t="s">
        <v>309</v>
      </c>
      <c r="O1361">
        <v>8.09</v>
      </c>
      <c r="P1361">
        <v>8.3</v>
      </c>
      <c r="Q1361">
        <v>8.03</v>
      </c>
      <c r="R1361">
        <v>8.09</v>
      </c>
      <c r="S1361">
        <v>36.75</v>
      </c>
      <c r="T1361">
        <v>1.16</v>
      </c>
      <c r="U1361" t="s">
        <v>24</v>
      </c>
    </row>
    <row r="1362" spans="1:21">
      <c r="A1362" t="str">
        <f>"002918"</f>
        <v>002918</v>
      </c>
      <c r="B1362" t="s">
        <v>2830</v>
      </c>
      <c r="C1362">
        <v>5.14</v>
      </c>
      <c r="D1362">
        <v>22.1</v>
      </c>
      <c r="E1362">
        <v>1.08</v>
      </c>
      <c r="F1362">
        <v>22.09</v>
      </c>
      <c r="G1362">
        <v>22.1</v>
      </c>
      <c r="H1362">
        <v>56022</v>
      </c>
      <c r="I1362">
        <v>617</v>
      </c>
      <c r="J1362">
        <v>-0.31</v>
      </c>
      <c r="K1362">
        <v>2.62</v>
      </c>
      <c r="L1362">
        <v>12185.44</v>
      </c>
      <c r="M1362" t="s">
        <v>2831</v>
      </c>
      <c r="N1362" t="s">
        <v>131</v>
      </c>
      <c r="O1362">
        <v>20.9</v>
      </c>
      <c r="P1362">
        <v>22.62</v>
      </c>
      <c r="Q1362">
        <v>20.85</v>
      </c>
      <c r="R1362">
        <v>21.02</v>
      </c>
      <c r="S1362">
        <v>16.48</v>
      </c>
      <c r="T1362">
        <v>1</v>
      </c>
      <c r="U1362" t="s">
        <v>183</v>
      </c>
    </row>
    <row r="1363" spans="1:21">
      <c r="A1363" t="str">
        <f>"002919"</f>
        <v>002919</v>
      </c>
      <c r="B1363" t="s">
        <v>2832</v>
      </c>
      <c r="C1363">
        <v>3.23</v>
      </c>
      <c r="D1363">
        <v>46.34</v>
      </c>
      <c r="E1363">
        <v>1.45</v>
      </c>
      <c r="F1363">
        <v>46.34</v>
      </c>
      <c r="G1363">
        <v>46.38</v>
      </c>
      <c r="H1363">
        <v>11067</v>
      </c>
      <c r="I1363">
        <v>169</v>
      </c>
      <c r="J1363">
        <v>-0.14</v>
      </c>
      <c r="K1363">
        <v>1.63</v>
      </c>
      <c r="L1363">
        <v>5063.71</v>
      </c>
      <c r="M1363" t="s">
        <v>2833</v>
      </c>
      <c r="N1363" t="s">
        <v>332</v>
      </c>
      <c r="O1363">
        <v>44.84</v>
      </c>
      <c r="P1363">
        <v>46.81</v>
      </c>
      <c r="Q1363">
        <v>44.21</v>
      </c>
      <c r="R1363">
        <v>44.89</v>
      </c>
      <c r="S1363">
        <v>35.07</v>
      </c>
      <c r="T1363">
        <v>1.44</v>
      </c>
      <c r="U1363" t="s">
        <v>183</v>
      </c>
    </row>
    <row r="1364" spans="1:21">
      <c r="A1364" t="str">
        <f>"002920"</f>
        <v>002920</v>
      </c>
      <c r="B1364" t="s">
        <v>2834</v>
      </c>
      <c r="C1364">
        <v>10</v>
      </c>
      <c r="D1364">
        <v>125.19</v>
      </c>
      <c r="E1364">
        <v>11.38</v>
      </c>
      <c r="F1364">
        <v>125.19</v>
      </c>
      <c r="G1364" t="s">
        <v>40</v>
      </c>
      <c r="H1364">
        <v>50242</v>
      </c>
      <c r="I1364">
        <v>45</v>
      </c>
      <c r="J1364">
        <v>0</v>
      </c>
      <c r="K1364">
        <v>0.91</v>
      </c>
      <c r="L1364">
        <v>61304.4</v>
      </c>
      <c r="M1364" t="s">
        <v>2835</v>
      </c>
      <c r="N1364" t="s">
        <v>91</v>
      </c>
      <c r="O1364">
        <v>114.5</v>
      </c>
      <c r="P1364">
        <v>125.19</v>
      </c>
      <c r="Q1364">
        <v>114.49</v>
      </c>
      <c r="R1364">
        <v>113.81</v>
      </c>
      <c r="S1364">
        <v>105.1</v>
      </c>
      <c r="T1364">
        <v>1.73</v>
      </c>
      <c r="U1364" t="s">
        <v>183</v>
      </c>
    </row>
    <row r="1365" spans="1:21">
      <c r="A1365" t="str">
        <f>"002921"</f>
        <v>002921</v>
      </c>
      <c r="B1365" t="s">
        <v>2836</v>
      </c>
      <c r="C1365">
        <v>1.09</v>
      </c>
      <c r="D1365">
        <v>15.78</v>
      </c>
      <c r="E1365">
        <v>0.17</v>
      </c>
      <c r="F1365">
        <v>15.77</v>
      </c>
      <c r="G1365">
        <v>15.78</v>
      </c>
      <c r="H1365">
        <v>11853</v>
      </c>
      <c r="I1365">
        <v>135</v>
      </c>
      <c r="J1365">
        <v>0.19</v>
      </c>
      <c r="K1365">
        <v>1.45</v>
      </c>
      <c r="L1365">
        <v>1859.03</v>
      </c>
      <c r="M1365" t="s">
        <v>2837</v>
      </c>
      <c r="N1365" t="s">
        <v>91</v>
      </c>
      <c r="O1365">
        <v>15.69</v>
      </c>
      <c r="P1365">
        <v>15.88</v>
      </c>
      <c r="Q1365">
        <v>15.4</v>
      </c>
      <c r="R1365">
        <v>15.61</v>
      </c>
      <c r="S1365">
        <v>20.18</v>
      </c>
      <c r="T1365">
        <v>0.88</v>
      </c>
      <c r="U1365" t="s">
        <v>221</v>
      </c>
    </row>
    <row r="1366" spans="1:21">
      <c r="A1366" t="str">
        <f>"002922"</f>
        <v>002922</v>
      </c>
      <c r="B1366" t="s">
        <v>2838</v>
      </c>
      <c r="C1366">
        <v>0.34</v>
      </c>
      <c r="D1366">
        <v>23.28</v>
      </c>
      <c r="E1366">
        <v>0.08</v>
      </c>
      <c r="F1366">
        <v>23.28</v>
      </c>
      <c r="G1366">
        <v>23.29</v>
      </c>
      <c r="H1366">
        <v>278319</v>
      </c>
      <c r="I1366">
        <v>2971</v>
      </c>
      <c r="J1366">
        <v>0.17</v>
      </c>
      <c r="K1366">
        <v>10.05</v>
      </c>
      <c r="L1366">
        <v>64198.25</v>
      </c>
      <c r="M1366" t="s">
        <v>2839</v>
      </c>
      <c r="N1366" t="s">
        <v>47</v>
      </c>
      <c r="O1366">
        <v>22.85</v>
      </c>
      <c r="P1366">
        <v>23.56</v>
      </c>
      <c r="Q1366">
        <v>22.66</v>
      </c>
      <c r="R1366">
        <v>23.2</v>
      </c>
      <c r="S1366">
        <v>28.37</v>
      </c>
      <c r="T1366">
        <v>0.79</v>
      </c>
      <c r="U1366" t="s">
        <v>183</v>
      </c>
    </row>
    <row r="1367" spans="1:21">
      <c r="A1367" t="str">
        <f>"002923"</f>
        <v>002923</v>
      </c>
      <c r="B1367" t="s">
        <v>2840</v>
      </c>
      <c r="C1367">
        <v>-0.42</v>
      </c>
      <c r="D1367">
        <v>31.1</v>
      </c>
      <c r="E1367">
        <v>-0.13</v>
      </c>
      <c r="F1367">
        <v>31.1</v>
      </c>
      <c r="G1367">
        <v>31.12</v>
      </c>
      <c r="H1367">
        <v>10091</v>
      </c>
      <c r="I1367">
        <v>110</v>
      </c>
      <c r="J1367">
        <v>0.1</v>
      </c>
      <c r="K1367">
        <v>0.71</v>
      </c>
      <c r="L1367">
        <v>3128.55</v>
      </c>
      <c r="M1367" t="s">
        <v>2841</v>
      </c>
      <c r="N1367" t="s">
        <v>192</v>
      </c>
      <c r="O1367">
        <v>31.34</v>
      </c>
      <c r="P1367">
        <v>31.5</v>
      </c>
      <c r="Q1367">
        <v>30.46</v>
      </c>
      <c r="R1367">
        <v>31.23</v>
      </c>
      <c r="S1367">
        <v>48.89</v>
      </c>
      <c r="T1367">
        <v>0.39</v>
      </c>
      <c r="U1367" t="s">
        <v>183</v>
      </c>
    </row>
    <row r="1368" spans="1:21">
      <c r="A1368" t="str">
        <f>"002925"</f>
        <v>002925</v>
      </c>
      <c r="B1368" t="s">
        <v>2842</v>
      </c>
      <c r="C1368">
        <v>1.02</v>
      </c>
      <c r="D1368">
        <v>31.77</v>
      </c>
      <c r="E1368">
        <v>0.32</v>
      </c>
      <c r="F1368">
        <v>31.76</v>
      </c>
      <c r="G1368">
        <v>31.77</v>
      </c>
      <c r="H1368">
        <v>19260</v>
      </c>
      <c r="I1368">
        <v>222</v>
      </c>
      <c r="J1368">
        <v>0.09</v>
      </c>
      <c r="K1368">
        <v>0.26</v>
      </c>
      <c r="L1368">
        <v>6096.03</v>
      </c>
      <c r="M1368" t="s">
        <v>2843</v>
      </c>
      <c r="N1368" t="s">
        <v>69</v>
      </c>
      <c r="O1368">
        <v>31.59</v>
      </c>
      <c r="P1368">
        <v>31.98</v>
      </c>
      <c r="Q1368">
        <v>31.29</v>
      </c>
      <c r="R1368">
        <v>31.45</v>
      </c>
      <c r="S1368">
        <v>20.98</v>
      </c>
      <c r="T1368">
        <v>0.52</v>
      </c>
      <c r="U1368" t="s">
        <v>339</v>
      </c>
    </row>
    <row r="1369" spans="1:21">
      <c r="A1369" t="str">
        <f>"002926"</f>
        <v>002926</v>
      </c>
      <c r="B1369" t="s">
        <v>2844</v>
      </c>
      <c r="C1369">
        <v>2.73</v>
      </c>
      <c r="D1369">
        <v>9.4</v>
      </c>
      <c r="E1369">
        <v>0.25</v>
      </c>
      <c r="F1369">
        <v>9.4</v>
      </c>
      <c r="G1369">
        <v>9.41</v>
      </c>
      <c r="H1369">
        <v>227598</v>
      </c>
      <c r="I1369">
        <v>2566</v>
      </c>
      <c r="J1369">
        <v>-0.1</v>
      </c>
      <c r="K1369">
        <v>0.87</v>
      </c>
      <c r="L1369">
        <v>21246.63</v>
      </c>
      <c r="M1369" t="s">
        <v>2845</v>
      </c>
      <c r="N1369" t="s">
        <v>213</v>
      </c>
      <c r="O1369">
        <v>9.14</v>
      </c>
      <c r="P1369">
        <v>9.5</v>
      </c>
      <c r="Q1369">
        <v>9.14</v>
      </c>
      <c r="R1369">
        <v>9.15</v>
      </c>
      <c r="S1369">
        <v>12.97</v>
      </c>
      <c r="T1369">
        <v>2.38</v>
      </c>
      <c r="U1369" t="s">
        <v>196</v>
      </c>
    </row>
    <row r="1370" spans="1:21">
      <c r="A1370" t="str">
        <f>"002927"</f>
        <v>002927</v>
      </c>
      <c r="B1370" t="s">
        <v>2846</v>
      </c>
      <c r="C1370">
        <v>0.31</v>
      </c>
      <c r="D1370">
        <v>12.79</v>
      </c>
      <c r="E1370">
        <v>0.04</v>
      </c>
      <c r="F1370">
        <v>12.79</v>
      </c>
      <c r="G1370">
        <v>12.8</v>
      </c>
      <c r="H1370">
        <v>52079</v>
      </c>
      <c r="I1370">
        <v>945</v>
      </c>
      <c r="J1370">
        <v>-0.15</v>
      </c>
      <c r="K1370">
        <v>2.34</v>
      </c>
      <c r="L1370">
        <v>6651.93</v>
      </c>
      <c r="M1370" t="s">
        <v>1260</v>
      </c>
      <c r="N1370" t="s">
        <v>47</v>
      </c>
      <c r="O1370">
        <v>12.6</v>
      </c>
      <c r="P1370">
        <v>12.91</v>
      </c>
      <c r="Q1370">
        <v>12.52</v>
      </c>
      <c r="R1370">
        <v>12.75</v>
      </c>
      <c r="S1370">
        <v>27.63</v>
      </c>
      <c r="T1370">
        <v>0.64</v>
      </c>
      <c r="U1370" t="s">
        <v>368</v>
      </c>
    </row>
    <row r="1371" spans="1:21">
      <c r="A1371" t="str">
        <f>"002928"</f>
        <v>002928</v>
      </c>
      <c r="B1371" t="s">
        <v>2847</v>
      </c>
      <c r="C1371">
        <v>-0.09</v>
      </c>
      <c r="D1371">
        <v>11.18</v>
      </c>
      <c r="E1371">
        <v>-0.01</v>
      </c>
      <c r="F1371">
        <v>11.18</v>
      </c>
      <c r="G1371">
        <v>11.19</v>
      </c>
      <c r="H1371">
        <v>60874</v>
      </c>
      <c r="I1371">
        <v>756</v>
      </c>
      <c r="J1371">
        <v>0.09</v>
      </c>
      <c r="K1371">
        <v>0.6</v>
      </c>
      <c r="L1371">
        <v>6746.48</v>
      </c>
      <c r="M1371" t="s">
        <v>2848</v>
      </c>
      <c r="N1371" t="s">
        <v>180</v>
      </c>
      <c r="O1371">
        <v>11.24</v>
      </c>
      <c r="P1371">
        <v>11.24</v>
      </c>
      <c r="Q1371">
        <v>10.95</v>
      </c>
      <c r="R1371">
        <v>11.19</v>
      </c>
      <c r="S1371" t="s">
        <v>40</v>
      </c>
      <c r="T1371">
        <v>1.06</v>
      </c>
      <c r="U1371" t="s">
        <v>368</v>
      </c>
    </row>
    <row r="1372" spans="1:21">
      <c r="A1372" t="str">
        <f>"002929"</f>
        <v>002929</v>
      </c>
      <c r="B1372" t="s">
        <v>2849</v>
      </c>
      <c r="C1372">
        <v>3.97</v>
      </c>
      <c r="D1372">
        <v>39.06</v>
      </c>
      <c r="E1372">
        <v>1.49</v>
      </c>
      <c r="F1372">
        <v>39.06</v>
      </c>
      <c r="G1372">
        <v>39.07</v>
      </c>
      <c r="H1372">
        <v>97705</v>
      </c>
      <c r="I1372">
        <v>635</v>
      </c>
      <c r="J1372">
        <v>0.05</v>
      </c>
      <c r="K1372">
        <v>6.03</v>
      </c>
      <c r="L1372">
        <v>37487.22</v>
      </c>
      <c r="M1372" t="s">
        <v>2850</v>
      </c>
      <c r="N1372" t="s">
        <v>153</v>
      </c>
      <c r="O1372">
        <v>38</v>
      </c>
      <c r="P1372">
        <v>39.22</v>
      </c>
      <c r="Q1372">
        <v>37.28</v>
      </c>
      <c r="R1372">
        <v>37.57</v>
      </c>
      <c r="S1372">
        <v>25.23</v>
      </c>
      <c r="T1372">
        <v>1.73</v>
      </c>
      <c r="U1372" t="s">
        <v>342</v>
      </c>
    </row>
    <row r="1373" spans="1:21">
      <c r="A1373" t="str">
        <f>"002930"</f>
        <v>002930</v>
      </c>
      <c r="B1373" t="s">
        <v>2851</v>
      </c>
      <c r="C1373">
        <v>1.23</v>
      </c>
      <c r="D1373">
        <v>22.25</v>
      </c>
      <c r="E1373">
        <v>0.27</v>
      </c>
      <c r="F1373">
        <v>22.25</v>
      </c>
      <c r="G1373">
        <v>22.28</v>
      </c>
      <c r="H1373">
        <v>24988</v>
      </c>
      <c r="I1373">
        <v>661</v>
      </c>
      <c r="J1373">
        <v>0</v>
      </c>
      <c r="K1373">
        <v>0.59</v>
      </c>
      <c r="L1373">
        <v>5547.13</v>
      </c>
      <c r="M1373" t="s">
        <v>2852</v>
      </c>
      <c r="N1373" t="s">
        <v>1049</v>
      </c>
      <c r="O1373">
        <v>21.9</v>
      </c>
      <c r="P1373">
        <v>22.45</v>
      </c>
      <c r="Q1373">
        <v>21.8</v>
      </c>
      <c r="R1373">
        <v>21.98</v>
      </c>
      <c r="S1373">
        <v>35.31</v>
      </c>
      <c r="T1373">
        <v>0.43</v>
      </c>
      <c r="U1373" t="s">
        <v>183</v>
      </c>
    </row>
    <row r="1374" spans="1:21">
      <c r="A1374" t="str">
        <f>"002931"</f>
        <v>002931</v>
      </c>
      <c r="B1374" t="s">
        <v>2853</v>
      </c>
      <c r="C1374">
        <v>-0.26</v>
      </c>
      <c r="D1374">
        <v>15.31</v>
      </c>
      <c r="E1374">
        <v>-0.04</v>
      </c>
      <c r="F1374">
        <v>15.31</v>
      </c>
      <c r="G1374">
        <v>15.32</v>
      </c>
      <c r="H1374">
        <v>19112</v>
      </c>
      <c r="I1374">
        <v>246</v>
      </c>
      <c r="J1374">
        <v>-0.12</v>
      </c>
      <c r="K1374">
        <v>1.07</v>
      </c>
      <c r="L1374">
        <v>2906.15</v>
      </c>
      <c r="M1374" t="s">
        <v>2854</v>
      </c>
      <c r="N1374" t="s">
        <v>91</v>
      </c>
      <c r="O1374">
        <v>15.49</v>
      </c>
      <c r="P1374">
        <v>15.49</v>
      </c>
      <c r="Q1374">
        <v>14.93</v>
      </c>
      <c r="R1374">
        <v>15.35</v>
      </c>
      <c r="S1374">
        <v>33.17</v>
      </c>
      <c r="T1374">
        <v>0.74</v>
      </c>
      <c r="U1374" t="s">
        <v>200</v>
      </c>
    </row>
    <row r="1375" spans="1:21">
      <c r="A1375" t="str">
        <f>"002932"</f>
        <v>002932</v>
      </c>
      <c r="B1375" t="s">
        <v>2855</v>
      </c>
      <c r="C1375">
        <v>1.05</v>
      </c>
      <c r="D1375">
        <v>67.43</v>
      </c>
      <c r="E1375">
        <v>0.7</v>
      </c>
      <c r="F1375">
        <v>67.43</v>
      </c>
      <c r="G1375">
        <v>67.45</v>
      </c>
      <c r="H1375">
        <v>13804</v>
      </c>
      <c r="I1375">
        <v>155</v>
      </c>
      <c r="J1375">
        <v>-0.14</v>
      </c>
      <c r="K1375">
        <v>2.3</v>
      </c>
      <c r="L1375">
        <v>9293.32</v>
      </c>
      <c r="M1375" t="s">
        <v>2856</v>
      </c>
      <c r="N1375" t="s">
        <v>186</v>
      </c>
      <c r="O1375">
        <v>66.73</v>
      </c>
      <c r="P1375">
        <v>67.65</v>
      </c>
      <c r="Q1375">
        <v>66.4</v>
      </c>
      <c r="R1375">
        <v>66.73</v>
      </c>
      <c r="S1375">
        <v>5.28</v>
      </c>
      <c r="T1375">
        <v>0.75</v>
      </c>
      <c r="U1375" t="s">
        <v>267</v>
      </c>
    </row>
    <row r="1376" spans="1:21">
      <c r="A1376" t="str">
        <f>"002933"</f>
        <v>002933</v>
      </c>
      <c r="B1376" t="s">
        <v>2857</v>
      </c>
      <c r="C1376">
        <v>3.25</v>
      </c>
      <c r="D1376">
        <v>35.26</v>
      </c>
      <c r="E1376">
        <v>1.11</v>
      </c>
      <c r="F1376">
        <v>35.25</v>
      </c>
      <c r="G1376">
        <v>35.26</v>
      </c>
      <c r="H1376">
        <v>19976</v>
      </c>
      <c r="I1376">
        <v>486</v>
      </c>
      <c r="J1376">
        <v>0.11</v>
      </c>
      <c r="K1376">
        <v>2.95</v>
      </c>
      <c r="L1376">
        <v>6946.72</v>
      </c>
      <c r="M1376" t="s">
        <v>2858</v>
      </c>
      <c r="N1376" t="s">
        <v>611</v>
      </c>
      <c r="O1376">
        <v>34.12</v>
      </c>
      <c r="P1376">
        <v>35.35</v>
      </c>
      <c r="Q1376">
        <v>33.68</v>
      </c>
      <c r="R1376">
        <v>34.15</v>
      </c>
      <c r="S1376">
        <v>644.06</v>
      </c>
      <c r="T1376">
        <v>0.59</v>
      </c>
      <c r="U1376" t="s">
        <v>44</v>
      </c>
    </row>
    <row r="1377" spans="1:21">
      <c r="A1377" t="str">
        <f>"002935"</f>
        <v>002935</v>
      </c>
      <c r="B1377" t="s">
        <v>2859</v>
      </c>
      <c r="C1377">
        <v>2.1</v>
      </c>
      <c r="D1377">
        <v>31.66</v>
      </c>
      <c r="E1377">
        <v>0.65</v>
      </c>
      <c r="F1377">
        <v>31.65</v>
      </c>
      <c r="G1377">
        <v>31.66</v>
      </c>
      <c r="H1377">
        <v>80265</v>
      </c>
      <c r="I1377">
        <v>760</v>
      </c>
      <c r="J1377">
        <v>-0.02</v>
      </c>
      <c r="K1377">
        <v>4.03</v>
      </c>
      <c r="L1377">
        <v>25307.48</v>
      </c>
      <c r="M1377" t="s">
        <v>2860</v>
      </c>
      <c r="N1377" t="s">
        <v>611</v>
      </c>
      <c r="O1377">
        <v>30.75</v>
      </c>
      <c r="P1377">
        <v>31.96</v>
      </c>
      <c r="Q1377">
        <v>30.75</v>
      </c>
      <c r="R1377">
        <v>31.01</v>
      </c>
      <c r="S1377">
        <v>106.06</v>
      </c>
      <c r="T1377">
        <v>0.71</v>
      </c>
      <c r="U1377" t="s">
        <v>196</v>
      </c>
    </row>
    <row r="1378" spans="1:21">
      <c r="A1378" t="str">
        <f>"002936"</f>
        <v>002936</v>
      </c>
      <c r="B1378" t="s">
        <v>2861</v>
      </c>
      <c r="C1378">
        <v>0.6</v>
      </c>
      <c r="D1378">
        <v>3.34</v>
      </c>
      <c r="E1378">
        <v>0.02</v>
      </c>
      <c r="F1378">
        <v>3.33</v>
      </c>
      <c r="G1378">
        <v>3.34</v>
      </c>
      <c r="H1378">
        <v>82590</v>
      </c>
      <c r="I1378">
        <v>2777</v>
      </c>
      <c r="J1378">
        <v>0</v>
      </c>
      <c r="K1378">
        <v>0.15</v>
      </c>
      <c r="L1378">
        <v>2745.49</v>
      </c>
      <c r="M1378" t="s">
        <v>2862</v>
      </c>
      <c r="N1378" t="s">
        <v>23</v>
      </c>
      <c r="O1378">
        <v>3.31</v>
      </c>
      <c r="P1378">
        <v>3.34</v>
      </c>
      <c r="Q1378">
        <v>3.31</v>
      </c>
      <c r="R1378">
        <v>3.32</v>
      </c>
      <c r="S1378">
        <v>5.65</v>
      </c>
      <c r="T1378">
        <v>1.07</v>
      </c>
      <c r="U1378" t="s">
        <v>224</v>
      </c>
    </row>
    <row r="1379" spans="1:21">
      <c r="A1379" t="str">
        <f>"002937"</f>
        <v>002937</v>
      </c>
      <c r="B1379" t="s">
        <v>2863</v>
      </c>
      <c r="C1379">
        <v>-1.65</v>
      </c>
      <c r="D1379">
        <v>19.12</v>
      </c>
      <c r="E1379">
        <v>-0.32</v>
      </c>
      <c r="F1379">
        <v>19.12</v>
      </c>
      <c r="G1379">
        <v>19.13</v>
      </c>
      <c r="H1379">
        <v>71144</v>
      </c>
      <c r="I1379">
        <v>1201</v>
      </c>
      <c r="J1379">
        <v>-0.25</v>
      </c>
      <c r="K1379">
        <v>7.29</v>
      </c>
      <c r="L1379">
        <v>13577.86</v>
      </c>
      <c r="M1379" t="s">
        <v>2864</v>
      </c>
      <c r="N1379" t="s">
        <v>69</v>
      </c>
      <c r="O1379">
        <v>19.43</v>
      </c>
      <c r="P1379">
        <v>19.53</v>
      </c>
      <c r="Q1379">
        <v>18.65</v>
      </c>
      <c r="R1379">
        <v>19.44</v>
      </c>
      <c r="S1379">
        <v>47.98</v>
      </c>
      <c r="T1379">
        <v>0.39</v>
      </c>
      <c r="U1379" t="s">
        <v>200</v>
      </c>
    </row>
    <row r="1380" spans="1:21">
      <c r="A1380" t="str">
        <f>"002938"</f>
        <v>002938</v>
      </c>
      <c r="B1380" t="s">
        <v>2865</v>
      </c>
      <c r="C1380">
        <v>5</v>
      </c>
      <c r="D1380">
        <v>40.95</v>
      </c>
      <c r="E1380">
        <v>1.95</v>
      </c>
      <c r="F1380">
        <v>40.95</v>
      </c>
      <c r="G1380">
        <v>40.96</v>
      </c>
      <c r="H1380">
        <v>168858</v>
      </c>
      <c r="I1380">
        <v>1698</v>
      </c>
      <c r="J1380">
        <v>0.12</v>
      </c>
      <c r="K1380">
        <v>0.77</v>
      </c>
      <c r="L1380">
        <v>68541.56</v>
      </c>
      <c r="M1380" t="s">
        <v>2866</v>
      </c>
      <c r="N1380" t="s">
        <v>69</v>
      </c>
      <c r="O1380">
        <v>39.18</v>
      </c>
      <c r="P1380">
        <v>41.22</v>
      </c>
      <c r="Q1380">
        <v>39.18</v>
      </c>
      <c r="R1380">
        <v>39</v>
      </c>
      <c r="S1380">
        <v>42.49</v>
      </c>
      <c r="T1380">
        <v>1.27</v>
      </c>
      <c r="U1380" t="s">
        <v>24</v>
      </c>
    </row>
    <row r="1381" spans="1:21">
      <c r="A1381" t="str">
        <f>"002939"</f>
        <v>002939</v>
      </c>
      <c r="B1381" t="s">
        <v>2867</v>
      </c>
      <c r="C1381">
        <v>7.53</v>
      </c>
      <c r="D1381">
        <v>11.56</v>
      </c>
      <c r="E1381">
        <v>0.81</v>
      </c>
      <c r="F1381">
        <v>11.55</v>
      </c>
      <c r="G1381">
        <v>11.56</v>
      </c>
      <c r="H1381">
        <v>963224</v>
      </c>
      <c r="I1381">
        <v>8896</v>
      </c>
      <c r="J1381">
        <v>0.52</v>
      </c>
      <c r="K1381">
        <v>3.1</v>
      </c>
      <c r="L1381">
        <v>109563.84</v>
      </c>
      <c r="M1381" t="s">
        <v>2868</v>
      </c>
      <c r="N1381" t="s">
        <v>213</v>
      </c>
      <c r="O1381">
        <v>10.71</v>
      </c>
      <c r="P1381">
        <v>11.83</v>
      </c>
      <c r="Q1381">
        <v>10.71</v>
      </c>
      <c r="R1381">
        <v>10.75</v>
      </c>
      <c r="S1381">
        <v>19.86</v>
      </c>
      <c r="T1381">
        <v>2.58</v>
      </c>
      <c r="U1381" t="s">
        <v>24</v>
      </c>
    </row>
    <row r="1382" spans="1:21">
      <c r="A1382" t="str">
        <f>"002940"</f>
        <v>002940</v>
      </c>
      <c r="B1382" t="s">
        <v>2869</v>
      </c>
      <c r="C1382">
        <v>1.06</v>
      </c>
      <c r="D1382">
        <v>34.22</v>
      </c>
      <c r="E1382">
        <v>0.36</v>
      </c>
      <c r="F1382">
        <v>34.2</v>
      </c>
      <c r="G1382">
        <v>34.22</v>
      </c>
      <c r="H1382">
        <v>12859</v>
      </c>
      <c r="I1382">
        <v>376</v>
      </c>
      <c r="J1382">
        <v>-0.08</v>
      </c>
      <c r="K1382">
        <v>1.46</v>
      </c>
      <c r="L1382">
        <v>4392.54</v>
      </c>
      <c r="M1382" t="s">
        <v>1063</v>
      </c>
      <c r="N1382" t="s">
        <v>192</v>
      </c>
      <c r="O1382">
        <v>33.52</v>
      </c>
      <c r="P1382">
        <v>34.64</v>
      </c>
      <c r="Q1382">
        <v>33.52</v>
      </c>
      <c r="R1382">
        <v>33.86</v>
      </c>
      <c r="S1382">
        <v>32.75</v>
      </c>
      <c r="T1382">
        <v>0.86</v>
      </c>
      <c r="U1382" t="s">
        <v>200</v>
      </c>
    </row>
    <row r="1383" spans="1:21">
      <c r="A1383" t="str">
        <f>"002941"</f>
        <v>002941</v>
      </c>
      <c r="B1383" t="s">
        <v>2870</v>
      </c>
      <c r="C1383">
        <v>2.14</v>
      </c>
      <c r="D1383">
        <v>11.47</v>
      </c>
      <c r="E1383">
        <v>0.24</v>
      </c>
      <c r="F1383">
        <v>11.46</v>
      </c>
      <c r="G1383">
        <v>11.47</v>
      </c>
      <c r="H1383">
        <v>129140</v>
      </c>
      <c r="I1383">
        <v>1001</v>
      </c>
      <c r="J1383">
        <v>-0.08</v>
      </c>
      <c r="K1383">
        <v>6.19</v>
      </c>
      <c r="L1383">
        <v>14772.23</v>
      </c>
      <c r="M1383" t="s">
        <v>2871</v>
      </c>
      <c r="N1383" t="s">
        <v>50</v>
      </c>
      <c r="O1383">
        <v>11.21</v>
      </c>
      <c r="P1383">
        <v>11.65</v>
      </c>
      <c r="Q1383">
        <v>11.21</v>
      </c>
      <c r="R1383">
        <v>11.23</v>
      </c>
      <c r="S1383">
        <v>32.01</v>
      </c>
      <c r="T1383">
        <v>1.87</v>
      </c>
      <c r="U1383" t="s">
        <v>210</v>
      </c>
    </row>
    <row r="1384" spans="1:21">
      <c r="A1384" t="str">
        <f>"002942"</f>
        <v>002942</v>
      </c>
      <c r="B1384" t="s">
        <v>2872</v>
      </c>
      <c r="C1384">
        <v>-1.17</v>
      </c>
      <c r="D1384">
        <v>16.02</v>
      </c>
      <c r="E1384">
        <v>-0.19</v>
      </c>
      <c r="F1384">
        <v>16.01</v>
      </c>
      <c r="G1384">
        <v>16.02</v>
      </c>
      <c r="H1384">
        <v>9660</v>
      </c>
      <c r="I1384">
        <v>213</v>
      </c>
      <c r="J1384">
        <v>-0.05</v>
      </c>
      <c r="K1384">
        <v>1.82</v>
      </c>
      <c r="L1384">
        <v>1543.88</v>
      </c>
      <c r="M1384" t="s">
        <v>2873</v>
      </c>
      <c r="N1384" t="s">
        <v>241</v>
      </c>
      <c r="O1384">
        <v>16.1</v>
      </c>
      <c r="P1384">
        <v>16.25</v>
      </c>
      <c r="Q1384">
        <v>15.78</v>
      </c>
      <c r="R1384">
        <v>16.21</v>
      </c>
      <c r="S1384">
        <v>15.88</v>
      </c>
      <c r="T1384">
        <v>1.3</v>
      </c>
      <c r="U1384" t="s">
        <v>200</v>
      </c>
    </row>
    <row r="1385" spans="1:21">
      <c r="A1385" t="str">
        <f>"002943"</f>
        <v>002943</v>
      </c>
      <c r="B1385" t="s">
        <v>2874</v>
      </c>
      <c r="C1385">
        <v>8.29</v>
      </c>
      <c r="D1385">
        <v>36.59</v>
      </c>
      <c r="E1385">
        <v>2.8</v>
      </c>
      <c r="F1385">
        <v>36.58</v>
      </c>
      <c r="G1385">
        <v>36.59</v>
      </c>
      <c r="H1385">
        <v>242392</v>
      </c>
      <c r="I1385">
        <v>3591</v>
      </c>
      <c r="J1385">
        <v>1.39</v>
      </c>
      <c r="K1385">
        <v>45.86</v>
      </c>
      <c r="L1385">
        <v>84775.42</v>
      </c>
      <c r="M1385" t="s">
        <v>2875</v>
      </c>
      <c r="N1385" t="s">
        <v>247</v>
      </c>
      <c r="O1385">
        <v>34.01</v>
      </c>
      <c r="P1385">
        <v>37.17</v>
      </c>
      <c r="Q1385">
        <v>30.46</v>
      </c>
      <c r="R1385">
        <v>33.79</v>
      </c>
      <c r="S1385">
        <v>1445.86</v>
      </c>
      <c r="T1385">
        <v>2.36</v>
      </c>
      <c r="U1385" t="s">
        <v>204</v>
      </c>
    </row>
    <row r="1386" spans="1:21">
      <c r="A1386" t="str">
        <f>"002945"</f>
        <v>002945</v>
      </c>
      <c r="B1386" t="s">
        <v>2876</v>
      </c>
      <c r="C1386">
        <v>1.74</v>
      </c>
      <c r="D1386">
        <v>10.5</v>
      </c>
      <c r="E1386">
        <v>0.18</v>
      </c>
      <c r="F1386">
        <v>10.49</v>
      </c>
      <c r="G1386">
        <v>10.5</v>
      </c>
      <c r="H1386">
        <v>77420</v>
      </c>
      <c r="I1386">
        <v>977</v>
      </c>
      <c r="J1386">
        <v>0.19</v>
      </c>
      <c r="K1386">
        <v>1.03</v>
      </c>
      <c r="L1386">
        <v>8072.17</v>
      </c>
      <c r="M1386" t="s">
        <v>2877</v>
      </c>
      <c r="N1386" t="s">
        <v>213</v>
      </c>
      <c r="O1386">
        <v>10.36</v>
      </c>
      <c r="P1386">
        <v>10.56</v>
      </c>
      <c r="Q1386">
        <v>10.24</v>
      </c>
      <c r="R1386">
        <v>10.32</v>
      </c>
      <c r="S1386">
        <v>44.21</v>
      </c>
      <c r="T1386">
        <v>1.78</v>
      </c>
      <c r="U1386" t="s">
        <v>694</v>
      </c>
    </row>
    <row r="1387" spans="1:21">
      <c r="A1387" t="str">
        <f>"002946"</f>
        <v>002946</v>
      </c>
      <c r="B1387" t="s">
        <v>2878</v>
      </c>
      <c r="C1387">
        <v>-1.78</v>
      </c>
      <c r="D1387">
        <v>14.91</v>
      </c>
      <c r="E1387">
        <v>-0.27</v>
      </c>
      <c r="F1387">
        <v>14.91</v>
      </c>
      <c r="G1387">
        <v>14.92</v>
      </c>
      <c r="H1387">
        <v>66147</v>
      </c>
      <c r="I1387">
        <v>751</v>
      </c>
      <c r="J1387">
        <v>0</v>
      </c>
      <c r="K1387">
        <v>4.52</v>
      </c>
      <c r="L1387">
        <v>9845.38</v>
      </c>
      <c r="M1387" t="s">
        <v>2879</v>
      </c>
      <c r="N1387" t="s">
        <v>1735</v>
      </c>
      <c r="O1387">
        <v>15.15</v>
      </c>
      <c r="P1387">
        <v>15.25</v>
      </c>
      <c r="Q1387">
        <v>14.71</v>
      </c>
      <c r="R1387">
        <v>15.18</v>
      </c>
      <c r="S1387">
        <v>37.88</v>
      </c>
      <c r="T1387">
        <v>1.02</v>
      </c>
      <c r="U1387" t="s">
        <v>196</v>
      </c>
    </row>
    <row r="1388" spans="1:21">
      <c r="A1388" t="str">
        <f>"002947"</f>
        <v>002947</v>
      </c>
      <c r="B1388" t="s">
        <v>2880</v>
      </c>
      <c r="C1388">
        <v>-0.15</v>
      </c>
      <c r="D1388">
        <v>32.87</v>
      </c>
      <c r="E1388">
        <v>-0.05</v>
      </c>
      <c r="F1388">
        <v>32.87</v>
      </c>
      <c r="G1388">
        <v>32.9</v>
      </c>
      <c r="H1388">
        <v>9162</v>
      </c>
      <c r="I1388">
        <v>284</v>
      </c>
      <c r="J1388">
        <v>0.24</v>
      </c>
      <c r="K1388">
        <v>1.44</v>
      </c>
      <c r="L1388">
        <v>3001.95</v>
      </c>
      <c r="M1388" t="s">
        <v>2881</v>
      </c>
      <c r="N1388" t="s">
        <v>69</v>
      </c>
      <c r="O1388">
        <v>33.1</v>
      </c>
      <c r="P1388">
        <v>33.27</v>
      </c>
      <c r="Q1388">
        <v>32.33</v>
      </c>
      <c r="R1388">
        <v>32.92</v>
      </c>
      <c r="S1388" t="s">
        <v>40</v>
      </c>
      <c r="T1388">
        <v>0.51</v>
      </c>
      <c r="U1388" t="s">
        <v>102</v>
      </c>
    </row>
    <row r="1389" spans="1:21">
      <c r="A1389" t="str">
        <f>"002948"</f>
        <v>002948</v>
      </c>
      <c r="B1389" t="s">
        <v>2882</v>
      </c>
      <c r="C1389">
        <v>2.57</v>
      </c>
      <c r="D1389">
        <v>4.79</v>
      </c>
      <c r="E1389">
        <v>0.12</v>
      </c>
      <c r="F1389">
        <v>4.78</v>
      </c>
      <c r="G1389">
        <v>4.79</v>
      </c>
      <c r="H1389">
        <v>107788</v>
      </c>
      <c r="I1389">
        <v>7447</v>
      </c>
      <c r="J1389">
        <v>1.27</v>
      </c>
      <c r="K1389">
        <v>1.78</v>
      </c>
      <c r="L1389">
        <v>5077.1</v>
      </c>
      <c r="M1389" t="s">
        <v>2883</v>
      </c>
      <c r="N1389" t="s">
        <v>23</v>
      </c>
      <c r="O1389">
        <v>4.66</v>
      </c>
      <c r="P1389">
        <v>4.8</v>
      </c>
      <c r="Q1389">
        <v>4.66</v>
      </c>
      <c r="R1389">
        <v>4.67</v>
      </c>
      <c r="S1389">
        <v>6.7</v>
      </c>
      <c r="T1389">
        <v>2.11</v>
      </c>
      <c r="U1389" t="s">
        <v>221</v>
      </c>
    </row>
    <row r="1390" spans="1:21">
      <c r="A1390" t="str">
        <f>"002949"</f>
        <v>002949</v>
      </c>
      <c r="B1390" t="s">
        <v>2884</v>
      </c>
      <c r="C1390">
        <v>1.7</v>
      </c>
      <c r="D1390">
        <v>14.37</v>
      </c>
      <c r="E1390">
        <v>0.24</v>
      </c>
      <c r="F1390">
        <v>14.36</v>
      </c>
      <c r="G1390">
        <v>14.37</v>
      </c>
      <c r="H1390">
        <v>10895</v>
      </c>
      <c r="I1390">
        <v>33</v>
      </c>
      <c r="J1390">
        <v>-0.2</v>
      </c>
      <c r="K1390">
        <v>1.17</v>
      </c>
      <c r="L1390">
        <v>1558.92</v>
      </c>
      <c r="M1390" t="s">
        <v>2885</v>
      </c>
      <c r="N1390" t="s">
        <v>50</v>
      </c>
      <c r="O1390">
        <v>14.13</v>
      </c>
      <c r="P1390">
        <v>14.42</v>
      </c>
      <c r="Q1390">
        <v>14.13</v>
      </c>
      <c r="R1390">
        <v>14.13</v>
      </c>
      <c r="S1390">
        <v>14.98</v>
      </c>
      <c r="T1390">
        <v>0.83</v>
      </c>
      <c r="U1390" t="s">
        <v>24</v>
      </c>
    </row>
    <row r="1391" spans="1:21">
      <c r="A1391" t="str">
        <f>"002950"</f>
        <v>002950</v>
      </c>
      <c r="B1391" t="s">
        <v>2886</v>
      </c>
      <c r="C1391">
        <v>0.66</v>
      </c>
      <c r="D1391">
        <v>13.73</v>
      </c>
      <c r="E1391">
        <v>0.09</v>
      </c>
      <c r="F1391">
        <v>13.72</v>
      </c>
      <c r="G1391">
        <v>13.73</v>
      </c>
      <c r="H1391">
        <v>22479</v>
      </c>
      <c r="I1391">
        <v>400</v>
      </c>
      <c r="J1391">
        <v>0</v>
      </c>
      <c r="K1391">
        <v>0.97</v>
      </c>
      <c r="L1391">
        <v>3080.32</v>
      </c>
      <c r="M1391" t="s">
        <v>2887</v>
      </c>
      <c r="N1391" t="s">
        <v>186</v>
      </c>
      <c r="O1391">
        <v>13.65</v>
      </c>
      <c r="P1391">
        <v>13.76</v>
      </c>
      <c r="Q1391">
        <v>13.6</v>
      </c>
      <c r="R1391">
        <v>13.64</v>
      </c>
      <c r="S1391">
        <v>19.81</v>
      </c>
      <c r="T1391">
        <v>0.48</v>
      </c>
      <c r="U1391" t="s">
        <v>267</v>
      </c>
    </row>
    <row r="1392" spans="1:21">
      <c r="A1392" t="str">
        <f>"002951"</f>
        <v>002951</v>
      </c>
      <c r="B1392" t="s">
        <v>2888</v>
      </c>
      <c r="C1392">
        <v>0.43</v>
      </c>
      <c r="D1392">
        <v>9.39</v>
      </c>
      <c r="E1392">
        <v>0.04</v>
      </c>
      <c r="F1392">
        <v>9.39</v>
      </c>
      <c r="G1392">
        <v>9.4</v>
      </c>
      <c r="H1392">
        <v>7967</v>
      </c>
      <c r="I1392">
        <v>48</v>
      </c>
      <c r="J1392">
        <v>0</v>
      </c>
      <c r="K1392">
        <v>1.11</v>
      </c>
      <c r="L1392">
        <v>743.62</v>
      </c>
      <c r="M1392" t="s">
        <v>2889</v>
      </c>
      <c r="N1392" t="s">
        <v>482</v>
      </c>
      <c r="O1392">
        <v>9.4</v>
      </c>
      <c r="P1392">
        <v>9.43</v>
      </c>
      <c r="Q1392">
        <v>9.23</v>
      </c>
      <c r="R1392">
        <v>9.35</v>
      </c>
      <c r="S1392">
        <v>51.81</v>
      </c>
      <c r="T1392">
        <v>0.64</v>
      </c>
      <c r="U1392" t="s">
        <v>196</v>
      </c>
    </row>
    <row r="1393" spans="1:21">
      <c r="A1393" t="str">
        <f>"002952"</f>
        <v>002952</v>
      </c>
      <c r="B1393" t="s">
        <v>2890</v>
      </c>
      <c r="C1393">
        <v>1.58</v>
      </c>
      <c r="D1393">
        <v>12.84</v>
      </c>
      <c r="E1393">
        <v>0.2</v>
      </c>
      <c r="F1393">
        <v>12.83</v>
      </c>
      <c r="G1393">
        <v>12.84</v>
      </c>
      <c r="H1393">
        <v>5068</v>
      </c>
      <c r="I1393">
        <v>107</v>
      </c>
      <c r="J1393">
        <v>-0.38</v>
      </c>
      <c r="K1393">
        <v>0.72</v>
      </c>
      <c r="L1393">
        <v>648.88</v>
      </c>
      <c r="M1393" t="s">
        <v>2614</v>
      </c>
      <c r="N1393" t="s">
        <v>69</v>
      </c>
      <c r="O1393">
        <v>12.74</v>
      </c>
      <c r="P1393">
        <v>12.89</v>
      </c>
      <c r="Q1393">
        <v>12.65</v>
      </c>
      <c r="R1393">
        <v>12.64</v>
      </c>
      <c r="S1393">
        <v>42.28</v>
      </c>
      <c r="T1393">
        <v>0.84</v>
      </c>
      <c r="U1393" t="s">
        <v>141</v>
      </c>
    </row>
    <row r="1394" spans="1:21">
      <c r="A1394" t="str">
        <f>"002953"</f>
        <v>002953</v>
      </c>
      <c r="B1394" t="s">
        <v>2891</v>
      </c>
      <c r="C1394">
        <v>1.83</v>
      </c>
      <c r="D1394">
        <v>17.29</v>
      </c>
      <c r="E1394">
        <v>0.31</v>
      </c>
      <c r="F1394">
        <v>17.29</v>
      </c>
      <c r="G1394">
        <v>17.3</v>
      </c>
      <c r="H1394">
        <v>70008</v>
      </c>
      <c r="I1394">
        <v>1369</v>
      </c>
      <c r="J1394">
        <v>0.06</v>
      </c>
      <c r="K1394">
        <v>9.36</v>
      </c>
      <c r="L1394">
        <v>11835.25</v>
      </c>
      <c r="M1394" t="s">
        <v>2892</v>
      </c>
      <c r="N1394" t="s">
        <v>47</v>
      </c>
      <c r="O1394">
        <v>16.9</v>
      </c>
      <c r="P1394">
        <v>17.37</v>
      </c>
      <c r="Q1394">
        <v>16.46</v>
      </c>
      <c r="R1394">
        <v>16.98</v>
      </c>
      <c r="S1394">
        <v>26.1</v>
      </c>
      <c r="T1394">
        <v>0.87</v>
      </c>
      <c r="U1394" t="s">
        <v>183</v>
      </c>
    </row>
    <row r="1395" spans="1:21">
      <c r="A1395" t="str">
        <f>"002955"</f>
        <v>002955</v>
      </c>
      <c r="B1395" t="s">
        <v>2893</v>
      </c>
      <c r="C1395">
        <v>0.51</v>
      </c>
      <c r="D1395">
        <v>19.86</v>
      </c>
      <c r="E1395">
        <v>0.1</v>
      </c>
      <c r="F1395">
        <v>19.83</v>
      </c>
      <c r="G1395">
        <v>19.86</v>
      </c>
      <c r="H1395">
        <v>19246</v>
      </c>
      <c r="I1395">
        <v>162</v>
      </c>
      <c r="J1395">
        <v>0.15</v>
      </c>
      <c r="K1395">
        <v>1.98</v>
      </c>
      <c r="L1395">
        <v>3809.69</v>
      </c>
      <c r="M1395" t="s">
        <v>2894</v>
      </c>
      <c r="N1395" t="s">
        <v>72</v>
      </c>
      <c r="O1395">
        <v>19.72</v>
      </c>
      <c r="P1395">
        <v>19.97</v>
      </c>
      <c r="Q1395">
        <v>19.53</v>
      </c>
      <c r="R1395">
        <v>19.76</v>
      </c>
      <c r="S1395">
        <v>25.17</v>
      </c>
      <c r="T1395">
        <v>0.81</v>
      </c>
      <c r="U1395" t="s">
        <v>44</v>
      </c>
    </row>
    <row r="1396" spans="1:21">
      <c r="A1396" t="str">
        <f>"002956"</f>
        <v>002956</v>
      </c>
      <c r="B1396" t="s">
        <v>2895</v>
      </c>
      <c r="C1396">
        <v>0.44</v>
      </c>
      <c r="D1396">
        <v>18.2</v>
      </c>
      <c r="E1396">
        <v>0.08</v>
      </c>
      <c r="F1396">
        <v>18.19</v>
      </c>
      <c r="G1396">
        <v>18.2</v>
      </c>
      <c r="H1396">
        <v>17846</v>
      </c>
      <c r="I1396">
        <v>346</v>
      </c>
      <c r="J1396">
        <v>0.11</v>
      </c>
      <c r="K1396">
        <v>1.86</v>
      </c>
      <c r="L1396">
        <v>3223.38</v>
      </c>
      <c r="M1396" t="s">
        <v>827</v>
      </c>
      <c r="N1396" t="s">
        <v>299</v>
      </c>
      <c r="O1396">
        <v>18.22</v>
      </c>
      <c r="P1396">
        <v>18.26</v>
      </c>
      <c r="Q1396">
        <v>17.83</v>
      </c>
      <c r="R1396">
        <v>18.12</v>
      </c>
      <c r="S1396">
        <v>28.43</v>
      </c>
      <c r="T1396">
        <v>0.8</v>
      </c>
      <c r="U1396" t="s">
        <v>342</v>
      </c>
    </row>
    <row r="1397" spans="1:21">
      <c r="A1397" t="str">
        <f>"002957"</f>
        <v>002957</v>
      </c>
      <c r="B1397" t="s">
        <v>2896</v>
      </c>
      <c r="C1397">
        <v>0.31</v>
      </c>
      <c r="D1397">
        <v>26.2</v>
      </c>
      <c r="E1397">
        <v>0.08</v>
      </c>
      <c r="F1397">
        <v>26.19</v>
      </c>
      <c r="G1397">
        <v>26.2</v>
      </c>
      <c r="H1397">
        <v>26961</v>
      </c>
      <c r="I1397">
        <v>178</v>
      </c>
      <c r="J1397">
        <v>0.11</v>
      </c>
      <c r="K1397">
        <v>1.75</v>
      </c>
      <c r="L1397">
        <v>7060.82</v>
      </c>
      <c r="M1397" t="s">
        <v>2897</v>
      </c>
      <c r="N1397" t="s">
        <v>324</v>
      </c>
      <c r="O1397">
        <v>25.95</v>
      </c>
      <c r="P1397">
        <v>26.77</v>
      </c>
      <c r="Q1397">
        <v>25.3</v>
      </c>
      <c r="R1397">
        <v>26.12</v>
      </c>
      <c r="S1397">
        <v>47.32</v>
      </c>
      <c r="T1397">
        <v>0.63</v>
      </c>
      <c r="U1397" t="s">
        <v>24</v>
      </c>
    </row>
    <row r="1398" spans="1:21">
      <c r="A1398" t="str">
        <f>"002958"</f>
        <v>002958</v>
      </c>
      <c r="B1398" t="s">
        <v>2898</v>
      </c>
      <c r="C1398">
        <v>0.79</v>
      </c>
      <c r="D1398">
        <v>3.85</v>
      </c>
      <c r="E1398">
        <v>0.03</v>
      </c>
      <c r="F1398">
        <v>3.84</v>
      </c>
      <c r="G1398">
        <v>3.85</v>
      </c>
      <c r="H1398">
        <v>199486</v>
      </c>
      <c r="I1398">
        <v>2045</v>
      </c>
      <c r="J1398">
        <v>0</v>
      </c>
      <c r="K1398">
        <v>0.74</v>
      </c>
      <c r="L1398">
        <v>7640.74</v>
      </c>
      <c r="M1398" t="s">
        <v>2899</v>
      </c>
      <c r="N1398" t="s">
        <v>23</v>
      </c>
      <c r="O1398">
        <v>3.82</v>
      </c>
      <c r="P1398">
        <v>3.85</v>
      </c>
      <c r="Q1398">
        <v>3.81</v>
      </c>
      <c r="R1398">
        <v>3.82</v>
      </c>
      <c r="S1398">
        <v>5.87</v>
      </c>
      <c r="T1398">
        <v>2.31</v>
      </c>
      <c r="U1398" t="s">
        <v>221</v>
      </c>
    </row>
    <row r="1399" spans="1:21">
      <c r="A1399" t="str">
        <f>"002959"</f>
        <v>002959</v>
      </c>
      <c r="B1399" t="s">
        <v>2900</v>
      </c>
      <c r="C1399">
        <v>-0.44</v>
      </c>
      <c r="D1399">
        <v>61.19</v>
      </c>
      <c r="E1399">
        <v>-0.27</v>
      </c>
      <c r="F1399">
        <v>61.18</v>
      </c>
      <c r="G1399">
        <v>61.19</v>
      </c>
      <c r="H1399">
        <v>17493</v>
      </c>
      <c r="I1399">
        <v>467</v>
      </c>
      <c r="J1399">
        <v>0.07</v>
      </c>
      <c r="K1399">
        <v>2.3</v>
      </c>
      <c r="L1399">
        <v>10730.89</v>
      </c>
      <c r="M1399" t="s">
        <v>2901</v>
      </c>
      <c r="N1399" t="s">
        <v>60</v>
      </c>
      <c r="O1399">
        <v>60.82</v>
      </c>
      <c r="P1399">
        <v>62.08</v>
      </c>
      <c r="Q1399">
        <v>60.82</v>
      </c>
      <c r="R1399">
        <v>61.46</v>
      </c>
      <c r="S1399">
        <v>37.99</v>
      </c>
      <c r="T1399">
        <v>0.45</v>
      </c>
      <c r="U1399" t="s">
        <v>183</v>
      </c>
    </row>
    <row r="1400" spans="1:21">
      <c r="A1400" t="str">
        <f>"002960"</f>
        <v>002960</v>
      </c>
      <c r="B1400" t="s">
        <v>2902</v>
      </c>
      <c r="C1400">
        <v>-0.66</v>
      </c>
      <c r="D1400">
        <v>45</v>
      </c>
      <c r="E1400">
        <v>-0.3</v>
      </c>
      <c r="F1400">
        <v>45</v>
      </c>
      <c r="G1400">
        <v>45.05</v>
      </c>
      <c r="H1400">
        <v>45492</v>
      </c>
      <c r="I1400">
        <v>457</v>
      </c>
      <c r="J1400">
        <v>-0.61</v>
      </c>
      <c r="K1400">
        <v>2.6</v>
      </c>
      <c r="L1400">
        <v>20253.06</v>
      </c>
      <c r="M1400" t="s">
        <v>2903</v>
      </c>
      <c r="N1400" t="s">
        <v>324</v>
      </c>
      <c r="O1400">
        <v>45</v>
      </c>
      <c r="P1400">
        <v>45.6</v>
      </c>
      <c r="Q1400">
        <v>43.58</v>
      </c>
      <c r="R1400">
        <v>45.3</v>
      </c>
      <c r="S1400">
        <v>31.38</v>
      </c>
      <c r="T1400">
        <v>0.49</v>
      </c>
      <c r="U1400" t="s">
        <v>207</v>
      </c>
    </row>
    <row r="1401" spans="1:21">
      <c r="A1401" t="str">
        <f>"002961"</f>
        <v>002961</v>
      </c>
      <c r="B1401" t="s">
        <v>2904</v>
      </c>
      <c r="C1401">
        <v>1.63</v>
      </c>
      <c r="D1401">
        <v>23.13</v>
      </c>
      <c r="E1401">
        <v>0.37</v>
      </c>
      <c r="F1401">
        <v>23.13</v>
      </c>
      <c r="G1401">
        <v>23.14</v>
      </c>
      <c r="H1401">
        <v>24618</v>
      </c>
      <c r="I1401">
        <v>158</v>
      </c>
      <c r="J1401">
        <v>0.04</v>
      </c>
      <c r="K1401">
        <v>2.26</v>
      </c>
      <c r="L1401">
        <v>5637.85</v>
      </c>
      <c r="M1401" t="s">
        <v>2905</v>
      </c>
      <c r="N1401" t="s">
        <v>121</v>
      </c>
      <c r="O1401">
        <v>22.69</v>
      </c>
      <c r="P1401">
        <v>23.19</v>
      </c>
      <c r="Q1401">
        <v>22.5</v>
      </c>
      <c r="R1401">
        <v>22.76</v>
      </c>
      <c r="S1401">
        <v>20.85</v>
      </c>
      <c r="T1401">
        <v>1.13</v>
      </c>
      <c r="U1401" t="s">
        <v>339</v>
      </c>
    </row>
    <row r="1402" spans="1:21">
      <c r="A1402" t="str">
        <f>"002962"</f>
        <v>002962</v>
      </c>
      <c r="B1402" t="s">
        <v>2906</v>
      </c>
      <c r="C1402">
        <v>1.8</v>
      </c>
      <c r="D1402">
        <v>12.45</v>
      </c>
      <c r="E1402">
        <v>0.22</v>
      </c>
      <c r="F1402">
        <v>12.44</v>
      </c>
      <c r="G1402">
        <v>12.45</v>
      </c>
      <c r="H1402">
        <v>17766</v>
      </c>
      <c r="I1402">
        <v>189</v>
      </c>
      <c r="J1402">
        <v>0</v>
      </c>
      <c r="K1402">
        <v>1.08</v>
      </c>
      <c r="L1402">
        <v>2205.63</v>
      </c>
      <c r="M1402" t="s">
        <v>534</v>
      </c>
      <c r="N1402" t="s">
        <v>69</v>
      </c>
      <c r="O1402">
        <v>12.21</v>
      </c>
      <c r="P1402">
        <v>12.54</v>
      </c>
      <c r="Q1402">
        <v>12.19</v>
      </c>
      <c r="R1402">
        <v>12.23</v>
      </c>
      <c r="S1402">
        <v>38.21</v>
      </c>
      <c r="T1402">
        <v>0.99</v>
      </c>
      <c r="U1402" t="s">
        <v>267</v>
      </c>
    </row>
    <row r="1403" spans="1:21">
      <c r="A1403" t="str">
        <f>"002963"</f>
        <v>002963</v>
      </c>
      <c r="B1403" t="s">
        <v>2907</v>
      </c>
      <c r="C1403">
        <v>-0.25</v>
      </c>
      <c r="D1403">
        <v>16.16</v>
      </c>
      <c r="E1403">
        <v>-0.04</v>
      </c>
      <c r="F1403">
        <v>16.16</v>
      </c>
      <c r="G1403">
        <v>16.18</v>
      </c>
      <c r="H1403">
        <v>11314</v>
      </c>
      <c r="I1403">
        <v>184</v>
      </c>
      <c r="J1403">
        <v>-0.11</v>
      </c>
      <c r="K1403">
        <v>1.64</v>
      </c>
      <c r="L1403">
        <v>1826.94</v>
      </c>
      <c r="M1403" t="s">
        <v>2908</v>
      </c>
      <c r="N1403" t="s">
        <v>1189</v>
      </c>
      <c r="O1403">
        <v>16.2</v>
      </c>
      <c r="P1403">
        <v>16.28</v>
      </c>
      <c r="Q1403">
        <v>15.99</v>
      </c>
      <c r="R1403">
        <v>16.2</v>
      </c>
      <c r="S1403">
        <v>33.28</v>
      </c>
      <c r="T1403">
        <v>0.91</v>
      </c>
      <c r="U1403" t="s">
        <v>44</v>
      </c>
    </row>
    <row r="1404" spans="1:21">
      <c r="A1404" t="str">
        <f>"002965"</f>
        <v>002965</v>
      </c>
      <c r="B1404" t="s">
        <v>2909</v>
      </c>
      <c r="C1404">
        <v>10</v>
      </c>
      <c r="D1404">
        <v>29.59</v>
      </c>
      <c r="E1404">
        <v>2.69</v>
      </c>
      <c r="F1404">
        <v>29.59</v>
      </c>
      <c r="G1404" t="s">
        <v>40</v>
      </c>
      <c r="H1404">
        <v>54430</v>
      </c>
      <c r="I1404">
        <v>150</v>
      </c>
      <c r="J1404">
        <v>0</v>
      </c>
      <c r="K1404">
        <v>7.26</v>
      </c>
      <c r="L1404">
        <v>15471.44</v>
      </c>
      <c r="M1404" t="s">
        <v>2910</v>
      </c>
      <c r="N1404" t="s">
        <v>91</v>
      </c>
      <c r="O1404">
        <v>26.93</v>
      </c>
      <c r="P1404">
        <v>29.59</v>
      </c>
      <c r="Q1404">
        <v>26.81</v>
      </c>
      <c r="R1404">
        <v>26.9</v>
      </c>
      <c r="S1404">
        <v>60.38</v>
      </c>
      <c r="T1404">
        <v>0.96</v>
      </c>
      <c r="U1404" t="s">
        <v>183</v>
      </c>
    </row>
    <row r="1405" spans="1:21">
      <c r="A1405" t="str">
        <f>"002966"</f>
        <v>002966</v>
      </c>
      <c r="B1405" t="s">
        <v>2911</v>
      </c>
      <c r="C1405">
        <v>0.59</v>
      </c>
      <c r="D1405">
        <v>6.82</v>
      </c>
      <c r="E1405">
        <v>0.04</v>
      </c>
      <c r="F1405">
        <v>6.81</v>
      </c>
      <c r="G1405">
        <v>6.82</v>
      </c>
      <c r="H1405">
        <v>121300</v>
      </c>
      <c r="I1405">
        <v>2099</v>
      </c>
      <c r="J1405">
        <v>0.15</v>
      </c>
      <c r="K1405">
        <v>0.75</v>
      </c>
      <c r="L1405">
        <v>8245.58</v>
      </c>
      <c r="M1405" t="s">
        <v>2912</v>
      </c>
      <c r="N1405" t="s">
        <v>23</v>
      </c>
      <c r="O1405">
        <v>6.79</v>
      </c>
      <c r="P1405">
        <v>6.82</v>
      </c>
      <c r="Q1405">
        <v>6.77</v>
      </c>
      <c r="R1405">
        <v>6.78</v>
      </c>
      <c r="S1405">
        <v>6.93</v>
      </c>
      <c r="T1405">
        <v>0.99</v>
      </c>
      <c r="U1405" t="s">
        <v>102</v>
      </c>
    </row>
    <row r="1406" spans="1:21">
      <c r="A1406" t="str">
        <f>"002967"</f>
        <v>002967</v>
      </c>
      <c r="B1406" t="s">
        <v>2913</v>
      </c>
      <c r="C1406">
        <v>-1.77</v>
      </c>
      <c r="D1406">
        <v>26.09</v>
      </c>
      <c r="E1406">
        <v>-0.47</v>
      </c>
      <c r="F1406">
        <v>26.09</v>
      </c>
      <c r="G1406">
        <v>26.1</v>
      </c>
      <c r="H1406">
        <v>37526</v>
      </c>
      <c r="I1406">
        <v>452</v>
      </c>
      <c r="J1406">
        <v>-0.03</v>
      </c>
      <c r="K1406">
        <v>1.98</v>
      </c>
      <c r="L1406">
        <v>9808.12</v>
      </c>
      <c r="M1406" t="s">
        <v>2914</v>
      </c>
      <c r="N1406" t="s">
        <v>99</v>
      </c>
      <c r="O1406">
        <v>26.41</v>
      </c>
      <c r="P1406">
        <v>26.5</v>
      </c>
      <c r="Q1406">
        <v>25.93</v>
      </c>
      <c r="R1406">
        <v>26.56</v>
      </c>
      <c r="S1406">
        <v>262.16</v>
      </c>
      <c r="T1406">
        <v>0.63</v>
      </c>
      <c r="U1406" t="s">
        <v>183</v>
      </c>
    </row>
    <row r="1407" spans="1:21">
      <c r="A1407" t="str">
        <f>"002968"</f>
        <v>002968</v>
      </c>
      <c r="B1407" t="s">
        <v>2915</v>
      </c>
      <c r="C1407">
        <v>2.64</v>
      </c>
      <c r="D1407">
        <v>37.78</v>
      </c>
      <c r="E1407">
        <v>0.97</v>
      </c>
      <c r="F1407">
        <v>37.78</v>
      </c>
      <c r="G1407">
        <v>37.8</v>
      </c>
      <c r="H1407">
        <v>8920</v>
      </c>
      <c r="I1407">
        <v>40</v>
      </c>
      <c r="J1407">
        <v>0.16</v>
      </c>
      <c r="K1407">
        <v>1.28</v>
      </c>
      <c r="L1407">
        <v>3343.32</v>
      </c>
      <c r="M1407" t="s">
        <v>2916</v>
      </c>
      <c r="N1407" t="s">
        <v>134</v>
      </c>
      <c r="O1407">
        <v>36.63</v>
      </c>
      <c r="P1407">
        <v>38.72</v>
      </c>
      <c r="Q1407">
        <v>36.2</v>
      </c>
      <c r="R1407">
        <v>36.81</v>
      </c>
      <c r="S1407">
        <v>39.31</v>
      </c>
      <c r="T1407">
        <v>0.86</v>
      </c>
      <c r="U1407" t="s">
        <v>314</v>
      </c>
    </row>
    <row r="1408" spans="1:21">
      <c r="A1408" t="str">
        <f>"002969"</f>
        <v>002969</v>
      </c>
      <c r="B1408" t="s">
        <v>2917</v>
      </c>
      <c r="C1408">
        <v>-1.6</v>
      </c>
      <c r="D1408">
        <v>5.54</v>
      </c>
      <c r="E1408">
        <v>-0.09</v>
      </c>
      <c r="F1408">
        <v>5.54</v>
      </c>
      <c r="G1408">
        <v>5.55</v>
      </c>
      <c r="H1408">
        <v>94680</v>
      </c>
      <c r="I1408">
        <v>1425</v>
      </c>
      <c r="J1408">
        <v>-0.17</v>
      </c>
      <c r="K1408">
        <v>2.13</v>
      </c>
      <c r="L1408">
        <v>5233.3</v>
      </c>
      <c r="M1408" t="s">
        <v>2918</v>
      </c>
      <c r="N1408" t="s">
        <v>482</v>
      </c>
      <c r="O1408">
        <v>5.63</v>
      </c>
      <c r="P1408">
        <v>5.68</v>
      </c>
      <c r="Q1408">
        <v>5.46</v>
      </c>
      <c r="R1408">
        <v>5.63</v>
      </c>
      <c r="S1408">
        <v>42.15</v>
      </c>
      <c r="T1408">
        <v>1.19</v>
      </c>
      <c r="U1408" t="s">
        <v>193</v>
      </c>
    </row>
    <row r="1409" spans="1:21">
      <c r="A1409" t="str">
        <f>"002970"</f>
        <v>002970</v>
      </c>
      <c r="B1409" t="s">
        <v>2919</v>
      </c>
      <c r="C1409">
        <v>-3.06</v>
      </c>
      <c r="D1409">
        <v>37.98</v>
      </c>
      <c r="E1409">
        <v>-1.2</v>
      </c>
      <c r="F1409">
        <v>37.97</v>
      </c>
      <c r="G1409">
        <v>37.98</v>
      </c>
      <c r="H1409">
        <v>26263</v>
      </c>
      <c r="I1409">
        <v>280</v>
      </c>
      <c r="J1409">
        <v>0.13</v>
      </c>
      <c r="K1409">
        <v>3.1</v>
      </c>
      <c r="L1409">
        <v>10034.8</v>
      </c>
      <c r="M1409" t="s">
        <v>2920</v>
      </c>
      <c r="N1409" t="s">
        <v>153</v>
      </c>
      <c r="O1409">
        <v>39.17</v>
      </c>
      <c r="P1409">
        <v>39.43</v>
      </c>
      <c r="Q1409">
        <v>37.2</v>
      </c>
      <c r="R1409">
        <v>39.18</v>
      </c>
      <c r="S1409">
        <v>92.51</v>
      </c>
      <c r="T1409">
        <v>1.18</v>
      </c>
      <c r="U1409" t="s">
        <v>24</v>
      </c>
    </row>
    <row r="1410" spans="1:21">
      <c r="A1410" t="str">
        <f>"002971"</f>
        <v>002971</v>
      </c>
      <c r="B1410" t="s">
        <v>2921</v>
      </c>
      <c r="C1410">
        <v>6.32</v>
      </c>
      <c r="D1410">
        <v>19.36</v>
      </c>
      <c r="E1410">
        <v>1.15</v>
      </c>
      <c r="F1410">
        <v>19.35</v>
      </c>
      <c r="G1410">
        <v>19.36</v>
      </c>
      <c r="H1410">
        <v>48198</v>
      </c>
      <c r="I1410">
        <v>541</v>
      </c>
      <c r="J1410">
        <v>0.05</v>
      </c>
      <c r="K1410">
        <v>4.57</v>
      </c>
      <c r="L1410">
        <v>9169.77</v>
      </c>
      <c r="M1410" t="s">
        <v>2922</v>
      </c>
      <c r="N1410" t="s">
        <v>309</v>
      </c>
      <c r="O1410">
        <v>18.15</v>
      </c>
      <c r="P1410">
        <v>19.66</v>
      </c>
      <c r="Q1410">
        <v>17.91</v>
      </c>
      <c r="R1410">
        <v>18.21</v>
      </c>
      <c r="S1410">
        <v>39.85</v>
      </c>
      <c r="T1410">
        <v>4.18</v>
      </c>
      <c r="U1410" t="s">
        <v>267</v>
      </c>
    </row>
    <row r="1411" spans="1:21">
      <c r="A1411" t="str">
        <f>"002972"</f>
        <v>002972</v>
      </c>
      <c r="B1411" t="s">
        <v>2923</v>
      </c>
      <c r="C1411">
        <v>0.72</v>
      </c>
      <c r="D1411">
        <v>18.11</v>
      </c>
      <c r="E1411">
        <v>0.13</v>
      </c>
      <c r="F1411">
        <v>18.1</v>
      </c>
      <c r="G1411">
        <v>18.11</v>
      </c>
      <c r="H1411">
        <v>6528</v>
      </c>
      <c r="I1411">
        <v>92</v>
      </c>
      <c r="J1411">
        <v>-0.05</v>
      </c>
      <c r="K1411">
        <v>1.12</v>
      </c>
      <c r="L1411">
        <v>1183.99</v>
      </c>
      <c r="M1411" t="s">
        <v>2924</v>
      </c>
      <c r="N1411" t="s">
        <v>43</v>
      </c>
      <c r="O1411">
        <v>18.07</v>
      </c>
      <c r="P1411">
        <v>18.35</v>
      </c>
      <c r="Q1411">
        <v>17.86</v>
      </c>
      <c r="R1411">
        <v>17.98</v>
      </c>
      <c r="S1411">
        <v>22.63</v>
      </c>
      <c r="T1411">
        <v>1.18</v>
      </c>
      <c r="U1411" t="s">
        <v>24</v>
      </c>
    </row>
    <row r="1412" spans="1:21">
      <c r="A1412" t="str">
        <f>"002973"</f>
        <v>002973</v>
      </c>
      <c r="B1412" t="s">
        <v>2925</v>
      </c>
      <c r="C1412">
        <v>-0.13</v>
      </c>
      <c r="D1412">
        <v>14.8</v>
      </c>
      <c r="E1412">
        <v>-0.02</v>
      </c>
      <c r="F1412">
        <v>14.8</v>
      </c>
      <c r="G1412">
        <v>14.81</v>
      </c>
      <c r="H1412">
        <v>13108</v>
      </c>
      <c r="I1412">
        <v>45</v>
      </c>
      <c r="J1412">
        <v>0</v>
      </c>
      <c r="K1412">
        <v>1.23</v>
      </c>
      <c r="L1412">
        <v>1934.15</v>
      </c>
      <c r="M1412" t="s">
        <v>2926</v>
      </c>
      <c r="N1412" t="s">
        <v>33</v>
      </c>
      <c r="O1412">
        <v>14.71</v>
      </c>
      <c r="P1412">
        <v>14.86</v>
      </c>
      <c r="Q1412">
        <v>14.65</v>
      </c>
      <c r="R1412">
        <v>14.82</v>
      </c>
      <c r="S1412">
        <v>19.65</v>
      </c>
      <c r="T1412">
        <v>1.01</v>
      </c>
      <c r="U1412" t="s">
        <v>183</v>
      </c>
    </row>
    <row r="1413" spans="1:21">
      <c r="A1413" t="str">
        <f>"002975"</f>
        <v>002975</v>
      </c>
      <c r="B1413" t="s">
        <v>2927</v>
      </c>
      <c r="C1413">
        <v>0.64</v>
      </c>
      <c r="D1413">
        <v>62.71</v>
      </c>
      <c r="E1413">
        <v>0.4</v>
      </c>
      <c r="F1413">
        <v>62.71</v>
      </c>
      <c r="G1413">
        <v>62.72</v>
      </c>
      <c r="H1413">
        <v>11192</v>
      </c>
      <c r="I1413">
        <v>300</v>
      </c>
      <c r="J1413">
        <v>0.14</v>
      </c>
      <c r="K1413">
        <v>2.87</v>
      </c>
      <c r="L1413">
        <v>7020.98</v>
      </c>
      <c r="M1413" t="s">
        <v>2928</v>
      </c>
      <c r="N1413" t="s">
        <v>324</v>
      </c>
      <c r="O1413">
        <v>62.31</v>
      </c>
      <c r="P1413">
        <v>63.89</v>
      </c>
      <c r="Q1413">
        <v>62</v>
      </c>
      <c r="R1413">
        <v>62.31</v>
      </c>
      <c r="S1413">
        <v>28.62</v>
      </c>
      <c r="T1413">
        <v>0.41</v>
      </c>
      <c r="U1413" t="s">
        <v>183</v>
      </c>
    </row>
    <row r="1414" spans="1:21">
      <c r="A1414" t="str">
        <f>"002976"</f>
        <v>002976</v>
      </c>
      <c r="B1414" t="s">
        <v>2929</v>
      </c>
      <c r="C1414">
        <v>-1.57</v>
      </c>
      <c r="D1414">
        <v>21.95</v>
      </c>
      <c r="E1414">
        <v>-0.35</v>
      </c>
      <c r="F1414">
        <v>21.95</v>
      </c>
      <c r="G1414">
        <v>21.96</v>
      </c>
      <c r="H1414">
        <v>61813</v>
      </c>
      <c r="I1414">
        <v>533</v>
      </c>
      <c r="J1414">
        <v>0.05</v>
      </c>
      <c r="K1414">
        <v>17.53</v>
      </c>
      <c r="L1414">
        <v>13938.29</v>
      </c>
      <c r="M1414" t="s">
        <v>2930</v>
      </c>
      <c r="N1414" t="s">
        <v>91</v>
      </c>
      <c r="O1414">
        <v>22.74</v>
      </c>
      <c r="P1414">
        <v>23.4</v>
      </c>
      <c r="Q1414">
        <v>21.77</v>
      </c>
      <c r="R1414">
        <v>22.3</v>
      </c>
      <c r="S1414">
        <v>57.57</v>
      </c>
      <c r="T1414">
        <v>7.15</v>
      </c>
      <c r="U1414" t="s">
        <v>102</v>
      </c>
    </row>
    <row r="1415" spans="1:21">
      <c r="A1415" t="str">
        <f>"002977"</f>
        <v>002977</v>
      </c>
      <c r="B1415" t="s">
        <v>2931</v>
      </c>
      <c r="C1415">
        <v>-0.73</v>
      </c>
      <c r="D1415">
        <v>86.12</v>
      </c>
      <c r="E1415">
        <v>-0.63</v>
      </c>
      <c r="F1415">
        <v>86.12</v>
      </c>
      <c r="G1415">
        <v>86.15</v>
      </c>
      <c r="H1415">
        <v>9270</v>
      </c>
      <c r="I1415">
        <v>87</v>
      </c>
      <c r="J1415">
        <v>0.19</v>
      </c>
      <c r="K1415">
        <v>2.89</v>
      </c>
      <c r="L1415">
        <v>7998.79</v>
      </c>
      <c r="M1415" t="s">
        <v>2932</v>
      </c>
      <c r="N1415" t="s">
        <v>153</v>
      </c>
      <c r="O1415">
        <v>86.6</v>
      </c>
      <c r="P1415">
        <v>87.95</v>
      </c>
      <c r="Q1415">
        <v>85.13</v>
      </c>
      <c r="R1415">
        <v>86.75</v>
      </c>
      <c r="S1415">
        <v>52.06</v>
      </c>
      <c r="T1415">
        <v>0.64</v>
      </c>
      <c r="U1415" t="s">
        <v>196</v>
      </c>
    </row>
    <row r="1416" spans="1:21">
      <c r="A1416" t="str">
        <f>"002978"</f>
        <v>002978</v>
      </c>
      <c r="B1416" t="s">
        <v>2933</v>
      </c>
      <c r="C1416">
        <v>0.73</v>
      </c>
      <c r="D1416">
        <v>42.76</v>
      </c>
      <c r="E1416">
        <v>0.31</v>
      </c>
      <c r="F1416">
        <v>42.75</v>
      </c>
      <c r="G1416">
        <v>42.76</v>
      </c>
      <c r="H1416">
        <v>22925</v>
      </c>
      <c r="I1416">
        <v>331</v>
      </c>
      <c r="J1416">
        <v>-0.01</v>
      </c>
      <c r="K1416">
        <v>2.41</v>
      </c>
      <c r="L1416">
        <v>9741.68</v>
      </c>
      <c r="M1416" t="s">
        <v>2934</v>
      </c>
      <c r="N1416" t="s">
        <v>523</v>
      </c>
      <c r="O1416">
        <v>42.39</v>
      </c>
      <c r="P1416">
        <v>42.84</v>
      </c>
      <c r="Q1416">
        <v>41.88</v>
      </c>
      <c r="R1416">
        <v>42.45</v>
      </c>
      <c r="S1416">
        <v>10.81</v>
      </c>
      <c r="T1416">
        <v>1.03</v>
      </c>
      <c r="U1416" t="s">
        <v>196</v>
      </c>
    </row>
    <row r="1417" spans="1:21">
      <c r="A1417" t="str">
        <f>"002979"</f>
        <v>002979</v>
      </c>
      <c r="B1417" t="s">
        <v>2935</v>
      </c>
      <c r="C1417">
        <v>10.01</v>
      </c>
      <c r="D1417">
        <v>28.8</v>
      </c>
      <c r="E1417">
        <v>2.62</v>
      </c>
      <c r="F1417">
        <v>28.8</v>
      </c>
      <c r="G1417" t="s">
        <v>40</v>
      </c>
      <c r="H1417">
        <v>128520</v>
      </c>
      <c r="I1417">
        <v>436</v>
      </c>
      <c r="J1417">
        <v>0</v>
      </c>
      <c r="K1417">
        <v>8.16</v>
      </c>
      <c r="L1417">
        <v>36342.98</v>
      </c>
      <c r="M1417" t="s">
        <v>2936</v>
      </c>
      <c r="N1417" t="s">
        <v>324</v>
      </c>
      <c r="O1417">
        <v>26.08</v>
      </c>
      <c r="P1417">
        <v>28.8</v>
      </c>
      <c r="Q1417">
        <v>26.08</v>
      </c>
      <c r="R1417">
        <v>26.18</v>
      </c>
      <c r="S1417">
        <v>34.97</v>
      </c>
      <c r="T1417">
        <v>5</v>
      </c>
      <c r="U1417" t="s">
        <v>24</v>
      </c>
    </row>
    <row r="1418" spans="1:21">
      <c r="A1418" t="str">
        <f>"002980"</f>
        <v>002980</v>
      </c>
      <c r="B1418" t="s">
        <v>2937</v>
      </c>
      <c r="C1418">
        <v>0</v>
      </c>
      <c r="D1418">
        <v>30.31</v>
      </c>
      <c r="E1418">
        <v>0</v>
      </c>
      <c r="F1418">
        <v>30.3</v>
      </c>
      <c r="G1418">
        <v>30.31</v>
      </c>
      <c r="H1418">
        <v>5507</v>
      </c>
      <c r="I1418">
        <v>72</v>
      </c>
      <c r="J1418">
        <v>-0.06</v>
      </c>
      <c r="K1418">
        <v>1.65</v>
      </c>
      <c r="L1418">
        <v>1666.74</v>
      </c>
      <c r="M1418" t="s">
        <v>438</v>
      </c>
      <c r="N1418" t="s">
        <v>1028</v>
      </c>
      <c r="O1418">
        <v>30.12</v>
      </c>
      <c r="P1418">
        <v>30.49</v>
      </c>
      <c r="Q1418">
        <v>30</v>
      </c>
      <c r="R1418">
        <v>30.31</v>
      </c>
      <c r="S1418">
        <v>23.19</v>
      </c>
      <c r="T1418">
        <v>0.79</v>
      </c>
      <c r="U1418" t="s">
        <v>24</v>
      </c>
    </row>
    <row r="1419" spans="1:21">
      <c r="A1419" t="str">
        <f>"002981"</f>
        <v>002981</v>
      </c>
      <c r="B1419" t="s">
        <v>2938</v>
      </c>
      <c r="C1419">
        <v>4.31</v>
      </c>
      <c r="D1419">
        <v>23.21</v>
      </c>
      <c r="E1419">
        <v>0.96</v>
      </c>
      <c r="F1419">
        <v>23.21</v>
      </c>
      <c r="G1419">
        <v>23.23</v>
      </c>
      <c r="H1419">
        <v>16709</v>
      </c>
      <c r="I1419">
        <v>310</v>
      </c>
      <c r="J1419">
        <v>-0.29</v>
      </c>
      <c r="K1419">
        <v>6.96</v>
      </c>
      <c r="L1419">
        <v>3836.14</v>
      </c>
      <c r="M1419" t="s">
        <v>2939</v>
      </c>
      <c r="N1419" t="s">
        <v>69</v>
      </c>
      <c r="O1419">
        <v>22.1</v>
      </c>
      <c r="P1419">
        <v>23.35</v>
      </c>
      <c r="Q1419">
        <v>22.1</v>
      </c>
      <c r="R1419">
        <v>22.25</v>
      </c>
      <c r="S1419">
        <v>321.1</v>
      </c>
      <c r="T1419">
        <v>1.55</v>
      </c>
      <c r="U1419" t="s">
        <v>183</v>
      </c>
    </row>
    <row r="1420" spans="1:21">
      <c r="A1420" t="str">
        <f>"002982"</f>
        <v>002982</v>
      </c>
      <c r="B1420" t="s">
        <v>2940</v>
      </c>
      <c r="C1420">
        <v>-2.63</v>
      </c>
      <c r="D1420">
        <v>41.42</v>
      </c>
      <c r="E1420">
        <v>-1.12</v>
      </c>
      <c r="F1420">
        <v>41.42</v>
      </c>
      <c r="G1420">
        <v>41.5</v>
      </c>
      <c r="H1420">
        <v>14881</v>
      </c>
      <c r="I1420">
        <v>499</v>
      </c>
      <c r="J1420">
        <v>0.05</v>
      </c>
      <c r="K1420">
        <v>3.15</v>
      </c>
      <c r="L1420">
        <v>6191.68</v>
      </c>
      <c r="M1420" t="s">
        <v>2941</v>
      </c>
      <c r="N1420" t="s">
        <v>147</v>
      </c>
      <c r="O1420">
        <v>42.26</v>
      </c>
      <c r="P1420">
        <v>42.64</v>
      </c>
      <c r="Q1420">
        <v>41.18</v>
      </c>
      <c r="R1420">
        <v>42.54</v>
      </c>
      <c r="S1420" t="s">
        <v>40</v>
      </c>
      <c r="T1420">
        <v>1.17</v>
      </c>
      <c r="U1420" t="s">
        <v>204</v>
      </c>
    </row>
    <row r="1421" spans="1:21">
      <c r="A1421" t="str">
        <f>"002983"</f>
        <v>002983</v>
      </c>
      <c r="B1421" t="s">
        <v>2942</v>
      </c>
      <c r="C1421">
        <v>0.94</v>
      </c>
      <c r="D1421">
        <v>21.56</v>
      </c>
      <c r="E1421">
        <v>0.2</v>
      </c>
      <c r="F1421">
        <v>21.55</v>
      </c>
      <c r="G1421">
        <v>21.56</v>
      </c>
      <c r="H1421">
        <v>8453</v>
      </c>
      <c r="I1421">
        <v>72</v>
      </c>
      <c r="J1421">
        <v>0.05</v>
      </c>
      <c r="K1421">
        <v>1.64</v>
      </c>
      <c r="L1421">
        <v>1816.97</v>
      </c>
      <c r="M1421" t="s">
        <v>2307</v>
      </c>
      <c r="N1421" t="s">
        <v>69</v>
      </c>
      <c r="O1421">
        <v>21.36</v>
      </c>
      <c r="P1421">
        <v>21.64</v>
      </c>
      <c r="Q1421">
        <v>21.24</v>
      </c>
      <c r="R1421">
        <v>21.36</v>
      </c>
      <c r="S1421">
        <v>46.95</v>
      </c>
      <c r="T1421">
        <v>0.77</v>
      </c>
      <c r="U1421" t="s">
        <v>193</v>
      </c>
    </row>
    <row r="1422" spans="1:21">
      <c r="A1422" t="str">
        <f>"002984"</f>
        <v>002984</v>
      </c>
      <c r="B1422" t="s">
        <v>2943</v>
      </c>
      <c r="C1422">
        <v>-1.89</v>
      </c>
      <c r="D1422">
        <v>35.86</v>
      </c>
      <c r="E1422">
        <v>-0.69</v>
      </c>
      <c r="F1422">
        <v>35.86</v>
      </c>
      <c r="G1422">
        <v>35.89</v>
      </c>
      <c r="H1422">
        <v>38004</v>
      </c>
      <c r="I1422">
        <v>238</v>
      </c>
      <c r="J1422">
        <v>0.25</v>
      </c>
      <c r="K1422">
        <v>1.18</v>
      </c>
      <c r="L1422">
        <v>13497.93</v>
      </c>
      <c r="M1422" t="s">
        <v>2944</v>
      </c>
      <c r="N1422" t="s">
        <v>91</v>
      </c>
      <c r="O1422">
        <v>36.02</v>
      </c>
      <c r="P1422">
        <v>36.49</v>
      </c>
      <c r="Q1422">
        <v>35.1</v>
      </c>
      <c r="R1422">
        <v>36.55</v>
      </c>
      <c r="S1422">
        <v>30.5</v>
      </c>
      <c r="T1422">
        <v>0.95</v>
      </c>
      <c r="U1422" t="s">
        <v>221</v>
      </c>
    </row>
    <row r="1423" spans="1:21">
      <c r="A1423" t="str">
        <f>"002985"</f>
        <v>002985</v>
      </c>
      <c r="B1423" t="s">
        <v>2945</v>
      </c>
      <c r="C1423">
        <v>3.1</v>
      </c>
      <c r="D1423">
        <v>116.25</v>
      </c>
      <c r="E1423">
        <v>3.5</v>
      </c>
      <c r="F1423">
        <v>116.23</v>
      </c>
      <c r="G1423">
        <v>116.25</v>
      </c>
      <c r="H1423">
        <v>31197</v>
      </c>
      <c r="I1423">
        <v>246</v>
      </c>
      <c r="J1423">
        <v>0.12</v>
      </c>
      <c r="K1423">
        <v>2.38</v>
      </c>
      <c r="L1423">
        <v>35990.39</v>
      </c>
      <c r="M1423" t="s">
        <v>2946</v>
      </c>
      <c r="N1423" t="s">
        <v>611</v>
      </c>
      <c r="O1423">
        <v>113</v>
      </c>
      <c r="P1423">
        <v>117.61</v>
      </c>
      <c r="Q1423">
        <v>111.65</v>
      </c>
      <c r="R1423">
        <v>112.75</v>
      </c>
      <c r="S1423">
        <v>68.52</v>
      </c>
      <c r="T1423">
        <v>1.16</v>
      </c>
      <c r="U1423" t="s">
        <v>44</v>
      </c>
    </row>
    <row r="1424" spans="1:21">
      <c r="A1424" t="str">
        <f>"002986"</f>
        <v>002986</v>
      </c>
      <c r="B1424" t="s">
        <v>2947</v>
      </c>
      <c r="C1424">
        <v>-2.9</v>
      </c>
      <c r="D1424">
        <v>43.2</v>
      </c>
      <c r="E1424">
        <v>-1.29</v>
      </c>
      <c r="F1424">
        <v>43.2</v>
      </c>
      <c r="G1424">
        <v>43.21</v>
      </c>
      <c r="H1424">
        <v>26928</v>
      </c>
      <c r="I1424">
        <v>203</v>
      </c>
      <c r="J1424">
        <v>-0.04</v>
      </c>
      <c r="K1424">
        <v>2.53</v>
      </c>
      <c r="L1424">
        <v>11697.29</v>
      </c>
      <c r="M1424" t="s">
        <v>2948</v>
      </c>
      <c r="N1424" t="s">
        <v>309</v>
      </c>
      <c r="O1424">
        <v>43.82</v>
      </c>
      <c r="P1424">
        <v>44.76</v>
      </c>
      <c r="Q1424">
        <v>43</v>
      </c>
      <c r="R1424">
        <v>44.49</v>
      </c>
      <c r="S1424">
        <v>38.68</v>
      </c>
      <c r="T1424">
        <v>1.03</v>
      </c>
      <c r="U1424" t="s">
        <v>204</v>
      </c>
    </row>
    <row r="1425" spans="1:21">
      <c r="A1425" t="str">
        <f>"002987"</f>
        <v>002987</v>
      </c>
      <c r="B1425" t="s">
        <v>2949</v>
      </c>
      <c r="C1425">
        <v>1.68</v>
      </c>
      <c r="D1425">
        <v>28.5</v>
      </c>
      <c r="E1425">
        <v>0.47</v>
      </c>
      <c r="F1425">
        <v>28.49</v>
      </c>
      <c r="G1425">
        <v>28.5</v>
      </c>
      <c r="H1425">
        <v>18633</v>
      </c>
      <c r="I1425">
        <v>319</v>
      </c>
      <c r="J1425">
        <v>0</v>
      </c>
      <c r="K1425">
        <v>2</v>
      </c>
      <c r="L1425">
        <v>5277.85</v>
      </c>
      <c r="M1425" t="s">
        <v>2950</v>
      </c>
      <c r="N1425" t="s">
        <v>30</v>
      </c>
      <c r="O1425">
        <v>28.04</v>
      </c>
      <c r="P1425">
        <v>28.53</v>
      </c>
      <c r="Q1425">
        <v>28.04</v>
      </c>
      <c r="R1425">
        <v>28.03</v>
      </c>
      <c r="S1425">
        <v>25.79</v>
      </c>
      <c r="T1425">
        <v>0.63</v>
      </c>
      <c r="U1425" t="s">
        <v>44</v>
      </c>
    </row>
    <row r="1426" spans="1:21">
      <c r="A1426" t="str">
        <f>"002988"</f>
        <v>002988</v>
      </c>
      <c r="B1426" t="s">
        <v>2951</v>
      </c>
      <c r="C1426">
        <v>-3.03</v>
      </c>
      <c r="D1426">
        <v>19.81</v>
      </c>
      <c r="E1426">
        <v>-0.62</v>
      </c>
      <c r="F1426">
        <v>19.81</v>
      </c>
      <c r="G1426">
        <v>19.83</v>
      </c>
      <c r="H1426">
        <v>110040</v>
      </c>
      <c r="I1426">
        <v>1675</v>
      </c>
      <c r="J1426">
        <v>-1.92</v>
      </c>
      <c r="K1426">
        <v>13.07</v>
      </c>
      <c r="L1426">
        <v>21773.9</v>
      </c>
      <c r="M1426" t="s">
        <v>2952</v>
      </c>
      <c r="N1426" t="s">
        <v>494</v>
      </c>
      <c r="O1426">
        <v>20.34</v>
      </c>
      <c r="P1426">
        <v>20.41</v>
      </c>
      <c r="Q1426">
        <v>19.03</v>
      </c>
      <c r="R1426">
        <v>20.43</v>
      </c>
      <c r="S1426">
        <v>33.23</v>
      </c>
      <c r="T1426">
        <v>2.49</v>
      </c>
      <c r="U1426" t="s">
        <v>183</v>
      </c>
    </row>
    <row r="1427" spans="1:21">
      <c r="A1427" t="str">
        <f>"002989"</f>
        <v>002989</v>
      </c>
      <c r="B1427" t="s">
        <v>2953</v>
      </c>
      <c r="C1427">
        <v>0.57</v>
      </c>
      <c r="D1427">
        <v>21.12</v>
      </c>
      <c r="E1427">
        <v>0.12</v>
      </c>
      <c r="F1427">
        <v>21.11</v>
      </c>
      <c r="G1427">
        <v>21.12</v>
      </c>
      <c r="H1427">
        <v>5749</v>
      </c>
      <c r="I1427">
        <v>97</v>
      </c>
      <c r="J1427">
        <v>0.05</v>
      </c>
      <c r="K1427">
        <v>0.75</v>
      </c>
      <c r="L1427">
        <v>1212.12</v>
      </c>
      <c r="M1427" t="s">
        <v>1829</v>
      </c>
      <c r="N1427" t="s">
        <v>1189</v>
      </c>
      <c r="O1427">
        <v>21.07</v>
      </c>
      <c r="P1427">
        <v>21.29</v>
      </c>
      <c r="Q1427">
        <v>20.77</v>
      </c>
      <c r="R1427">
        <v>21</v>
      </c>
      <c r="S1427">
        <v>20.47</v>
      </c>
      <c r="T1427">
        <v>0.75</v>
      </c>
      <c r="U1427" t="s">
        <v>24</v>
      </c>
    </row>
    <row r="1428" spans="1:21">
      <c r="A1428" t="str">
        <f>"002990"</f>
        <v>002990</v>
      </c>
      <c r="B1428" t="s">
        <v>2954</v>
      </c>
      <c r="C1428">
        <v>0.73</v>
      </c>
      <c r="D1428">
        <v>28.92</v>
      </c>
      <c r="E1428">
        <v>0.21</v>
      </c>
      <c r="F1428">
        <v>28.91</v>
      </c>
      <c r="G1428">
        <v>28.92</v>
      </c>
      <c r="H1428">
        <v>11195</v>
      </c>
      <c r="I1428">
        <v>184</v>
      </c>
      <c r="J1428">
        <v>0.31</v>
      </c>
      <c r="K1428">
        <v>1.77</v>
      </c>
      <c r="L1428">
        <v>3244.51</v>
      </c>
      <c r="M1428" t="s">
        <v>2955</v>
      </c>
      <c r="N1428" t="s">
        <v>30</v>
      </c>
      <c r="O1428">
        <v>28.71</v>
      </c>
      <c r="P1428">
        <v>29.2</v>
      </c>
      <c r="Q1428">
        <v>28.71</v>
      </c>
      <c r="R1428">
        <v>28.71</v>
      </c>
      <c r="S1428">
        <v>34.45</v>
      </c>
      <c r="T1428">
        <v>0.82</v>
      </c>
      <c r="U1428" t="s">
        <v>24</v>
      </c>
    </row>
    <row r="1429" spans="1:21">
      <c r="A1429" t="str">
        <f>"002991"</f>
        <v>002991</v>
      </c>
      <c r="B1429" t="s">
        <v>2956</v>
      </c>
      <c r="C1429">
        <v>7.25</v>
      </c>
      <c r="D1429">
        <v>57.55</v>
      </c>
      <c r="E1429">
        <v>3.89</v>
      </c>
      <c r="F1429">
        <v>57.52</v>
      </c>
      <c r="G1429">
        <v>57.55</v>
      </c>
      <c r="H1429">
        <v>26500</v>
      </c>
      <c r="I1429">
        <v>221</v>
      </c>
      <c r="J1429">
        <v>-0.22</v>
      </c>
      <c r="K1429">
        <v>6.5</v>
      </c>
      <c r="L1429">
        <v>14922.86</v>
      </c>
      <c r="M1429" t="s">
        <v>2608</v>
      </c>
      <c r="N1429" t="s">
        <v>299</v>
      </c>
      <c r="O1429">
        <v>54.18</v>
      </c>
      <c r="P1429">
        <v>58.23</v>
      </c>
      <c r="Q1429">
        <v>48.29</v>
      </c>
      <c r="R1429">
        <v>53.66</v>
      </c>
      <c r="S1429">
        <v>52.07</v>
      </c>
      <c r="T1429">
        <v>1.97</v>
      </c>
      <c r="U1429" t="s">
        <v>235</v>
      </c>
    </row>
    <row r="1430" spans="1:21">
      <c r="A1430" t="str">
        <f>"002992"</f>
        <v>002992</v>
      </c>
      <c r="B1430" t="s">
        <v>2957</v>
      </c>
      <c r="C1430">
        <v>9.99</v>
      </c>
      <c r="D1430">
        <v>15.31</v>
      </c>
      <c r="E1430">
        <v>1.39</v>
      </c>
      <c r="F1430">
        <v>15.31</v>
      </c>
      <c r="G1430" t="s">
        <v>40</v>
      </c>
      <c r="H1430">
        <v>56183</v>
      </c>
      <c r="I1430">
        <v>97</v>
      </c>
      <c r="J1430">
        <v>0</v>
      </c>
      <c r="K1430">
        <v>7.59</v>
      </c>
      <c r="L1430">
        <v>8427.91</v>
      </c>
      <c r="M1430" t="s">
        <v>2958</v>
      </c>
      <c r="N1430" t="s">
        <v>69</v>
      </c>
      <c r="O1430">
        <v>14</v>
      </c>
      <c r="P1430">
        <v>15.31</v>
      </c>
      <c r="Q1430">
        <v>13.93</v>
      </c>
      <c r="R1430">
        <v>13.92</v>
      </c>
      <c r="S1430" t="s">
        <v>40</v>
      </c>
      <c r="T1430">
        <v>2.05</v>
      </c>
      <c r="U1430" t="s">
        <v>24</v>
      </c>
    </row>
    <row r="1431" spans="1:21">
      <c r="A1431" t="str">
        <f>"002993"</f>
        <v>002993</v>
      </c>
      <c r="B1431" t="s">
        <v>2959</v>
      </c>
      <c r="C1431">
        <v>-0.37</v>
      </c>
      <c r="D1431">
        <v>40.1</v>
      </c>
      <c r="E1431">
        <v>-0.15</v>
      </c>
      <c r="F1431">
        <v>40.1</v>
      </c>
      <c r="G1431">
        <v>40.11</v>
      </c>
      <c r="H1431">
        <v>28629</v>
      </c>
      <c r="I1431">
        <v>472</v>
      </c>
      <c r="J1431">
        <v>0.02</v>
      </c>
      <c r="K1431">
        <v>4.78</v>
      </c>
      <c r="L1431">
        <v>11512.44</v>
      </c>
      <c r="M1431" t="s">
        <v>2960</v>
      </c>
      <c r="N1431" t="s">
        <v>69</v>
      </c>
      <c r="O1431">
        <v>39.89</v>
      </c>
      <c r="P1431">
        <v>40.68</v>
      </c>
      <c r="Q1431">
        <v>39.81</v>
      </c>
      <c r="R1431">
        <v>40.25</v>
      </c>
      <c r="S1431">
        <v>28.25</v>
      </c>
      <c r="T1431">
        <v>0.53</v>
      </c>
      <c r="U1431" t="s">
        <v>183</v>
      </c>
    </row>
    <row r="1432" spans="1:21">
      <c r="A1432" t="str">
        <f>"002995"</f>
        <v>002995</v>
      </c>
      <c r="B1432" t="s">
        <v>2961</v>
      </c>
      <c r="C1432">
        <v>4.94</v>
      </c>
      <c r="D1432">
        <v>27.38</v>
      </c>
      <c r="E1432">
        <v>1.29</v>
      </c>
      <c r="F1432">
        <v>27.38</v>
      </c>
      <c r="G1432">
        <v>27.39</v>
      </c>
      <c r="H1432">
        <v>17098</v>
      </c>
      <c r="I1432">
        <v>201</v>
      </c>
      <c r="J1432">
        <v>-0.03</v>
      </c>
      <c r="K1432">
        <v>4.21</v>
      </c>
      <c r="L1432">
        <v>4665.87</v>
      </c>
      <c r="M1432" t="s">
        <v>2962</v>
      </c>
      <c r="N1432" t="s">
        <v>479</v>
      </c>
      <c r="O1432">
        <v>26.65</v>
      </c>
      <c r="P1432">
        <v>27.91</v>
      </c>
      <c r="Q1432">
        <v>26.43</v>
      </c>
      <c r="R1432">
        <v>26.09</v>
      </c>
      <c r="S1432">
        <v>27.13</v>
      </c>
      <c r="T1432">
        <v>1.58</v>
      </c>
      <c r="U1432" t="s">
        <v>44</v>
      </c>
    </row>
    <row r="1433" spans="1:21">
      <c r="A1433" t="str">
        <f>"002996"</f>
        <v>002996</v>
      </c>
      <c r="B1433" t="s">
        <v>2963</v>
      </c>
      <c r="C1433">
        <v>1.72</v>
      </c>
      <c r="D1433">
        <v>15.34</v>
      </c>
      <c r="E1433">
        <v>0.26</v>
      </c>
      <c r="F1433">
        <v>15.34</v>
      </c>
      <c r="G1433">
        <v>15.35</v>
      </c>
      <c r="H1433">
        <v>32430</v>
      </c>
      <c r="I1433">
        <v>562</v>
      </c>
      <c r="J1433">
        <v>-0.06</v>
      </c>
      <c r="K1433">
        <v>2.57</v>
      </c>
      <c r="L1433">
        <v>4939.31</v>
      </c>
      <c r="M1433" t="s">
        <v>749</v>
      </c>
      <c r="N1433" t="s">
        <v>494</v>
      </c>
      <c r="O1433">
        <v>15.06</v>
      </c>
      <c r="P1433">
        <v>15.46</v>
      </c>
      <c r="Q1433">
        <v>14.93</v>
      </c>
      <c r="R1433">
        <v>15.08</v>
      </c>
      <c r="S1433">
        <v>22.11</v>
      </c>
      <c r="T1433">
        <v>0.89</v>
      </c>
      <c r="U1433" t="s">
        <v>314</v>
      </c>
    </row>
    <row r="1434" spans="1:21">
      <c r="A1434" t="str">
        <f>"002997"</f>
        <v>002997</v>
      </c>
      <c r="B1434" t="s">
        <v>2964</v>
      </c>
      <c r="C1434">
        <v>0.83</v>
      </c>
      <c r="D1434">
        <v>16.96</v>
      </c>
      <c r="E1434">
        <v>0.14</v>
      </c>
      <c r="F1434">
        <v>16.96</v>
      </c>
      <c r="G1434">
        <v>16.97</v>
      </c>
      <c r="H1434">
        <v>69118</v>
      </c>
      <c r="I1434">
        <v>758</v>
      </c>
      <c r="J1434">
        <v>0</v>
      </c>
      <c r="K1434">
        <v>6.04</v>
      </c>
      <c r="L1434">
        <v>11642.86</v>
      </c>
      <c r="M1434" t="s">
        <v>2965</v>
      </c>
      <c r="N1434" t="s">
        <v>324</v>
      </c>
      <c r="O1434">
        <v>16.69</v>
      </c>
      <c r="P1434">
        <v>17.26</v>
      </c>
      <c r="Q1434">
        <v>16.38</v>
      </c>
      <c r="R1434">
        <v>16.82</v>
      </c>
      <c r="S1434">
        <v>26.65</v>
      </c>
      <c r="T1434">
        <v>1.02</v>
      </c>
      <c r="U1434" t="s">
        <v>193</v>
      </c>
    </row>
    <row r="1435" spans="1:21">
      <c r="A1435" t="str">
        <f>"002998"</f>
        <v>002998</v>
      </c>
      <c r="B1435" t="s">
        <v>2966</v>
      </c>
      <c r="C1435">
        <v>0</v>
      </c>
      <c r="D1435">
        <v>8.95</v>
      </c>
      <c r="E1435">
        <v>0</v>
      </c>
      <c r="F1435">
        <v>8.94</v>
      </c>
      <c r="G1435">
        <v>8.95</v>
      </c>
      <c r="H1435">
        <v>19480</v>
      </c>
      <c r="I1435">
        <v>175</v>
      </c>
      <c r="J1435">
        <v>0.11</v>
      </c>
      <c r="K1435">
        <v>1.28</v>
      </c>
      <c r="L1435">
        <v>1737.86</v>
      </c>
      <c r="M1435" t="s">
        <v>2967</v>
      </c>
      <c r="N1435" t="s">
        <v>216</v>
      </c>
      <c r="O1435">
        <v>8.99</v>
      </c>
      <c r="P1435">
        <v>9.03</v>
      </c>
      <c r="Q1435">
        <v>8.87</v>
      </c>
      <c r="R1435">
        <v>8.95</v>
      </c>
      <c r="S1435">
        <v>27.11</v>
      </c>
      <c r="T1435">
        <v>0.83</v>
      </c>
      <c r="U1435" t="s">
        <v>102</v>
      </c>
    </row>
    <row r="1436" spans="1:21">
      <c r="A1436" t="str">
        <f>"002999"</f>
        <v>002999</v>
      </c>
      <c r="B1436" t="s">
        <v>2968</v>
      </c>
      <c r="C1436">
        <v>0.95</v>
      </c>
      <c r="D1436">
        <v>6.35</v>
      </c>
      <c r="E1436">
        <v>0.06</v>
      </c>
      <c r="F1436">
        <v>6.35</v>
      </c>
      <c r="G1436">
        <v>6.36</v>
      </c>
      <c r="H1436">
        <v>26594</v>
      </c>
      <c r="I1436">
        <v>191</v>
      </c>
      <c r="J1436">
        <v>-0.15</v>
      </c>
      <c r="K1436">
        <v>1.19</v>
      </c>
      <c r="L1436">
        <v>1675.12</v>
      </c>
      <c r="M1436" t="s">
        <v>2969</v>
      </c>
      <c r="N1436" t="s">
        <v>150</v>
      </c>
      <c r="O1436">
        <v>6.3</v>
      </c>
      <c r="P1436">
        <v>6.38</v>
      </c>
      <c r="Q1436">
        <v>6.2</v>
      </c>
      <c r="R1436">
        <v>6.29</v>
      </c>
      <c r="S1436">
        <v>20.04</v>
      </c>
      <c r="T1436">
        <v>1.22</v>
      </c>
      <c r="U1436" t="s">
        <v>183</v>
      </c>
    </row>
    <row r="1437" spans="1:21">
      <c r="A1437" t="str">
        <f>"003000"</f>
        <v>003000</v>
      </c>
      <c r="B1437" t="s">
        <v>2970</v>
      </c>
      <c r="C1437">
        <v>-1.2</v>
      </c>
      <c r="D1437">
        <v>9.89</v>
      </c>
      <c r="E1437">
        <v>-0.12</v>
      </c>
      <c r="F1437">
        <v>9.89</v>
      </c>
      <c r="G1437">
        <v>9.9</v>
      </c>
      <c r="H1437">
        <v>33045</v>
      </c>
      <c r="I1437">
        <v>278</v>
      </c>
      <c r="J1437">
        <v>0.1</v>
      </c>
      <c r="K1437">
        <v>1.38</v>
      </c>
      <c r="L1437">
        <v>3280.77</v>
      </c>
      <c r="M1437" t="s">
        <v>2971</v>
      </c>
      <c r="N1437" t="s">
        <v>299</v>
      </c>
      <c r="O1437">
        <v>10</v>
      </c>
      <c r="P1437">
        <v>10.05</v>
      </c>
      <c r="Q1437">
        <v>9.87</v>
      </c>
      <c r="R1437">
        <v>10.01</v>
      </c>
      <c r="S1437">
        <v>46.72</v>
      </c>
      <c r="T1437">
        <v>0.62</v>
      </c>
      <c r="U1437" t="s">
        <v>204</v>
      </c>
    </row>
    <row r="1438" spans="1:21">
      <c r="A1438" t="str">
        <f>"003001"</f>
        <v>003001</v>
      </c>
      <c r="B1438" t="s">
        <v>2972</v>
      </c>
      <c r="C1438">
        <v>-0.15</v>
      </c>
      <c r="D1438">
        <v>19.57</v>
      </c>
      <c r="E1438">
        <v>-0.03</v>
      </c>
      <c r="F1438">
        <v>19.56</v>
      </c>
      <c r="G1438">
        <v>19.57</v>
      </c>
      <c r="H1438">
        <v>7519</v>
      </c>
      <c r="I1438">
        <v>95</v>
      </c>
      <c r="J1438">
        <v>-0.04</v>
      </c>
      <c r="K1438">
        <v>1.72</v>
      </c>
      <c r="L1438">
        <v>1462.34</v>
      </c>
      <c r="M1438" t="s">
        <v>2973</v>
      </c>
      <c r="N1438" t="s">
        <v>50</v>
      </c>
      <c r="O1438">
        <v>19.47</v>
      </c>
      <c r="P1438">
        <v>19.64</v>
      </c>
      <c r="Q1438">
        <v>19.31</v>
      </c>
      <c r="R1438">
        <v>19.6</v>
      </c>
      <c r="S1438">
        <v>25.34</v>
      </c>
      <c r="T1438">
        <v>0.68</v>
      </c>
      <c r="U1438" t="s">
        <v>44</v>
      </c>
    </row>
    <row r="1439" spans="1:21">
      <c r="A1439" t="str">
        <f>"003002"</f>
        <v>003002</v>
      </c>
      <c r="B1439" t="s">
        <v>2974</v>
      </c>
      <c r="C1439">
        <v>0.08</v>
      </c>
      <c r="D1439">
        <v>12.24</v>
      </c>
      <c r="E1439">
        <v>0.01</v>
      </c>
      <c r="F1439">
        <v>12.24</v>
      </c>
      <c r="G1439">
        <v>12.25</v>
      </c>
      <c r="H1439">
        <v>23334</v>
      </c>
      <c r="I1439">
        <v>344</v>
      </c>
      <c r="J1439">
        <v>0.16</v>
      </c>
      <c r="K1439">
        <v>3.01</v>
      </c>
      <c r="L1439">
        <v>2827.05</v>
      </c>
      <c r="M1439" t="s">
        <v>2975</v>
      </c>
      <c r="N1439" t="s">
        <v>309</v>
      </c>
      <c r="O1439">
        <v>12.18</v>
      </c>
      <c r="P1439">
        <v>12.25</v>
      </c>
      <c r="Q1439">
        <v>11.91</v>
      </c>
      <c r="R1439">
        <v>12.23</v>
      </c>
      <c r="S1439">
        <v>29.44</v>
      </c>
      <c r="T1439">
        <v>0.52</v>
      </c>
      <c r="U1439" t="s">
        <v>232</v>
      </c>
    </row>
    <row r="1440" spans="1:21">
      <c r="A1440" t="str">
        <f>"003003"</f>
        <v>003003</v>
      </c>
      <c r="B1440" t="s">
        <v>2976</v>
      </c>
      <c r="C1440">
        <v>0.09</v>
      </c>
      <c r="D1440">
        <v>11.39</v>
      </c>
      <c r="E1440">
        <v>0.01</v>
      </c>
      <c r="F1440">
        <v>11.39</v>
      </c>
      <c r="G1440">
        <v>11.4</v>
      </c>
      <c r="H1440">
        <v>6797</v>
      </c>
      <c r="I1440">
        <v>15</v>
      </c>
      <c r="J1440">
        <v>0.18</v>
      </c>
      <c r="K1440">
        <v>0.75</v>
      </c>
      <c r="L1440">
        <v>773.94</v>
      </c>
      <c r="M1440" t="s">
        <v>2977</v>
      </c>
      <c r="N1440" t="s">
        <v>482</v>
      </c>
      <c r="O1440">
        <v>11.38</v>
      </c>
      <c r="P1440">
        <v>11.48</v>
      </c>
      <c r="Q1440">
        <v>11.28</v>
      </c>
      <c r="R1440">
        <v>11.38</v>
      </c>
      <c r="S1440">
        <v>65.45</v>
      </c>
      <c r="T1440">
        <v>0.75</v>
      </c>
      <c r="U1440" t="s">
        <v>183</v>
      </c>
    </row>
    <row r="1441" spans="1:21">
      <c r="A1441" t="str">
        <f>"003004"</f>
        <v>003004</v>
      </c>
      <c r="B1441" t="s">
        <v>2978</v>
      </c>
      <c r="C1441">
        <v>3.56</v>
      </c>
      <c r="D1441">
        <v>26.45</v>
      </c>
      <c r="E1441">
        <v>0.91</v>
      </c>
      <c r="F1441">
        <v>26.45</v>
      </c>
      <c r="G1441">
        <v>26.46</v>
      </c>
      <c r="H1441">
        <v>16736</v>
      </c>
      <c r="I1441">
        <v>235</v>
      </c>
      <c r="J1441">
        <v>0.19</v>
      </c>
      <c r="K1441">
        <v>8.18</v>
      </c>
      <c r="L1441">
        <v>4476.17</v>
      </c>
      <c r="M1441" t="s">
        <v>331</v>
      </c>
      <c r="N1441" t="s">
        <v>30</v>
      </c>
      <c r="O1441">
        <v>25.72</v>
      </c>
      <c r="P1441">
        <v>28</v>
      </c>
      <c r="Q1441">
        <v>25.7</v>
      </c>
      <c r="R1441">
        <v>25.54</v>
      </c>
      <c r="S1441">
        <v>86.33</v>
      </c>
      <c r="T1441">
        <v>2.49</v>
      </c>
      <c r="U1441" t="s">
        <v>44</v>
      </c>
    </row>
    <row r="1442" spans="1:21">
      <c r="A1442" t="str">
        <f>"003005"</f>
        <v>003005</v>
      </c>
      <c r="B1442" t="s">
        <v>2979</v>
      </c>
      <c r="C1442">
        <v>0.65</v>
      </c>
      <c r="D1442">
        <v>29.25</v>
      </c>
      <c r="E1442">
        <v>0.19</v>
      </c>
      <c r="F1442">
        <v>29.24</v>
      </c>
      <c r="G1442">
        <v>29.25</v>
      </c>
      <c r="H1442">
        <v>7352</v>
      </c>
      <c r="I1442">
        <v>40</v>
      </c>
      <c r="J1442">
        <v>0.24</v>
      </c>
      <c r="K1442">
        <v>1.55</v>
      </c>
      <c r="L1442">
        <v>2159</v>
      </c>
      <c r="M1442" t="s">
        <v>2208</v>
      </c>
      <c r="N1442" t="s">
        <v>30</v>
      </c>
      <c r="O1442">
        <v>29</v>
      </c>
      <c r="P1442">
        <v>29.74</v>
      </c>
      <c r="Q1442">
        <v>29</v>
      </c>
      <c r="R1442">
        <v>29.06</v>
      </c>
      <c r="S1442">
        <v>22.58</v>
      </c>
      <c r="T1442">
        <v>1.46</v>
      </c>
      <c r="U1442" t="s">
        <v>44</v>
      </c>
    </row>
    <row r="1443" spans="1:21">
      <c r="A1443" t="str">
        <f>"003006"</f>
        <v>003006</v>
      </c>
      <c r="B1443" t="s">
        <v>2980</v>
      </c>
      <c r="C1443">
        <v>-1.69</v>
      </c>
      <c r="D1443">
        <v>16.85</v>
      </c>
      <c r="E1443">
        <v>-0.29</v>
      </c>
      <c r="F1443">
        <v>16.85</v>
      </c>
      <c r="G1443">
        <v>16.86</v>
      </c>
      <c r="H1443">
        <v>36042</v>
      </c>
      <c r="I1443">
        <v>536</v>
      </c>
      <c r="J1443">
        <v>0.12</v>
      </c>
      <c r="K1443">
        <v>1.67</v>
      </c>
      <c r="L1443">
        <v>6066.23</v>
      </c>
      <c r="M1443" t="s">
        <v>2981</v>
      </c>
      <c r="N1443" t="s">
        <v>285</v>
      </c>
      <c r="O1443">
        <v>17.07</v>
      </c>
      <c r="P1443">
        <v>17.21</v>
      </c>
      <c r="Q1443">
        <v>16.71</v>
      </c>
      <c r="R1443">
        <v>17.14</v>
      </c>
      <c r="S1443">
        <v>31.19</v>
      </c>
      <c r="T1443">
        <v>1.63</v>
      </c>
      <c r="U1443" t="s">
        <v>314</v>
      </c>
    </row>
    <row r="1444" spans="1:21">
      <c r="A1444" t="str">
        <f>"003007"</f>
        <v>003007</v>
      </c>
      <c r="B1444" t="s">
        <v>2982</v>
      </c>
      <c r="C1444">
        <v>-5.26</v>
      </c>
      <c r="D1444">
        <v>18.01</v>
      </c>
      <c r="E1444">
        <v>-1</v>
      </c>
      <c r="F1444">
        <v>18.01</v>
      </c>
      <c r="G1444">
        <v>18.03</v>
      </c>
      <c r="H1444">
        <v>47268</v>
      </c>
      <c r="I1444">
        <v>520</v>
      </c>
      <c r="J1444">
        <v>-0.05</v>
      </c>
      <c r="K1444">
        <v>7.4</v>
      </c>
      <c r="L1444">
        <v>8738.5</v>
      </c>
      <c r="M1444" t="s">
        <v>2983</v>
      </c>
      <c r="N1444" t="s">
        <v>30</v>
      </c>
      <c r="O1444">
        <v>18.99</v>
      </c>
      <c r="P1444">
        <v>19.18</v>
      </c>
      <c r="Q1444">
        <v>17.81</v>
      </c>
      <c r="R1444">
        <v>19.01</v>
      </c>
      <c r="S1444" t="s">
        <v>40</v>
      </c>
      <c r="T1444">
        <v>2.24</v>
      </c>
      <c r="U1444" t="s">
        <v>44</v>
      </c>
    </row>
    <row r="1445" spans="1:21">
      <c r="A1445" t="str">
        <f>"003008"</f>
        <v>003008</v>
      </c>
      <c r="B1445" t="s">
        <v>2984</v>
      </c>
      <c r="C1445">
        <v>0.82</v>
      </c>
      <c r="D1445">
        <v>28.15</v>
      </c>
      <c r="E1445">
        <v>0.23</v>
      </c>
      <c r="F1445">
        <v>28.14</v>
      </c>
      <c r="G1445">
        <v>28.15</v>
      </c>
      <c r="H1445">
        <v>3776</v>
      </c>
      <c r="I1445">
        <v>16</v>
      </c>
      <c r="J1445">
        <v>0.07</v>
      </c>
      <c r="K1445">
        <v>0.96</v>
      </c>
      <c r="L1445">
        <v>1057.67</v>
      </c>
      <c r="M1445" t="s">
        <v>2985</v>
      </c>
      <c r="N1445" t="s">
        <v>47</v>
      </c>
      <c r="O1445">
        <v>27.92</v>
      </c>
      <c r="P1445">
        <v>28.26</v>
      </c>
      <c r="Q1445">
        <v>27.68</v>
      </c>
      <c r="R1445">
        <v>27.92</v>
      </c>
      <c r="S1445">
        <v>34.53</v>
      </c>
      <c r="T1445">
        <v>0.79</v>
      </c>
      <c r="U1445" t="s">
        <v>224</v>
      </c>
    </row>
    <row r="1446" spans="1:21">
      <c r="A1446" t="str">
        <f>"003009"</f>
        <v>003009</v>
      </c>
      <c r="B1446" t="s">
        <v>2986</v>
      </c>
      <c r="C1446">
        <v>0.45</v>
      </c>
      <c r="D1446">
        <v>64.99</v>
      </c>
      <c r="E1446">
        <v>0.29</v>
      </c>
      <c r="F1446">
        <v>64.99</v>
      </c>
      <c r="G1446">
        <v>65</v>
      </c>
      <c r="H1446">
        <v>36087</v>
      </c>
      <c r="I1446">
        <v>398</v>
      </c>
      <c r="J1446">
        <v>0.06</v>
      </c>
      <c r="K1446">
        <v>8.2</v>
      </c>
      <c r="L1446">
        <v>23470.49</v>
      </c>
      <c r="M1446" t="s">
        <v>2987</v>
      </c>
      <c r="N1446" t="s">
        <v>611</v>
      </c>
      <c r="O1446">
        <v>64.75</v>
      </c>
      <c r="P1446">
        <v>65.65</v>
      </c>
      <c r="Q1446">
        <v>63.99</v>
      </c>
      <c r="R1446">
        <v>64.7</v>
      </c>
      <c r="S1446">
        <v>63.34</v>
      </c>
      <c r="T1446">
        <v>1.07</v>
      </c>
      <c r="U1446" t="s">
        <v>317</v>
      </c>
    </row>
    <row r="1447" spans="1:21">
      <c r="A1447" t="str">
        <f>"003010"</f>
        <v>003010</v>
      </c>
      <c r="B1447" t="s">
        <v>2988</v>
      </c>
      <c r="C1447">
        <v>1.27</v>
      </c>
      <c r="D1447">
        <v>19.98</v>
      </c>
      <c r="E1447">
        <v>0.25</v>
      </c>
      <c r="F1447">
        <v>19.97</v>
      </c>
      <c r="G1447">
        <v>19.98</v>
      </c>
      <c r="H1447">
        <v>4632</v>
      </c>
      <c r="I1447">
        <v>88</v>
      </c>
      <c r="J1447">
        <v>0</v>
      </c>
      <c r="K1447">
        <v>0.63</v>
      </c>
      <c r="L1447">
        <v>920.77</v>
      </c>
      <c r="M1447" t="s">
        <v>2989</v>
      </c>
      <c r="N1447" t="s">
        <v>479</v>
      </c>
      <c r="O1447">
        <v>19.56</v>
      </c>
      <c r="P1447">
        <v>20.14</v>
      </c>
      <c r="Q1447">
        <v>19.56</v>
      </c>
      <c r="R1447">
        <v>19.73</v>
      </c>
      <c r="S1447">
        <v>39.29</v>
      </c>
      <c r="T1447">
        <v>0.62</v>
      </c>
      <c r="U1447" t="s">
        <v>183</v>
      </c>
    </row>
    <row r="1448" spans="1:21">
      <c r="A1448" t="str">
        <f>"003011"</f>
        <v>003011</v>
      </c>
      <c r="B1448" t="s">
        <v>2990</v>
      </c>
      <c r="C1448">
        <v>-2.79</v>
      </c>
      <c r="D1448">
        <v>33.8</v>
      </c>
      <c r="E1448">
        <v>-0.97</v>
      </c>
      <c r="F1448">
        <v>33.79</v>
      </c>
      <c r="G1448">
        <v>33.8</v>
      </c>
      <c r="H1448">
        <v>26218</v>
      </c>
      <c r="I1448">
        <v>506</v>
      </c>
      <c r="J1448">
        <v>-0.11</v>
      </c>
      <c r="K1448">
        <v>4.39</v>
      </c>
      <c r="L1448">
        <v>8936.15</v>
      </c>
      <c r="M1448" t="s">
        <v>2991</v>
      </c>
      <c r="N1448" t="s">
        <v>910</v>
      </c>
      <c r="O1448">
        <v>34.66</v>
      </c>
      <c r="P1448">
        <v>35.26</v>
      </c>
      <c r="Q1448">
        <v>33.56</v>
      </c>
      <c r="R1448">
        <v>34.77</v>
      </c>
      <c r="S1448">
        <v>33.83</v>
      </c>
      <c r="T1448">
        <v>0.98</v>
      </c>
      <c r="U1448" t="s">
        <v>200</v>
      </c>
    </row>
    <row r="1449" spans="1:21">
      <c r="A1449" t="str">
        <f>"003012"</f>
        <v>003012</v>
      </c>
      <c r="B1449" t="s">
        <v>2992</v>
      </c>
      <c r="C1449">
        <v>0.17</v>
      </c>
      <c r="D1449">
        <v>11.74</v>
      </c>
      <c r="E1449">
        <v>0.02</v>
      </c>
      <c r="F1449">
        <v>11.74</v>
      </c>
      <c r="G1449">
        <v>11.75</v>
      </c>
      <c r="H1449">
        <v>33793</v>
      </c>
      <c r="I1449">
        <v>404</v>
      </c>
      <c r="J1449">
        <v>0.26</v>
      </c>
      <c r="K1449">
        <v>0.53</v>
      </c>
      <c r="L1449">
        <v>3962.68</v>
      </c>
      <c r="M1449" t="s">
        <v>2993</v>
      </c>
      <c r="N1449" t="s">
        <v>1413</v>
      </c>
      <c r="O1449">
        <v>11.71</v>
      </c>
      <c r="P1449">
        <v>11.83</v>
      </c>
      <c r="Q1449">
        <v>11.6</v>
      </c>
      <c r="R1449">
        <v>11.72</v>
      </c>
      <c r="S1449">
        <v>26.83</v>
      </c>
      <c r="T1449">
        <v>1.11</v>
      </c>
      <c r="U1449" t="s">
        <v>183</v>
      </c>
    </row>
    <row r="1450" spans="1:21">
      <c r="A1450" t="str">
        <f>"003013"</f>
        <v>003013</v>
      </c>
      <c r="B1450" t="s">
        <v>2994</v>
      </c>
      <c r="C1450">
        <v>1.86</v>
      </c>
      <c r="D1450">
        <v>19.2</v>
      </c>
      <c r="E1450">
        <v>0.35</v>
      </c>
      <c r="F1450">
        <v>19.19</v>
      </c>
      <c r="G1450">
        <v>19.2</v>
      </c>
      <c r="H1450">
        <v>6602</v>
      </c>
      <c r="I1450">
        <v>118</v>
      </c>
      <c r="J1450">
        <v>-0.09</v>
      </c>
      <c r="K1450">
        <v>1.1</v>
      </c>
      <c r="L1450">
        <v>1258.87</v>
      </c>
      <c r="M1450" t="s">
        <v>2995</v>
      </c>
      <c r="N1450" t="s">
        <v>50</v>
      </c>
      <c r="O1450">
        <v>18.84</v>
      </c>
      <c r="P1450">
        <v>19.26</v>
      </c>
      <c r="Q1450">
        <v>18.81</v>
      </c>
      <c r="R1450">
        <v>18.85</v>
      </c>
      <c r="S1450">
        <v>17.66</v>
      </c>
      <c r="T1450">
        <v>0.98</v>
      </c>
      <c r="U1450" t="s">
        <v>183</v>
      </c>
    </row>
    <row r="1451" spans="1:21">
      <c r="A1451" t="str">
        <f>"003015"</f>
        <v>003015</v>
      </c>
      <c r="B1451" t="s">
        <v>2996</v>
      </c>
      <c r="C1451">
        <v>0.53</v>
      </c>
      <c r="D1451">
        <v>11.45</v>
      </c>
      <c r="E1451">
        <v>0.06</v>
      </c>
      <c r="F1451">
        <v>11.44</v>
      </c>
      <c r="G1451">
        <v>11.45</v>
      </c>
      <c r="H1451">
        <v>37640</v>
      </c>
      <c r="I1451">
        <v>670</v>
      </c>
      <c r="J1451">
        <v>0.09</v>
      </c>
      <c r="K1451">
        <v>1.92</v>
      </c>
      <c r="L1451">
        <v>4293.51</v>
      </c>
      <c r="M1451" t="s">
        <v>726</v>
      </c>
      <c r="N1451" t="s">
        <v>69</v>
      </c>
      <c r="O1451">
        <v>11.48</v>
      </c>
      <c r="P1451">
        <v>11.57</v>
      </c>
      <c r="Q1451">
        <v>11.22</v>
      </c>
      <c r="R1451">
        <v>11.39</v>
      </c>
      <c r="S1451">
        <v>35.33</v>
      </c>
      <c r="T1451">
        <v>0.86</v>
      </c>
      <c r="U1451" t="s">
        <v>102</v>
      </c>
    </row>
    <row r="1452" spans="1:21">
      <c r="A1452" t="str">
        <f>"003016"</f>
        <v>003016</v>
      </c>
      <c r="B1452" t="s">
        <v>2997</v>
      </c>
      <c r="C1452">
        <v>-0.99</v>
      </c>
      <c r="D1452">
        <v>11.01</v>
      </c>
      <c r="E1452">
        <v>-0.11</v>
      </c>
      <c r="F1452">
        <v>11</v>
      </c>
      <c r="G1452">
        <v>11.01</v>
      </c>
      <c r="H1452">
        <v>55049</v>
      </c>
      <c r="I1452">
        <v>644</v>
      </c>
      <c r="J1452">
        <v>0.18</v>
      </c>
      <c r="K1452">
        <v>3.78</v>
      </c>
      <c r="L1452">
        <v>6023.81</v>
      </c>
      <c r="M1452" t="s">
        <v>2998</v>
      </c>
      <c r="N1452" t="s">
        <v>1061</v>
      </c>
      <c r="O1452">
        <v>11.08</v>
      </c>
      <c r="P1452">
        <v>11.09</v>
      </c>
      <c r="Q1452">
        <v>10.83</v>
      </c>
      <c r="R1452">
        <v>11.12</v>
      </c>
      <c r="S1452">
        <v>14.53</v>
      </c>
      <c r="T1452">
        <v>0.59</v>
      </c>
      <c r="U1452" t="s">
        <v>339</v>
      </c>
    </row>
    <row r="1453" spans="1:21">
      <c r="A1453" t="str">
        <f>"003017"</f>
        <v>003017</v>
      </c>
      <c r="B1453" t="s">
        <v>2999</v>
      </c>
      <c r="C1453">
        <v>2.25</v>
      </c>
      <c r="D1453">
        <v>34.14</v>
      </c>
      <c r="E1453">
        <v>0.75</v>
      </c>
      <c r="F1453">
        <v>34.13</v>
      </c>
      <c r="G1453">
        <v>34.14</v>
      </c>
      <c r="H1453">
        <v>5416</v>
      </c>
      <c r="I1453">
        <v>48</v>
      </c>
      <c r="J1453">
        <v>-0.02</v>
      </c>
      <c r="K1453">
        <v>1.41</v>
      </c>
      <c r="L1453">
        <v>1826.89</v>
      </c>
      <c r="M1453" t="s">
        <v>456</v>
      </c>
      <c r="N1453" t="s">
        <v>309</v>
      </c>
      <c r="O1453">
        <v>33.67</v>
      </c>
      <c r="P1453">
        <v>34.65</v>
      </c>
      <c r="Q1453">
        <v>32.95</v>
      </c>
      <c r="R1453">
        <v>33.39</v>
      </c>
      <c r="S1453">
        <v>22.11</v>
      </c>
      <c r="T1453">
        <v>1.61</v>
      </c>
      <c r="U1453" t="s">
        <v>200</v>
      </c>
    </row>
    <row r="1454" spans="1:21">
      <c r="A1454" t="str">
        <f>"003018"</f>
        <v>003018</v>
      </c>
      <c r="B1454" t="s">
        <v>3000</v>
      </c>
      <c r="C1454">
        <v>0.95</v>
      </c>
      <c r="D1454">
        <v>10.62</v>
      </c>
      <c r="E1454">
        <v>0.1</v>
      </c>
      <c r="F1454">
        <v>10.6</v>
      </c>
      <c r="G1454">
        <v>10.62</v>
      </c>
      <c r="H1454">
        <v>7570</v>
      </c>
      <c r="I1454">
        <v>398</v>
      </c>
      <c r="J1454">
        <v>0.28</v>
      </c>
      <c r="K1454">
        <v>0.98</v>
      </c>
      <c r="L1454">
        <v>799.62</v>
      </c>
      <c r="M1454" t="s">
        <v>3001</v>
      </c>
      <c r="N1454" t="s">
        <v>839</v>
      </c>
      <c r="O1454">
        <v>10.52</v>
      </c>
      <c r="P1454">
        <v>10.65</v>
      </c>
      <c r="Q1454">
        <v>10.45</v>
      </c>
      <c r="R1454">
        <v>10.52</v>
      </c>
      <c r="S1454">
        <v>20.4</v>
      </c>
      <c r="T1454">
        <v>0.7</v>
      </c>
      <c r="U1454" t="s">
        <v>183</v>
      </c>
    </row>
    <row r="1455" spans="1:21">
      <c r="A1455" t="str">
        <f>"003019"</f>
        <v>003019</v>
      </c>
      <c r="B1455" t="s">
        <v>3002</v>
      </c>
      <c r="C1455">
        <v>-0.14</v>
      </c>
      <c r="D1455">
        <v>29.28</v>
      </c>
      <c r="E1455">
        <v>-0.04</v>
      </c>
      <c r="F1455">
        <v>29.28</v>
      </c>
      <c r="G1455">
        <v>29.29</v>
      </c>
      <c r="H1455">
        <v>24504</v>
      </c>
      <c r="I1455">
        <v>438</v>
      </c>
      <c r="J1455">
        <v>-0.09</v>
      </c>
      <c r="K1455">
        <v>2.78</v>
      </c>
      <c r="L1455">
        <v>7178.52</v>
      </c>
      <c r="M1455" t="s">
        <v>3003</v>
      </c>
      <c r="N1455" t="s">
        <v>69</v>
      </c>
      <c r="O1455">
        <v>29.1</v>
      </c>
      <c r="P1455">
        <v>29.54</v>
      </c>
      <c r="Q1455">
        <v>28.88</v>
      </c>
      <c r="R1455">
        <v>29.32</v>
      </c>
      <c r="S1455">
        <v>24.98</v>
      </c>
      <c r="T1455">
        <v>0.48</v>
      </c>
      <c r="U1455" t="s">
        <v>339</v>
      </c>
    </row>
    <row r="1456" spans="1:21">
      <c r="A1456" t="str">
        <f>"003020"</f>
        <v>003020</v>
      </c>
      <c r="B1456" t="s">
        <v>3004</v>
      </c>
      <c r="C1456">
        <v>-2.45</v>
      </c>
      <c r="D1456">
        <v>45</v>
      </c>
      <c r="E1456">
        <v>-1.13</v>
      </c>
      <c r="F1456">
        <v>44.98</v>
      </c>
      <c r="G1456">
        <v>45</v>
      </c>
      <c r="H1456">
        <v>12220</v>
      </c>
      <c r="I1456">
        <v>716</v>
      </c>
      <c r="J1456">
        <v>0.04</v>
      </c>
      <c r="K1456">
        <v>5.28</v>
      </c>
      <c r="L1456">
        <v>5478.99</v>
      </c>
      <c r="M1456" t="s">
        <v>3005</v>
      </c>
      <c r="N1456" t="s">
        <v>192</v>
      </c>
      <c r="O1456">
        <v>46.13</v>
      </c>
      <c r="P1456">
        <v>46.13</v>
      </c>
      <c r="Q1456">
        <v>44.2</v>
      </c>
      <c r="R1456">
        <v>46.13</v>
      </c>
      <c r="S1456">
        <v>24.94</v>
      </c>
      <c r="T1456">
        <v>1.21</v>
      </c>
      <c r="U1456" t="s">
        <v>193</v>
      </c>
    </row>
    <row r="1457" spans="1:21">
      <c r="A1457" t="str">
        <f>"003021"</f>
        <v>003021</v>
      </c>
      <c r="B1457" t="s">
        <v>3006</v>
      </c>
      <c r="C1457">
        <v>0.01</v>
      </c>
      <c r="D1457">
        <v>70</v>
      </c>
      <c r="E1457">
        <v>0.01</v>
      </c>
      <c r="F1457">
        <v>69.99</v>
      </c>
      <c r="G1457">
        <v>70</v>
      </c>
      <c r="H1457">
        <v>9897</v>
      </c>
      <c r="I1457">
        <v>194</v>
      </c>
      <c r="J1457">
        <v>0.11</v>
      </c>
      <c r="K1457">
        <v>2.32</v>
      </c>
      <c r="L1457">
        <v>7015.28</v>
      </c>
      <c r="M1457" t="s">
        <v>1848</v>
      </c>
      <c r="N1457" t="s">
        <v>69</v>
      </c>
      <c r="O1457">
        <v>69.41</v>
      </c>
      <c r="P1457">
        <v>73.25</v>
      </c>
      <c r="Q1457">
        <v>69.41</v>
      </c>
      <c r="R1457">
        <v>69.99</v>
      </c>
      <c r="S1457">
        <v>68.71</v>
      </c>
      <c r="T1457">
        <v>0.84</v>
      </c>
      <c r="U1457" t="s">
        <v>24</v>
      </c>
    </row>
    <row r="1458" spans="1:21">
      <c r="A1458" t="str">
        <f>"003022"</f>
        <v>003022</v>
      </c>
      <c r="B1458" t="s">
        <v>3007</v>
      </c>
      <c r="C1458">
        <v>1.59</v>
      </c>
      <c r="D1458">
        <v>45.46</v>
      </c>
      <c r="E1458">
        <v>0.71</v>
      </c>
      <c r="F1458">
        <v>45.46</v>
      </c>
      <c r="G1458">
        <v>45.47</v>
      </c>
      <c r="H1458">
        <v>179758</v>
      </c>
      <c r="I1458">
        <v>1399</v>
      </c>
      <c r="J1458">
        <v>-0.03</v>
      </c>
      <c r="K1458">
        <v>9.38</v>
      </c>
      <c r="L1458">
        <v>81153.6</v>
      </c>
      <c r="M1458" t="s">
        <v>3008</v>
      </c>
      <c r="N1458" t="s">
        <v>309</v>
      </c>
      <c r="O1458">
        <v>44.7</v>
      </c>
      <c r="P1458">
        <v>46.5</v>
      </c>
      <c r="Q1458">
        <v>43.69</v>
      </c>
      <c r="R1458">
        <v>44.75</v>
      </c>
      <c r="S1458">
        <v>55.39</v>
      </c>
      <c r="T1458">
        <v>1.13</v>
      </c>
      <c r="U1458" t="s">
        <v>221</v>
      </c>
    </row>
    <row r="1459" spans="1:21">
      <c r="A1459" t="str">
        <f>"003023"</f>
        <v>003023</v>
      </c>
      <c r="B1459" t="s">
        <v>3009</v>
      </c>
      <c r="C1459">
        <v>5.74</v>
      </c>
      <c r="D1459">
        <v>29.13</v>
      </c>
      <c r="E1459">
        <v>1.58</v>
      </c>
      <c r="F1459">
        <v>29.13</v>
      </c>
      <c r="G1459">
        <v>29.14</v>
      </c>
      <c r="H1459">
        <v>22538</v>
      </c>
      <c r="I1459">
        <v>321</v>
      </c>
      <c r="J1459">
        <v>0.03</v>
      </c>
      <c r="K1459">
        <v>11.1</v>
      </c>
      <c r="L1459">
        <v>6455.72</v>
      </c>
      <c r="M1459" t="s">
        <v>1690</v>
      </c>
      <c r="N1459" t="s">
        <v>60</v>
      </c>
      <c r="O1459">
        <v>27.37</v>
      </c>
      <c r="P1459">
        <v>29.62</v>
      </c>
      <c r="Q1459">
        <v>27.37</v>
      </c>
      <c r="R1459">
        <v>27.55</v>
      </c>
      <c r="S1459">
        <v>19.94</v>
      </c>
      <c r="T1459">
        <v>1.88</v>
      </c>
      <c r="U1459" t="s">
        <v>196</v>
      </c>
    </row>
    <row r="1460" spans="1:21">
      <c r="A1460" t="str">
        <f>"003025"</f>
        <v>003025</v>
      </c>
      <c r="B1460" t="s">
        <v>3010</v>
      </c>
      <c r="C1460">
        <v>2.03</v>
      </c>
      <c r="D1460">
        <v>32.16</v>
      </c>
      <c r="E1460">
        <v>0.64</v>
      </c>
      <c r="F1460">
        <v>32.16</v>
      </c>
      <c r="G1460">
        <v>32.17</v>
      </c>
      <c r="H1460">
        <v>17585</v>
      </c>
      <c r="I1460">
        <v>144</v>
      </c>
      <c r="J1460">
        <v>-0.02</v>
      </c>
      <c r="K1460">
        <v>6.25</v>
      </c>
      <c r="L1460">
        <v>5671.55</v>
      </c>
      <c r="M1460" t="s">
        <v>3011</v>
      </c>
      <c r="N1460" t="s">
        <v>347</v>
      </c>
      <c r="O1460">
        <v>32.77</v>
      </c>
      <c r="P1460">
        <v>33.01</v>
      </c>
      <c r="Q1460">
        <v>31.5</v>
      </c>
      <c r="R1460">
        <v>31.52</v>
      </c>
      <c r="S1460">
        <v>30.35</v>
      </c>
      <c r="T1460">
        <v>1.02</v>
      </c>
      <c r="U1460" t="s">
        <v>200</v>
      </c>
    </row>
    <row r="1461" spans="1:21">
      <c r="A1461" t="str">
        <f>"003026"</f>
        <v>003026</v>
      </c>
      <c r="B1461" t="s">
        <v>3012</v>
      </c>
      <c r="C1461">
        <v>-0.99</v>
      </c>
      <c r="D1461">
        <v>81.42</v>
      </c>
      <c r="E1461">
        <v>-0.81</v>
      </c>
      <c r="F1461">
        <v>81.42</v>
      </c>
      <c r="G1461">
        <v>81.43</v>
      </c>
      <c r="H1461">
        <v>16821</v>
      </c>
      <c r="I1461">
        <v>185</v>
      </c>
      <c r="J1461">
        <v>0.33</v>
      </c>
      <c r="K1461">
        <v>6.74</v>
      </c>
      <c r="L1461">
        <v>13637.16</v>
      </c>
      <c r="M1461" t="s">
        <v>3013</v>
      </c>
      <c r="N1461" t="s">
        <v>1246</v>
      </c>
      <c r="O1461">
        <v>82.97</v>
      </c>
      <c r="P1461">
        <v>82.97</v>
      </c>
      <c r="Q1461">
        <v>79.3</v>
      </c>
      <c r="R1461">
        <v>82.23</v>
      </c>
      <c r="S1461">
        <v>53.64</v>
      </c>
      <c r="T1461">
        <v>0.57</v>
      </c>
      <c r="U1461" t="s">
        <v>200</v>
      </c>
    </row>
    <row r="1462" spans="1:21">
      <c r="A1462" t="str">
        <f>"003027"</f>
        <v>003027</v>
      </c>
      <c r="B1462" t="s">
        <v>3014</v>
      </c>
      <c r="C1462">
        <v>0.08</v>
      </c>
      <c r="D1462">
        <v>25.23</v>
      </c>
      <c r="E1462">
        <v>0.02</v>
      </c>
      <c r="F1462">
        <v>25.22</v>
      </c>
      <c r="G1462">
        <v>25.23</v>
      </c>
      <c r="H1462">
        <v>12160</v>
      </c>
      <c r="I1462">
        <v>333</v>
      </c>
      <c r="J1462">
        <v>0</v>
      </c>
      <c r="K1462">
        <v>3.74</v>
      </c>
      <c r="L1462">
        <v>3048.11</v>
      </c>
      <c r="M1462" t="s">
        <v>3015</v>
      </c>
      <c r="N1462" t="s">
        <v>33</v>
      </c>
      <c r="O1462">
        <v>25.15</v>
      </c>
      <c r="P1462">
        <v>25.41</v>
      </c>
      <c r="Q1462">
        <v>24.72</v>
      </c>
      <c r="R1462">
        <v>25.21</v>
      </c>
      <c r="S1462">
        <v>19.95</v>
      </c>
      <c r="T1462">
        <v>0.68</v>
      </c>
      <c r="U1462" t="s">
        <v>193</v>
      </c>
    </row>
    <row r="1463" spans="1:21">
      <c r="A1463" t="str">
        <f>"003028"</f>
        <v>003028</v>
      </c>
      <c r="B1463" t="s">
        <v>3016</v>
      </c>
      <c r="C1463">
        <v>0.05</v>
      </c>
      <c r="D1463">
        <v>42.54</v>
      </c>
      <c r="E1463">
        <v>0.02</v>
      </c>
      <c r="F1463">
        <v>42.53</v>
      </c>
      <c r="G1463">
        <v>42.54</v>
      </c>
      <c r="H1463">
        <v>8906</v>
      </c>
      <c r="I1463">
        <v>52</v>
      </c>
      <c r="J1463">
        <v>0.19</v>
      </c>
      <c r="K1463">
        <v>3.25</v>
      </c>
      <c r="L1463">
        <v>3790.77</v>
      </c>
      <c r="M1463" t="s">
        <v>3017</v>
      </c>
      <c r="N1463" t="s">
        <v>69</v>
      </c>
      <c r="O1463">
        <v>42.46</v>
      </c>
      <c r="P1463">
        <v>42.95</v>
      </c>
      <c r="Q1463">
        <v>42.21</v>
      </c>
      <c r="R1463">
        <v>42.52</v>
      </c>
      <c r="S1463">
        <v>22.32</v>
      </c>
      <c r="T1463">
        <v>0.79</v>
      </c>
      <c r="U1463" t="s">
        <v>24</v>
      </c>
    </row>
    <row r="1464" spans="1:21">
      <c r="A1464" t="str">
        <f>"003029"</f>
        <v>003029</v>
      </c>
      <c r="B1464" t="s">
        <v>3018</v>
      </c>
      <c r="C1464">
        <v>1.22</v>
      </c>
      <c r="D1464">
        <v>20.75</v>
      </c>
      <c r="E1464">
        <v>0.25</v>
      </c>
      <c r="F1464">
        <v>20.7</v>
      </c>
      <c r="G1464">
        <v>20.75</v>
      </c>
      <c r="H1464">
        <v>6685</v>
      </c>
      <c r="I1464">
        <v>21</v>
      </c>
      <c r="J1464">
        <v>0.29</v>
      </c>
      <c r="K1464">
        <v>1.48</v>
      </c>
      <c r="L1464">
        <v>1387.56</v>
      </c>
      <c r="M1464" t="s">
        <v>3019</v>
      </c>
      <c r="N1464" t="s">
        <v>30</v>
      </c>
      <c r="O1464">
        <v>20.57</v>
      </c>
      <c r="P1464">
        <v>20.88</v>
      </c>
      <c r="Q1464">
        <v>20.54</v>
      </c>
      <c r="R1464">
        <v>20.5</v>
      </c>
      <c r="S1464">
        <v>95.97</v>
      </c>
      <c r="T1464">
        <v>0.9</v>
      </c>
      <c r="U1464" t="s">
        <v>92</v>
      </c>
    </row>
    <row r="1465" spans="1:21">
      <c r="A1465" t="str">
        <f>"003030"</f>
        <v>003030</v>
      </c>
      <c r="B1465" t="s">
        <v>3020</v>
      </c>
      <c r="C1465">
        <v>1.06</v>
      </c>
      <c r="D1465">
        <v>25.67</v>
      </c>
      <c r="E1465">
        <v>0.27</v>
      </c>
      <c r="F1465">
        <v>25.67</v>
      </c>
      <c r="G1465">
        <v>25.68</v>
      </c>
      <c r="H1465">
        <v>7529</v>
      </c>
      <c r="I1465">
        <v>296</v>
      </c>
      <c r="J1465">
        <v>0.2</v>
      </c>
      <c r="K1465">
        <v>2.41</v>
      </c>
      <c r="L1465">
        <v>1922.7</v>
      </c>
      <c r="M1465" t="s">
        <v>3021</v>
      </c>
      <c r="N1465" t="s">
        <v>299</v>
      </c>
      <c r="O1465">
        <v>25.48</v>
      </c>
      <c r="P1465">
        <v>25.75</v>
      </c>
      <c r="Q1465">
        <v>25.25</v>
      </c>
      <c r="R1465">
        <v>25.4</v>
      </c>
      <c r="S1465">
        <v>56.12</v>
      </c>
      <c r="T1465">
        <v>0.41</v>
      </c>
      <c r="U1465" t="s">
        <v>200</v>
      </c>
    </row>
    <row r="1466" spans="1:21">
      <c r="A1466" t="str">
        <f>"003031"</f>
        <v>003031</v>
      </c>
      <c r="B1466" t="s">
        <v>3022</v>
      </c>
      <c r="C1466">
        <v>4.69</v>
      </c>
      <c r="D1466">
        <v>81.76</v>
      </c>
      <c r="E1466">
        <v>3.66</v>
      </c>
      <c r="F1466">
        <v>81.68</v>
      </c>
      <c r="G1466">
        <v>81.77</v>
      </c>
      <c r="H1466">
        <v>18043</v>
      </c>
      <c r="I1466">
        <v>221</v>
      </c>
      <c r="J1466">
        <v>0.2</v>
      </c>
      <c r="K1466">
        <v>4.83</v>
      </c>
      <c r="L1466">
        <v>14619.59</v>
      </c>
      <c r="M1466" t="s">
        <v>3023</v>
      </c>
      <c r="N1466" t="s">
        <v>69</v>
      </c>
      <c r="O1466">
        <v>76.8</v>
      </c>
      <c r="P1466">
        <v>82.6</v>
      </c>
      <c r="Q1466">
        <v>76.8</v>
      </c>
      <c r="R1466">
        <v>78.1</v>
      </c>
      <c r="S1466">
        <v>91.67</v>
      </c>
      <c r="T1466">
        <v>0.68</v>
      </c>
      <c r="U1466" t="s">
        <v>207</v>
      </c>
    </row>
    <row r="1467" spans="1:21">
      <c r="A1467" t="str">
        <f>"003032"</f>
        <v>003032</v>
      </c>
      <c r="B1467" t="s">
        <v>3024</v>
      </c>
      <c r="C1467">
        <v>-0.84</v>
      </c>
      <c r="D1467">
        <v>21.19</v>
      </c>
      <c r="E1467">
        <v>-0.18</v>
      </c>
      <c r="F1467">
        <v>21.18</v>
      </c>
      <c r="G1467">
        <v>21.19</v>
      </c>
      <c r="H1467">
        <v>18691</v>
      </c>
      <c r="I1467">
        <v>370</v>
      </c>
      <c r="J1467">
        <v>-0.04</v>
      </c>
      <c r="K1467">
        <v>4.64</v>
      </c>
      <c r="L1467">
        <v>3941.87</v>
      </c>
      <c r="M1467" t="s">
        <v>3025</v>
      </c>
      <c r="N1467" t="s">
        <v>63</v>
      </c>
      <c r="O1467">
        <v>21.38</v>
      </c>
      <c r="P1467">
        <v>21.38</v>
      </c>
      <c r="Q1467">
        <v>20.85</v>
      </c>
      <c r="R1467">
        <v>21.37</v>
      </c>
      <c r="S1467">
        <v>100.62</v>
      </c>
      <c r="T1467">
        <v>0.62</v>
      </c>
      <c r="U1467" t="s">
        <v>102</v>
      </c>
    </row>
    <row r="1468" spans="1:21">
      <c r="A1468" t="str">
        <f>"003033"</f>
        <v>003033</v>
      </c>
      <c r="B1468" t="s">
        <v>3026</v>
      </c>
      <c r="C1468">
        <v>-0.75</v>
      </c>
      <c r="D1468">
        <v>27.75</v>
      </c>
      <c r="E1468">
        <v>-0.21</v>
      </c>
      <c r="F1468">
        <v>27.7</v>
      </c>
      <c r="G1468">
        <v>27.75</v>
      </c>
      <c r="H1468">
        <v>7621</v>
      </c>
      <c r="I1468">
        <v>225</v>
      </c>
      <c r="J1468">
        <v>0.33</v>
      </c>
      <c r="K1468">
        <v>3.73</v>
      </c>
      <c r="L1468">
        <v>2100.05</v>
      </c>
      <c r="M1468" t="s">
        <v>3027</v>
      </c>
      <c r="N1468" t="s">
        <v>347</v>
      </c>
      <c r="O1468">
        <v>27.71</v>
      </c>
      <c r="P1468">
        <v>27.94</v>
      </c>
      <c r="Q1468">
        <v>27.07</v>
      </c>
      <c r="R1468">
        <v>27.96</v>
      </c>
      <c r="S1468">
        <v>27.25</v>
      </c>
      <c r="T1468">
        <v>0.99</v>
      </c>
      <c r="U1468" t="s">
        <v>221</v>
      </c>
    </row>
    <row r="1469" spans="1:21">
      <c r="A1469" t="str">
        <f>"003035"</f>
        <v>003035</v>
      </c>
      <c r="B1469" t="s">
        <v>3028</v>
      </c>
      <c r="C1469">
        <v>-0.24</v>
      </c>
      <c r="D1469">
        <v>8.18</v>
      </c>
      <c r="E1469">
        <v>-0.02</v>
      </c>
      <c r="F1469">
        <v>8.17</v>
      </c>
      <c r="G1469">
        <v>8.18</v>
      </c>
      <c r="H1469">
        <v>154254</v>
      </c>
      <c r="I1469">
        <v>2381</v>
      </c>
      <c r="J1469">
        <v>0.12</v>
      </c>
      <c r="K1469">
        <v>2.04</v>
      </c>
      <c r="L1469">
        <v>12585.68</v>
      </c>
      <c r="M1469" t="s">
        <v>3029</v>
      </c>
      <c r="N1469" t="s">
        <v>114</v>
      </c>
      <c r="O1469">
        <v>8.21</v>
      </c>
      <c r="P1469">
        <v>8.22</v>
      </c>
      <c r="Q1469">
        <v>8.13</v>
      </c>
      <c r="R1469">
        <v>8.2</v>
      </c>
      <c r="S1469">
        <v>76.28</v>
      </c>
      <c r="T1469">
        <v>0.73</v>
      </c>
      <c r="U1469" t="s">
        <v>183</v>
      </c>
    </row>
    <row r="1470" spans="1:21">
      <c r="A1470" t="str">
        <f>"003036"</f>
        <v>003036</v>
      </c>
      <c r="B1470" t="s">
        <v>3030</v>
      </c>
      <c r="C1470">
        <v>2.62</v>
      </c>
      <c r="D1470">
        <v>12.12</v>
      </c>
      <c r="E1470">
        <v>0.31</v>
      </c>
      <c r="F1470">
        <v>12.12</v>
      </c>
      <c r="G1470">
        <v>12.13</v>
      </c>
      <c r="H1470">
        <v>17623</v>
      </c>
      <c r="I1470">
        <v>260</v>
      </c>
      <c r="J1470">
        <v>0</v>
      </c>
      <c r="K1470">
        <v>3.26</v>
      </c>
      <c r="L1470">
        <v>2124.3</v>
      </c>
      <c r="M1470" t="s">
        <v>3031</v>
      </c>
      <c r="N1470" t="s">
        <v>1135</v>
      </c>
      <c r="O1470">
        <v>11.98</v>
      </c>
      <c r="P1470">
        <v>12.2</v>
      </c>
      <c r="Q1470">
        <v>11.69</v>
      </c>
      <c r="R1470">
        <v>11.81</v>
      </c>
      <c r="S1470">
        <v>43.85</v>
      </c>
      <c r="T1470">
        <v>1.31</v>
      </c>
      <c r="U1470" t="s">
        <v>200</v>
      </c>
    </row>
    <row r="1471" spans="1:21">
      <c r="A1471" t="str">
        <f>"003037"</f>
        <v>003037</v>
      </c>
      <c r="B1471" t="s">
        <v>3032</v>
      </c>
      <c r="C1471">
        <v>0.79</v>
      </c>
      <c r="D1471">
        <v>10.26</v>
      </c>
      <c r="E1471">
        <v>0.08</v>
      </c>
      <c r="F1471">
        <v>10.26</v>
      </c>
      <c r="G1471">
        <v>10.27</v>
      </c>
      <c r="H1471">
        <v>15125</v>
      </c>
      <c r="I1471">
        <v>368</v>
      </c>
      <c r="J1471">
        <v>0.1</v>
      </c>
      <c r="K1471">
        <v>2.22</v>
      </c>
      <c r="L1471">
        <v>1537.36</v>
      </c>
      <c r="M1471" t="s">
        <v>3033</v>
      </c>
      <c r="N1471" t="s">
        <v>75</v>
      </c>
      <c r="O1471">
        <v>10.18</v>
      </c>
      <c r="P1471">
        <v>10.29</v>
      </c>
      <c r="Q1471">
        <v>10.02</v>
      </c>
      <c r="R1471">
        <v>10.18</v>
      </c>
      <c r="S1471">
        <v>61.34</v>
      </c>
      <c r="T1471">
        <v>1.03</v>
      </c>
      <c r="U1471" t="s">
        <v>183</v>
      </c>
    </row>
    <row r="1472" spans="1:21">
      <c r="A1472" t="str">
        <f>"003038"</f>
        <v>003038</v>
      </c>
      <c r="B1472" t="s">
        <v>3034</v>
      </c>
      <c r="C1472">
        <v>10.01</v>
      </c>
      <c r="D1472">
        <v>57.04</v>
      </c>
      <c r="E1472">
        <v>5.19</v>
      </c>
      <c r="F1472">
        <v>57.04</v>
      </c>
      <c r="G1472" t="s">
        <v>40</v>
      </c>
      <c r="H1472">
        <v>31130</v>
      </c>
      <c r="I1472">
        <v>43</v>
      </c>
      <c r="J1472">
        <v>0</v>
      </c>
      <c r="K1472">
        <v>11.7</v>
      </c>
      <c r="L1472">
        <v>17290.3</v>
      </c>
      <c r="M1472" t="s">
        <v>3035</v>
      </c>
      <c r="N1472" t="s">
        <v>494</v>
      </c>
      <c r="O1472">
        <v>52.4</v>
      </c>
      <c r="P1472">
        <v>57.04</v>
      </c>
      <c r="Q1472">
        <v>52.32</v>
      </c>
      <c r="R1472">
        <v>51.85</v>
      </c>
      <c r="S1472">
        <v>55.85</v>
      </c>
      <c r="T1472">
        <v>1.35</v>
      </c>
      <c r="U1472" t="s">
        <v>193</v>
      </c>
    </row>
    <row r="1473" spans="1:21">
      <c r="A1473" t="str">
        <f>"003039"</f>
        <v>003039</v>
      </c>
      <c r="B1473" t="s">
        <v>3036</v>
      </c>
      <c r="C1473">
        <v>0.29</v>
      </c>
      <c r="D1473">
        <v>31.22</v>
      </c>
      <c r="E1473">
        <v>0.09</v>
      </c>
      <c r="F1473">
        <v>31.22</v>
      </c>
      <c r="G1473">
        <v>31.23</v>
      </c>
      <c r="H1473">
        <v>19979</v>
      </c>
      <c r="I1473">
        <v>299</v>
      </c>
      <c r="J1473">
        <v>0.03</v>
      </c>
      <c r="K1473">
        <v>3.22</v>
      </c>
      <c r="L1473">
        <v>6213.16</v>
      </c>
      <c r="M1473" t="s">
        <v>3037</v>
      </c>
      <c r="N1473" t="s">
        <v>465</v>
      </c>
      <c r="O1473">
        <v>31.14</v>
      </c>
      <c r="P1473">
        <v>31.28</v>
      </c>
      <c r="Q1473">
        <v>30.89</v>
      </c>
      <c r="R1473">
        <v>31.13</v>
      </c>
      <c r="S1473">
        <v>72.74</v>
      </c>
      <c r="T1473">
        <v>0.6</v>
      </c>
      <c r="U1473" t="s">
        <v>183</v>
      </c>
    </row>
    <row r="1474" spans="1:21">
      <c r="A1474" t="str">
        <f>"003040"</f>
        <v>003040</v>
      </c>
      <c r="B1474" t="s">
        <v>3038</v>
      </c>
      <c r="C1474">
        <v>0.48</v>
      </c>
      <c r="D1474">
        <v>25.12</v>
      </c>
      <c r="E1474">
        <v>0.12</v>
      </c>
      <c r="F1474">
        <v>25.11</v>
      </c>
      <c r="G1474">
        <v>25.12</v>
      </c>
      <c r="H1474">
        <v>46797</v>
      </c>
      <c r="I1474">
        <v>933</v>
      </c>
      <c r="J1474">
        <v>-0.15</v>
      </c>
      <c r="K1474">
        <v>5.97</v>
      </c>
      <c r="L1474">
        <v>11724.71</v>
      </c>
      <c r="M1474" t="s">
        <v>3039</v>
      </c>
      <c r="N1474" t="s">
        <v>69</v>
      </c>
      <c r="O1474">
        <v>25</v>
      </c>
      <c r="P1474">
        <v>25.39</v>
      </c>
      <c r="Q1474">
        <v>24.8</v>
      </c>
      <c r="R1474">
        <v>25</v>
      </c>
      <c r="S1474">
        <v>318.11</v>
      </c>
      <c r="T1474">
        <v>0.53</v>
      </c>
      <c r="U1474" t="s">
        <v>183</v>
      </c>
    </row>
    <row r="1475" spans="1:21">
      <c r="A1475" t="str">
        <f>"003041"</f>
        <v>003041</v>
      </c>
      <c r="B1475" t="s">
        <v>3040</v>
      </c>
      <c r="C1475">
        <v>0.71</v>
      </c>
      <c r="D1475">
        <v>28.21</v>
      </c>
      <c r="E1475">
        <v>0.2</v>
      </c>
      <c r="F1475">
        <v>28.2</v>
      </c>
      <c r="G1475">
        <v>28.21</v>
      </c>
      <c r="H1475">
        <v>38973</v>
      </c>
      <c r="I1475">
        <v>366</v>
      </c>
      <c r="J1475">
        <v>-0.24</v>
      </c>
      <c r="K1475">
        <v>15.59</v>
      </c>
      <c r="L1475">
        <v>10873.57</v>
      </c>
      <c r="M1475" t="s">
        <v>3041</v>
      </c>
      <c r="N1475" t="s">
        <v>664</v>
      </c>
      <c r="O1475">
        <v>27.93</v>
      </c>
      <c r="P1475">
        <v>28.88</v>
      </c>
      <c r="Q1475">
        <v>26.66</v>
      </c>
      <c r="R1475">
        <v>28.01</v>
      </c>
      <c r="S1475">
        <v>24.99</v>
      </c>
      <c r="T1475">
        <v>0.75</v>
      </c>
      <c r="U1475" t="s">
        <v>200</v>
      </c>
    </row>
    <row r="1476" spans="1:21">
      <c r="A1476" t="str">
        <f>"003042"</f>
        <v>003042</v>
      </c>
      <c r="B1476" t="s">
        <v>3042</v>
      </c>
      <c r="C1476">
        <v>1.6</v>
      </c>
      <c r="D1476">
        <v>23.53</v>
      </c>
      <c r="E1476">
        <v>0.37</v>
      </c>
      <c r="F1476">
        <v>23.52</v>
      </c>
      <c r="G1476">
        <v>23.53</v>
      </c>
      <c r="H1476">
        <v>4914</v>
      </c>
      <c r="I1476">
        <v>109</v>
      </c>
      <c r="J1476">
        <v>0.09</v>
      </c>
      <c r="K1476">
        <v>1.79</v>
      </c>
      <c r="L1476">
        <v>1152.87</v>
      </c>
      <c r="M1476" t="s">
        <v>3043</v>
      </c>
      <c r="N1476" t="s">
        <v>241</v>
      </c>
      <c r="O1476">
        <v>23.35</v>
      </c>
      <c r="P1476">
        <v>23.62</v>
      </c>
      <c r="Q1476">
        <v>23.18</v>
      </c>
      <c r="R1476">
        <v>23.16</v>
      </c>
      <c r="S1476">
        <v>41.75</v>
      </c>
      <c r="T1476">
        <v>0.89</v>
      </c>
      <c r="U1476" t="s">
        <v>221</v>
      </c>
    </row>
    <row r="1477" spans="1:21">
      <c r="A1477" t="str">
        <f>"003043"</f>
        <v>003043</v>
      </c>
      <c r="B1477" t="s">
        <v>3044</v>
      </c>
      <c r="C1477">
        <v>-1.28</v>
      </c>
      <c r="D1477">
        <v>81.93</v>
      </c>
      <c r="E1477">
        <v>-1.06</v>
      </c>
      <c r="F1477">
        <v>81.93</v>
      </c>
      <c r="G1477">
        <v>81.94</v>
      </c>
      <c r="H1477">
        <v>19904</v>
      </c>
      <c r="I1477">
        <v>337</v>
      </c>
      <c r="J1477">
        <v>-0.12</v>
      </c>
      <c r="K1477">
        <v>9.95</v>
      </c>
      <c r="L1477">
        <v>16488.98</v>
      </c>
      <c r="M1477" t="s">
        <v>3045</v>
      </c>
      <c r="N1477" t="s">
        <v>324</v>
      </c>
      <c r="O1477">
        <v>82.95</v>
      </c>
      <c r="P1477">
        <v>85.17</v>
      </c>
      <c r="Q1477">
        <v>81.52</v>
      </c>
      <c r="R1477">
        <v>82.99</v>
      </c>
      <c r="S1477">
        <v>59.39</v>
      </c>
      <c r="T1477">
        <v>0.75</v>
      </c>
      <c r="U1477" t="s">
        <v>102</v>
      </c>
    </row>
    <row r="1478" spans="1:21">
      <c r="A1478" t="str">
        <f>"003816"</f>
        <v>003816</v>
      </c>
      <c r="B1478" t="s">
        <v>3046</v>
      </c>
      <c r="C1478">
        <v>1.44</v>
      </c>
      <c r="D1478">
        <v>2.82</v>
      </c>
      <c r="E1478">
        <v>0.04</v>
      </c>
      <c r="F1478">
        <v>2.82</v>
      </c>
      <c r="G1478">
        <v>2.83</v>
      </c>
      <c r="H1478">
        <v>1006016</v>
      </c>
      <c r="I1478">
        <v>9320</v>
      </c>
      <c r="J1478">
        <v>-0.34</v>
      </c>
      <c r="K1478">
        <v>1.03</v>
      </c>
      <c r="L1478">
        <v>28100.06</v>
      </c>
      <c r="M1478" t="s">
        <v>3047</v>
      </c>
      <c r="N1478" t="s">
        <v>114</v>
      </c>
      <c r="O1478">
        <v>2.77</v>
      </c>
      <c r="P1478">
        <v>2.83</v>
      </c>
      <c r="Q1478">
        <v>2.75</v>
      </c>
      <c r="R1478">
        <v>2.78</v>
      </c>
      <c r="S1478">
        <v>12.26</v>
      </c>
      <c r="T1478">
        <v>1.51</v>
      </c>
      <c r="U1478" t="s">
        <v>24</v>
      </c>
    </row>
    <row r="1479" spans="1:21">
      <c r="A1479" t="str">
        <f>"300001"</f>
        <v>300001</v>
      </c>
      <c r="B1479" t="s">
        <v>3048</v>
      </c>
      <c r="C1479">
        <v>-0.2</v>
      </c>
      <c r="D1479">
        <v>30.1</v>
      </c>
      <c r="E1479">
        <v>-0.06</v>
      </c>
      <c r="F1479">
        <v>30.03</v>
      </c>
      <c r="G1479">
        <v>30.1</v>
      </c>
      <c r="H1479">
        <v>187667</v>
      </c>
      <c r="I1479">
        <v>13691</v>
      </c>
      <c r="J1479">
        <v>0.27</v>
      </c>
      <c r="K1479">
        <v>1.89</v>
      </c>
      <c r="L1479">
        <v>56253.56</v>
      </c>
      <c r="M1479" t="s">
        <v>3049</v>
      </c>
      <c r="N1479" t="s">
        <v>47</v>
      </c>
      <c r="O1479">
        <v>29.9</v>
      </c>
      <c r="P1479">
        <v>30.36</v>
      </c>
      <c r="Q1479">
        <v>29.63</v>
      </c>
      <c r="R1479">
        <v>30.16</v>
      </c>
      <c r="S1479">
        <v>319.16</v>
      </c>
      <c r="T1479">
        <v>0.58</v>
      </c>
      <c r="U1479" t="s">
        <v>221</v>
      </c>
    </row>
    <row r="1480" spans="1:21">
      <c r="A1480" t="str">
        <f>"300002"</f>
        <v>300002</v>
      </c>
      <c r="B1480" t="s">
        <v>3050</v>
      </c>
      <c r="C1480">
        <v>4.04</v>
      </c>
      <c r="D1480">
        <v>5.93</v>
      </c>
      <c r="E1480">
        <v>0.23</v>
      </c>
      <c r="F1480">
        <v>5.92</v>
      </c>
      <c r="G1480">
        <v>5.93</v>
      </c>
      <c r="H1480">
        <v>1256957</v>
      </c>
      <c r="I1480">
        <v>25566</v>
      </c>
      <c r="J1480">
        <v>0.17</v>
      </c>
      <c r="K1480">
        <v>7.48</v>
      </c>
      <c r="L1480">
        <v>74131.78</v>
      </c>
      <c r="M1480" t="s">
        <v>3051</v>
      </c>
      <c r="N1480" t="s">
        <v>30</v>
      </c>
      <c r="O1480">
        <v>5.7</v>
      </c>
      <c r="P1480">
        <v>6.05</v>
      </c>
      <c r="Q1480">
        <v>5.7</v>
      </c>
      <c r="R1480">
        <v>5.7</v>
      </c>
      <c r="S1480">
        <v>41.1</v>
      </c>
      <c r="T1480">
        <v>0.84</v>
      </c>
      <c r="U1480" t="s">
        <v>44</v>
      </c>
    </row>
    <row r="1481" spans="1:21">
      <c r="A1481" t="str">
        <f>"300003"</f>
        <v>300003</v>
      </c>
      <c r="B1481" t="s">
        <v>3052</v>
      </c>
      <c r="C1481">
        <v>0.72</v>
      </c>
      <c r="D1481">
        <v>22.33</v>
      </c>
      <c r="E1481">
        <v>0.16</v>
      </c>
      <c r="F1481">
        <v>22.33</v>
      </c>
      <c r="G1481">
        <v>22.34</v>
      </c>
      <c r="H1481">
        <v>100639</v>
      </c>
      <c r="I1481">
        <v>1316</v>
      </c>
      <c r="J1481">
        <v>-0.03</v>
      </c>
      <c r="K1481">
        <v>0.65</v>
      </c>
      <c r="L1481">
        <v>22433.72</v>
      </c>
      <c r="M1481" t="s">
        <v>3053</v>
      </c>
      <c r="N1481" t="s">
        <v>186</v>
      </c>
      <c r="O1481">
        <v>22.05</v>
      </c>
      <c r="P1481">
        <v>22.48</v>
      </c>
      <c r="Q1481">
        <v>22.02</v>
      </c>
      <c r="R1481">
        <v>22.17</v>
      </c>
      <c r="S1481">
        <v>15.73</v>
      </c>
      <c r="T1481">
        <v>0.81</v>
      </c>
      <c r="U1481" t="s">
        <v>44</v>
      </c>
    </row>
    <row r="1482" spans="1:21">
      <c r="A1482" t="str">
        <f>"300004"</f>
        <v>300004</v>
      </c>
      <c r="B1482" t="s">
        <v>3054</v>
      </c>
      <c r="C1482">
        <v>-0.32</v>
      </c>
      <c r="D1482">
        <v>6.18</v>
      </c>
      <c r="E1482">
        <v>-0.02</v>
      </c>
      <c r="F1482">
        <v>6.18</v>
      </c>
      <c r="G1482">
        <v>6.19</v>
      </c>
      <c r="H1482">
        <v>67179</v>
      </c>
      <c r="I1482">
        <v>681</v>
      </c>
      <c r="J1482">
        <v>0</v>
      </c>
      <c r="K1482">
        <v>1.41</v>
      </c>
      <c r="L1482">
        <v>4142.84</v>
      </c>
      <c r="M1482" t="s">
        <v>2644</v>
      </c>
      <c r="N1482" t="s">
        <v>47</v>
      </c>
      <c r="O1482">
        <v>6.15</v>
      </c>
      <c r="P1482">
        <v>6.24</v>
      </c>
      <c r="Q1482">
        <v>6.09</v>
      </c>
      <c r="R1482">
        <v>6.2</v>
      </c>
      <c r="S1482" t="s">
        <v>40</v>
      </c>
      <c r="T1482">
        <v>0.81</v>
      </c>
      <c r="U1482" t="s">
        <v>183</v>
      </c>
    </row>
    <row r="1483" spans="1:21">
      <c r="A1483" t="str">
        <f>"300005"</f>
        <v>300005</v>
      </c>
      <c r="B1483" t="s">
        <v>3055</v>
      </c>
      <c r="C1483">
        <v>0.21</v>
      </c>
      <c r="D1483">
        <v>9.44</v>
      </c>
      <c r="E1483">
        <v>0.02</v>
      </c>
      <c r="F1483">
        <v>9.43</v>
      </c>
      <c r="G1483">
        <v>9.44</v>
      </c>
      <c r="H1483">
        <v>218052</v>
      </c>
      <c r="I1483">
        <v>1544</v>
      </c>
      <c r="J1483">
        <v>0.96</v>
      </c>
      <c r="K1483">
        <v>3.11</v>
      </c>
      <c r="L1483">
        <v>20510.08</v>
      </c>
      <c r="M1483" t="s">
        <v>3056</v>
      </c>
      <c r="N1483" t="s">
        <v>1061</v>
      </c>
      <c r="O1483">
        <v>9.4</v>
      </c>
      <c r="P1483">
        <v>9.72</v>
      </c>
      <c r="Q1483">
        <v>9.16</v>
      </c>
      <c r="R1483">
        <v>9.42</v>
      </c>
      <c r="S1483">
        <v>211.19</v>
      </c>
      <c r="T1483">
        <v>1.41</v>
      </c>
      <c r="U1483" t="s">
        <v>44</v>
      </c>
    </row>
    <row r="1484" spans="1:21">
      <c r="A1484" t="str">
        <f>"300006"</f>
        <v>300006</v>
      </c>
      <c r="B1484" t="s">
        <v>3057</v>
      </c>
      <c r="C1484">
        <v>-1.06</v>
      </c>
      <c r="D1484">
        <v>5.6</v>
      </c>
      <c r="E1484">
        <v>-0.06</v>
      </c>
      <c r="F1484">
        <v>5.59</v>
      </c>
      <c r="G1484">
        <v>5.6</v>
      </c>
      <c r="H1484">
        <v>276821</v>
      </c>
      <c r="I1484">
        <v>2076</v>
      </c>
      <c r="J1484">
        <v>0</v>
      </c>
      <c r="K1484">
        <v>3.41</v>
      </c>
      <c r="L1484">
        <v>15538.08</v>
      </c>
      <c r="M1484" t="s">
        <v>3058</v>
      </c>
      <c r="N1484" t="s">
        <v>192</v>
      </c>
      <c r="O1484">
        <v>5.65</v>
      </c>
      <c r="P1484">
        <v>5.7</v>
      </c>
      <c r="Q1484">
        <v>5.56</v>
      </c>
      <c r="R1484">
        <v>5.66</v>
      </c>
      <c r="S1484">
        <v>222.08</v>
      </c>
      <c r="T1484">
        <v>0.9</v>
      </c>
      <c r="U1484" t="s">
        <v>314</v>
      </c>
    </row>
    <row r="1485" spans="1:21">
      <c r="A1485" t="str">
        <f>"300007"</f>
        <v>300007</v>
      </c>
      <c r="B1485" t="s">
        <v>3059</v>
      </c>
      <c r="C1485">
        <v>2.44</v>
      </c>
      <c r="D1485">
        <v>26.01</v>
      </c>
      <c r="E1485">
        <v>0.62</v>
      </c>
      <c r="F1485">
        <v>26</v>
      </c>
      <c r="G1485">
        <v>26.01</v>
      </c>
      <c r="H1485">
        <v>255265</v>
      </c>
      <c r="I1485">
        <v>2318</v>
      </c>
      <c r="J1485">
        <v>-0.03</v>
      </c>
      <c r="K1485">
        <v>10.25</v>
      </c>
      <c r="L1485">
        <v>66718.87</v>
      </c>
      <c r="M1485" t="s">
        <v>3060</v>
      </c>
      <c r="N1485" t="s">
        <v>1028</v>
      </c>
      <c r="O1485">
        <v>24.9</v>
      </c>
      <c r="P1485">
        <v>27.06</v>
      </c>
      <c r="Q1485">
        <v>24.9</v>
      </c>
      <c r="R1485">
        <v>25.39</v>
      </c>
      <c r="S1485">
        <v>30.26</v>
      </c>
      <c r="T1485">
        <v>1.09</v>
      </c>
      <c r="U1485" t="s">
        <v>224</v>
      </c>
    </row>
    <row r="1486" spans="1:21">
      <c r="A1486" t="str">
        <f>"300008"</f>
        <v>300008</v>
      </c>
      <c r="B1486" t="s">
        <v>3061</v>
      </c>
      <c r="C1486">
        <v>-3.01</v>
      </c>
      <c r="D1486">
        <v>4.84</v>
      </c>
      <c r="E1486">
        <v>-0.15</v>
      </c>
      <c r="F1486">
        <v>4.84</v>
      </c>
      <c r="G1486">
        <v>4.85</v>
      </c>
      <c r="H1486">
        <v>626625</v>
      </c>
      <c r="I1486">
        <v>5254</v>
      </c>
      <c r="J1486">
        <v>-0.2</v>
      </c>
      <c r="K1486">
        <v>4.87</v>
      </c>
      <c r="L1486">
        <v>30357.58</v>
      </c>
      <c r="M1486" t="s">
        <v>3062</v>
      </c>
      <c r="N1486" t="s">
        <v>3063</v>
      </c>
      <c r="O1486">
        <v>4.92</v>
      </c>
      <c r="P1486">
        <v>4.95</v>
      </c>
      <c r="Q1486">
        <v>4.79</v>
      </c>
      <c r="R1486">
        <v>4.99</v>
      </c>
      <c r="S1486">
        <v>322.94</v>
      </c>
      <c r="T1486">
        <v>1.35</v>
      </c>
      <c r="U1486" t="s">
        <v>848</v>
      </c>
    </row>
    <row r="1487" spans="1:21">
      <c r="A1487" t="str">
        <f>"300009"</f>
        <v>300009</v>
      </c>
      <c r="B1487" t="s">
        <v>3064</v>
      </c>
      <c r="C1487">
        <v>1.12</v>
      </c>
      <c r="D1487">
        <v>12.61</v>
      </c>
      <c r="E1487">
        <v>0.14</v>
      </c>
      <c r="F1487">
        <v>12.61</v>
      </c>
      <c r="G1487">
        <v>12.62</v>
      </c>
      <c r="H1487">
        <v>148399</v>
      </c>
      <c r="I1487">
        <v>2126</v>
      </c>
      <c r="J1487">
        <v>0.08</v>
      </c>
      <c r="K1487">
        <v>1.28</v>
      </c>
      <c r="L1487">
        <v>18635.07</v>
      </c>
      <c r="M1487" t="s">
        <v>3065</v>
      </c>
      <c r="N1487" t="s">
        <v>231</v>
      </c>
      <c r="O1487">
        <v>12.5</v>
      </c>
      <c r="P1487">
        <v>12.65</v>
      </c>
      <c r="Q1487">
        <v>12.45</v>
      </c>
      <c r="R1487">
        <v>12.47</v>
      </c>
      <c r="S1487">
        <v>36.09</v>
      </c>
      <c r="T1487">
        <v>0.69</v>
      </c>
      <c r="U1487" t="s">
        <v>193</v>
      </c>
    </row>
    <row r="1488" spans="1:21">
      <c r="A1488" t="str">
        <f>"300010"</f>
        <v>300010</v>
      </c>
      <c r="B1488" t="s">
        <v>3066</v>
      </c>
      <c r="C1488">
        <v>0.26</v>
      </c>
      <c r="D1488">
        <v>3.91</v>
      </c>
      <c r="E1488">
        <v>0.01</v>
      </c>
      <c r="F1488">
        <v>3.91</v>
      </c>
      <c r="G1488">
        <v>3.92</v>
      </c>
      <c r="H1488">
        <v>250718</v>
      </c>
      <c r="I1488">
        <v>6406</v>
      </c>
      <c r="J1488">
        <v>-0.25</v>
      </c>
      <c r="K1488">
        <v>3.37</v>
      </c>
      <c r="L1488">
        <v>9842.84</v>
      </c>
      <c r="M1488" t="s">
        <v>3067</v>
      </c>
      <c r="N1488" t="s">
        <v>30</v>
      </c>
      <c r="O1488">
        <v>3.91</v>
      </c>
      <c r="P1488">
        <v>3.97</v>
      </c>
      <c r="Q1488">
        <v>3.88</v>
      </c>
      <c r="R1488">
        <v>3.9</v>
      </c>
      <c r="S1488" t="s">
        <v>40</v>
      </c>
      <c r="T1488">
        <v>0.64</v>
      </c>
      <c r="U1488" t="s">
        <v>44</v>
      </c>
    </row>
    <row r="1489" spans="1:21">
      <c r="A1489" t="str">
        <f>"300011"</f>
        <v>300011</v>
      </c>
      <c r="B1489" t="s">
        <v>3068</v>
      </c>
      <c r="C1489">
        <v>0.68</v>
      </c>
      <c r="D1489">
        <v>7.39</v>
      </c>
      <c r="E1489">
        <v>0.05</v>
      </c>
      <c r="F1489">
        <v>7.38</v>
      </c>
      <c r="G1489">
        <v>7.39</v>
      </c>
      <c r="H1489">
        <v>107681</v>
      </c>
      <c r="I1489">
        <v>1681</v>
      </c>
      <c r="J1489">
        <v>0.14</v>
      </c>
      <c r="K1489">
        <v>2.15</v>
      </c>
      <c r="L1489">
        <v>7902.43</v>
      </c>
      <c r="M1489" t="s">
        <v>3069</v>
      </c>
      <c r="N1489" t="s">
        <v>43</v>
      </c>
      <c r="O1489">
        <v>7.42</v>
      </c>
      <c r="P1489">
        <v>7.42</v>
      </c>
      <c r="Q1489">
        <v>7.25</v>
      </c>
      <c r="R1489">
        <v>7.34</v>
      </c>
      <c r="S1489" t="s">
        <v>40</v>
      </c>
      <c r="T1489">
        <v>0.43</v>
      </c>
      <c r="U1489" t="s">
        <v>44</v>
      </c>
    </row>
    <row r="1490" spans="1:21">
      <c r="A1490" t="str">
        <f>"300012"</f>
        <v>300012</v>
      </c>
      <c r="B1490" t="s">
        <v>3070</v>
      </c>
      <c r="C1490">
        <v>0.42</v>
      </c>
      <c r="D1490">
        <v>26.18</v>
      </c>
      <c r="E1490">
        <v>0.11</v>
      </c>
      <c r="F1490">
        <v>26.18</v>
      </c>
      <c r="G1490">
        <v>26.19</v>
      </c>
      <c r="H1490">
        <v>122412</v>
      </c>
      <c r="I1490">
        <v>518</v>
      </c>
      <c r="J1490">
        <v>0.04</v>
      </c>
      <c r="K1490">
        <v>0.81</v>
      </c>
      <c r="L1490">
        <v>31675.88</v>
      </c>
      <c r="M1490" t="s">
        <v>3071</v>
      </c>
      <c r="N1490" t="s">
        <v>1028</v>
      </c>
      <c r="O1490">
        <v>26.01</v>
      </c>
      <c r="P1490">
        <v>26.25</v>
      </c>
      <c r="Q1490">
        <v>25.55</v>
      </c>
      <c r="R1490">
        <v>26.07</v>
      </c>
      <c r="S1490">
        <v>59.32</v>
      </c>
      <c r="T1490">
        <v>1</v>
      </c>
      <c r="U1490" t="s">
        <v>24</v>
      </c>
    </row>
    <row r="1491" spans="1:21">
      <c r="A1491" t="str">
        <f>"300013"</f>
        <v>300013</v>
      </c>
      <c r="B1491" t="s">
        <v>3072</v>
      </c>
      <c r="C1491">
        <v>5.33</v>
      </c>
      <c r="D1491">
        <v>4.35</v>
      </c>
      <c r="E1491">
        <v>0.22</v>
      </c>
      <c r="F1491">
        <v>4.34</v>
      </c>
      <c r="G1491">
        <v>4.35</v>
      </c>
      <c r="H1491">
        <v>355111</v>
      </c>
      <c r="I1491">
        <v>3991</v>
      </c>
      <c r="J1491">
        <v>0.46</v>
      </c>
      <c r="K1491">
        <v>7.97</v>
      </c>
      <c r="L1491">
        <v>15704.53</v>
      </c>
      <c r="M1491" t="s">
        <v>3073</v>
      </c>
      <c r="N1491" t="s">
        <v>1049</v>
      </c>
      <c r="O1491">
        <v>4.15</v>
      </c>
      <c r="P1491">
        <v>4.66</v>
      </c>
      <c r="Q1491">
        <v>4.14</v>
      </c>
      <c r="R1491">
        <v>4.13</v>
      </c>
      <c r="S1491" t="s">
        <v>40</v>
      </c>
      <c r="T1491">
        <v>4.13</v>
      </c>
      <c r="U1491" t="s">
        <v>102</v>
      </c>
    </row>
    <row r="1492" spans="1:21">
      <c r="A1492" t="str">
        <f>"300014"</f>
        <v>300014</v>
      </c>
      <c r="B1492" t="s">
        <v>3074</v>
      </c>
      <c r="C1492">
        <v>1.04</v>
      </c>
      <c r="D1492">
        <v>128.32</v>
      </c>
      <c r="E1492">
        <v>1.32</v>
      </c>
      <c r="F1492">
        <v>128.32</v>
      </c>
      <c r="G1492">
        <v>128.33</v>
      </c>
      <c r="H1492">
        <v>178624</v>
      </c>
      <c r="I1492">
        <v>4035</v>
      </c>
      <c r="J1492">
        <v>0.49</v>
      </c>
      <c r="K1492">
        <v>0.97</v>
      </c>
      <c r="L1492">
        <v>228090.8</v>
      </c>
      <c r="M1492" t="s">
        <v>3075</v>
      </c>
      <c r="N1492" t="s">
        <v>47</v>
      </c>
      <c r="O1492">
        <v>126.24</v>
      </c>
      <c r="P1492">
        <v>130.2</v>
      </c>
      <c r="Q1492">
        <v>125.88</v>
      </c>
      <c r="R1492">
        <v>127</v>
      </c>
      <c r="S1492">
        <v>82.34</v>
      </c>
      <c r="T1492">
        <v>0.73</v>
      </c>
      <c r="U1492" t="s">
        <v>183</v>
      </c>
    </row>
    <row r="1493" spans="1:21">
      <c r="A1493" t="str">
        <f>"300015"</f>
        <v>300015</v>
      </c>
      <c r="B1493" t="s">
        <v>3076</v>
      </c>
      <c r="C1493">
        <v>-0.92</v>
      </c>
      <c r="D1493">
        <v>47.26</v>
      </c>
      <c r="E1493">
        <v>-0.44</v>
      </c>
      <c r="F1493">
        <v>47.26</v>
      </c>
      <c r="G1493">
        <v>47.27</v>
      </c>
      <c r="H1493">
        <v>241010</v>
      </c>
      <c r="I1493">
        <v>2559</v>
      </c>
      <c r="J1493">
        <v>0.02</v>
      </c>
      <c r="K1493">
        <v>0.54</v>
      </c>
      <c r="L1493">
        <v>113683.66</v>
      </c>
      <c r="M1493" t="s">
        <v>3077</v>
      </c>
      <c r="N1493" t="s">
        <v>186</v>
      </c>
      <c r="O1493">
        <v>47.2</v>
      </c>
      <c r="P1493">
        <v>47.7</v>
      </c>
      <c r="Q1493">
        <v>46.88</v>
      </c>
      <c r="R1493">
        <v>47.7</v>
      </c>
      <c r="S1493">
        <v>95.64</v>
      </c>
      <c r="T1493">
        <v>0.81</v>
      </c>
      <c r="U1493" t="s">
        <v>204</v>
      </c>
    </row>
    <row r="1494" spans="1:21">
      <c r="A1494" t="str">
        <f>"300016"</f>
        <v>300016</v>
      </c>
      <c r="B1494" t="s">
        <v>3078</v>
      </c>
      <c r="C1494">
        <v>0.39</v>
      </c>
      <c r="D1494">
        <v>7.76</v>
      </c>
      <c r="E1494">
        <v>0.03</v>
      </c>
      <c r="F1494">
        <v>7.75</v>
      </c>
      <c r="G1494">
        <v>7.76</v>
      </c>
      <c r="H1494">
        <v>24299</v>
      </c>
      <c r="I1494">
        <v>196</v>
      </c>
      <c r="J1494">
        <v>0</v>
      </c>
      <c r="K1494">
        <v>0.6</v>
      </c>
      <c r="L1494">
        <v>1881.34</v>
      </c>
      <c r="M1494" t="s">
        <v>3079</v>
      </c>
      <c r="N1494" t="s">
        <v>192</v>
      </c>
      <c r="O1494">
        <v>7.75</v>
      </c>
      <c r="P1494">
        <v>7.79</v>
      </c>
      <c r="Q1494">
        <v>7.68</v>
      </c>
      <c r="R1494">
        <v>7.73</v>
      </c>
      <c r="S1494">
        <v>22.11</v>
      </c>
      <c r="T1494">
        <v>0.69</v>
      </c>
      <c r="U1494" t="s">
        <v>44</v>
      </c>
    </row>
    <row r="1495" spans="1:21">
      <c r="A1495" t="str">
        <f>"300017"</f>
        <v>300017</v>
      </c>
      <c r="B1495" t="s">
        <v>3080</v>
      </c>
      <c r="C1495">
        <v>-0.63</v>
      </c>
      <c r="D1495">
        <v>6.33</v>
      </c>
      <c r="E1495">
        <v>-0.04</v>
      </c>
      <c r="F1495">
        <v>6.32</v>
      </c>
      <c r="G1495">
        <v>6.33</v>
      </c>
      <c r="H1495">
        <v>631541</v>
      </c>
      <c r="I1495">
        <v>8151</v>
      </c>
      <c r="J1495">
        <v>0.16</v>
      </c>
      <c r="K1495">
        <v>2.78</v>
      </c>
      <c r="L1495">
        <v>40198.18</v>
      </c>
      <c r="M1495" t="s">
        <v>3081</v>
      </c>
      <c r="N1495" t="s">
        <v>1279</v>
      </c>
      <c r="O1495">
        <v>6.35</v>
      </c>
      <c r="P1495">
        <v>6.47</v>
      </c>
      <c r="Q1495">
        <v>6.3</v>
      </c>
      <c r="R1495">
        <v>6.37</v>
      </c>
      <c r="S1495">
        <v>82.25</v>
      </c>
      <c r="T1495">
        <v>0.71</v>
      </c>
      <c r="U1495" t="s">
        <v>848</v>
      </c>
    </row>
    <row r="1496" spans="1:21">
      <c r="A1496" t="str">
        <f>"300018"</f>
        <v>300018</v>
      </c>
      <c r="B1496" t="s">
        <v>3082</v>
      </c>
      <c r="C1496">
        <v>-0.27</v>
      </c>
      <c r="D1496">
        <v>7.26</v>
      </c>
      <c r="E1496">
        <v>-0.02</v>
      </c>
      <c r="F1496">
        <v>7.25</v>
      </c>
      <c r="G1496">
        <v>7.26</v>
      </c>
      <c r="H1496">
        <v>186978</v>
      </c>
      <c r="I1496">
        <v>2417</v>
      </c>
      <c r="J1496">
        <v>0</v>
      </c>
      <c r="K1496">
        <v>4.62</v>
      </c>
      <c r="L1496">
        <v>13568.93</v>
      </c>
      <c r="M1496" t="s">
        <v>2368</v>
      </c>
      <c r="N1496" t="s">
        <v>47</v>
      </c>
      <c r="O1496">
        <v>7.26</v>
      </c>
      <c r="P1496">
        <v>7.33</v>
      </c>
      <c r="Q1496">
        <v>7.18</v>
      </c>
      <c r="R1496">
        <v>7.28</v>
      </c>
      <c r="S1496">
        <v>36.61</v>
      </c>
      <c r="T1496">
        <v>0.54</v>
      </c>
      <c r="U1496" t="s">
        <v>267</v>
      </c>
    </row>
    <row r="1497" spans="1:21">
      <c r="A1497" t="str">
        <f>"300019"</f>
        <v>300019</v>
      </c>
      <c r="B1497" t="s">
        <v>3083</v>
      </c>
      <c r="C1497">
        <v>-1.23</v>
      </c>
      <c r="D1497">
        <v>24.08</v>
      </c>
      <c r="E1497">
        <v>-0.3</v>
      </c>
      <c r="F1497">
        <v>24.08</v>
      </c>
      <c r="G1497">
        <v>24.09</v>
      </c>
      <c r="H1497">
        <v>222047</v>
      </c>
      <c r="I1497">
        <v>3982</v>
      </c>
      <c r="J1497">
        <v>0.21</v>
      </c>
      <c r="K1497">
        <v>6.66</v>
      </c>
      <c r="L1497">
        <v>52893.33</v>
      </c>
      <c r="M1497" t="s">
        <v>3084</v>
      </c>
      <c r="N1497" t="s">
        <v>309</v>
      </c>
      <c r="O1497">
        <v>24</v>
      </c>
      <c r="P1497">
        <v>24.24</v>
      </c>
      <c r="Q1497">
        <v>23.4</v>
      </c>
      <c r="R1497">
        <v>24.38</v>
      </c>
      <c r="S1497">
        <v>43.7</v>
      </c>
      <c r="T1497">
        <v>0.81</v>
      </c>
      <c r="U1497" t="s">
        <v>196</v>
      </c>
    </row>
    <row r="1498" spans="1:21">
      <c r="A1498" t="str">
        <f>"300020"</f>
        <v>300020</v>
      </c>
      <c r="B1498" t="s">
        <v>3085</v>
      </c>
      <c r="C1498">
        <v>1.02</v>
      </c>
      <c r="D1498">
        <v>7.94</v>
      </c>
      <c r="E1498">
        <v>0.08</v>
      </c>
      <c r="F1498">
        <v>7.93</v>
      </c>
      <c r="G1498">
        <v>7.94</v>
      </c>
      <c r="H1498">
        <v>161186</v>
      </c>
      <c r="I1498">
        <v>1854</v>
      </c>
      <c r="J1498">
        <v>0.13</v>
      </c>
      <c r="K1498">
        <v>2.57</v>
      </c>
      <c r="L1498">
        <v>12830.73</v>
      </c>
      <c r="M1498" t="s">
        <v>3086</v>
      </c>
      <c r="N1498" t="s">
        <v>30</v>
      </c>
      <c r="O1498">
        <v>7.92</v>
      </c>
      <c r="P1498">
        <v>8.05</v>
      </c>
      <c r="Q1498">
        <v>7.84</v>
      </c>
      <c r="R1498">
        <v>7.86</v>
      </c>
      <c r="S1498">
        <v>36.81</v>
      </c>
      <c r="T1498">
        <v>0.57</v>
      </c>
      <c r="U1498" t="s">
        <v>200</v>
      </c>
    </row>
    <row r="1499" spans="1:21">
      <c r="A1499" t="str">
        <f>"300021"</f>
        <v>300021</v>
      </c>
      <c r="B1499" t="s">
        <v>3087</v>
      </c>
      <c r="C1499">
        <v>0.19</v>
      </c>
      <c r="D1499">
        <v>5.27</v>
      </c>
      <c r="E1499">
        <v>0.01</v>
      </c>
      <c r="F1499">
        <v>5.26</v>
      </c>
      <c r="G1499">
        <v>5.27</v>
      </c>
      <c r="H1499">
        <v>142863</v>
      </c>
      <c r="I1499">
        <v>3142</v>
      </c>
      <c r="J1499">
        <v>0.19</v>
      </c>
      <c r="K1499">
        <v>2.23</v>
      </c>
      <c r="L1499">
        <v>7486.2</v>
      </c>
      <c r="M1499" t="s">
        <v>3088</v>
      </c>
      <c r="N1499" t="s">
        <v>147</v>
      </c>
      <c r="O1499">
        <v>5.27</v>
      </c>
      <c r="P1499">
        <v>5.29</v>
      </c>
      <c r="Q1499">
        <v>5.2</v>
      </c>
      <c r="R1499">
        <v>5.26</v>
      </c>
      <c r="S1499">
        <v>50.8</v>
      </c>
      <c r="T1499">
        <v>1.07</v>
      </c>
      <c r="U1499" t="s">
        <v>391</v>
      </c>
    </row>
    <row r="1500" spans="1:21">
      <c r="A1500" t="str">
        <f>"300022"</f>
        <v>300022</v>
      </c>
      <c r="B1500" t="s">
        <v>3089</v>
      </c>
      <c r="C1500">
        <v>1.17</v>
      </c>
      <c r="D1500">
        <v>4.31</v>
      </c>
      <c r="E1500">
        <v>0.05</v>
      </c>
      <c r="F1500">
        <v>4.31</v>
      </c>
      <c r="G1500">
        <v>4.32</v>
      </c>
      <c r="H1500">
        <v>50642</v>
      </c>
      <c r="I1500">
        <v>552</v>
      </c>
      <c r="J1500">
        <v>0</v>
      </c>
      <c r="K1500">
        <v>1.47</v>
      </c>
      <c r="L1500">
        <v>2181.68</v>
      </c>
      <c r="M1500" t="s">
        <v>3090</v>
      </c>
      <c r="N1500" t="s">
        <v>786</v>
      </c>
      <c r="O1500">
        <v>4.29</v>
      </c>
      <c r="P1500">
        <v>4.36</v>
      </c>
      <c r="Q1500">
        <v>4.25</v>
      </c>
      <c r="R1500">
        <v>4.26</v>
      </c>
      <c r="S1500" t="s">
        <v>40</v>
      </c>
      <c r="T1500">
        <v>0.79</v>
      </c>
      <c r="U1500" t="s">
        <v>196</v>
      </c>
    </row>
    <row r="1501" spans="1:21">
      <c r="A1501" t="str">
        <f>"300023"</f>
        <v>300023</v>
      </c>
      <c r="B1501" t="s">
        <v>3091</v>
      </c>
      <c r="C1501">
        <v>-3.49</v>
      </c>
      <c r="D1501">
        <v>6.36</v>
      </c>
      <c r="E1501">
        <v>-0.23</v>
      </c>
      <c r="F1501">
        <v>6.36</v>
      </c>
      <c r="G1501">
        <v>6.37</v>
      </c>
      <c r="H1501">
        <v>72686</v>
      </c>
      <c r="I1501">
        <v>1008</v>
      </c>
      <c r="J1501">
        <v>0.16</v>
      </c>
      <c r="K1501">
        <v>2.82</v>
      </c>
      <c r="L1501">
        <v>4659.79</v>
      </c>
      <c r="M1501" t="s">
        <v>3092</v>
      </c>
      <c r="N1501" t="s">
        <v>324</v>
      </c>
      <c r="O1501">
        <v>6.57</v>
      </c>
      <c r="P1501">
        <v>6.63</v>
      </c>
      <c r="Q1501">
        <v>6.29</v>
      </c>
      <c r="R1501">
        <v>6.59</v>
      </c>
      <c r="S1501">
        <v>32.16</v>
      </c>
      <c r="T1501">
        <v>1.98</v>
      </c>
      <c r="U1501" t="s">
        <v>317</v>
      </c>
    </row>
    <row r="1502" spans="1:21">
      <c r="A1502" t="str">
        <f>"300024"</f>
        <v>300024</v>
      </c>
      <c r="B1502" t="s">
        <v>3093</v>
      </c>
      <c r="C1502">
        <v>0.6</v>
      </c>
      <c r="D1502">
        <v>10.06</v>
      </c>
      <c r="E1502">
        <v>0.06</v>
      </c>
      <c r="F1502">
        <v>10.05</v>
      </c>
      <c r="G1502">
        <v>10.06</v>
      </c>
      <c r="H1502">
        <v>79166</v>
      </c>
      <c r="I1502">
        <v>1185</v>
      </c>
      <c r="J1502">
        <v>0</v>
      </c>
      <c r="K1502">
        <v>0.52</v>
      </c>
      <c r="L1502">
        <v>7920.71</v>
      </c>
      <c r="M1502" t="s">
        <v>3094</v>
      </c>
      <c r="N1502" t="s">
        <v>324</v>
      </c>
      <c r="O1502">
        <v>9.92</v>
      </c>
      <c r="P1502">
        <v>10.07</v>
      </c>
      <c r="Q1502">
        <v>9.92</v>
      </c>
      <c r="R1502">
        <v>10</v>
      </c>
      <c r="S1502" t="s">
        <v>40</v>
      </c>
      <c r="T1502">
        <v>0.67</v>
      </c>
      <c r="U1502" t="s">
        <v>141</v>
      </c>
    </row>
    <row r="1503" spans="1:21">
      <c r="A1503" t="str">
        <f>"300025"</f>
        <v>300025</v>
      </c>
      <c r="B1503" t="s">
        <v>3095</v>
      </c>
      <c r="C1503">
        <v>-0.94</v>
      </c>
      <c r="D1503">
        <v>4.23</v>
      </c>
      <c r="E1503">
        <v>-0.04</v>
      </c>
      <c r="F1503">
        <v>4.23</v>
      </c>
      <c r="G1503">
        <v>4.24</v>
      </c>
      <c r="H1503">
        <v>161746</v>
      </c>
      <c r="I1503">
        <v>2044</v>
      </c>
      <c r="J1503">
        <v>0.24</v>
      </c>
      <c r="K1503">
        <v>3.78</v>
      </c>
      <c r="L1503">
        <v>6896.73</v>
      </c>
      <c r="M1503" t="s">
        <v>3096</v>
      </c>
      <c r="N1503" t="s">
        <v>153</v>
      </c>
      <c r="O1503">
        <v>4.27</v>
      </c>
      <c r="P1503">
        <v>4.36</v>
      </c>
      <c r="Q1503">
        <v>4.2</v>
      </c>
      <c r="R1503">
        <v>4.27</v>
      </c>
      <c r="S1503" t="s">
        <v>40</v>
      </c>
      <c r="T1503">
        <v>1.05</v>
      </c>
      <c r="U1503" t="s">
        <v>200</v>
      </c>
    </row>
    <row r="1504" spans="1:21">
      <c r="A1504" t="str">
        <f>"300026"</f>
        <v>300026</v>
      </c>
      <c r="B1504" t="s">
        <v>3097</v>
      </c>
      <c r="C1504">
        <v>0.24</v>
      </c>
      <c r="D1504">
        <v>4.18</v>
      </c>
      <c r="E1504">
        <v>0.01</v>
      </c>
      <c r="F1504">
        <v>4.18</v>
      </c>
      <c r="G1504">
        <v>4.19</v>
      </c>
      <c r="H1504">
        <v>191742</v>
      </c>
      <c r="I1504">
        <v>1726</v>
      </c>
      <c r="J1504">
        <v>0</v>
      </c>
      <c r="K1504">
        <v>0.71</v>
      </c>
      <c r="L1504">
        <v>7973.21</v>
      </c>
      <c r="M1504" t="s">
        <v>3098</v>
      </c>
      <c r="N1504" t="s">
        <v>270</v>
      </c>
      <c r="O1504">
        <v>4.16</v>
      </c>
      <c r="P1504">
        <v>4.2</v>
      </c>
      <c r="Q1504">
        <v>4.12</v>
      </c>
      <c r="R1504">
        <v>4.17</v>
      </c>
      <c r="S1504">
        <v>14.78</v>
      </c>
      <c r="T1504">
        <v>0.81</v>
      </c>
      <c r="U1504" t="s">
        <v>360</v>
      </c>
    </row>
    <row r="1505" spans="1:21">
      <c r="A1505" t="str">
        <f>"300027"</f>
        <v>300027</v>
      </c>
      <c r="B1505" t="s">
        <v>3099</v>
      </c>
      <c r="C1505">
        <v>-1.09</v>
      </c>
      <c r="D1505">
        <v>3.63</v>
      </c>
      <c r="E1505">
        <v>-0.04</v>
      </c>
      <c r="F1505">
        <v>3.63</v>
      </c>
      <c r="G1505">
        <v>3.64</v>
      </c>
      <c r="H1505">
        <v>220286</v>
      </c>
      <c r="I1505">
        <v>2244</v>
      </c>
      <c r="J1505">
        <v>-0.26</v>
      </c>
      <c r="K1505">
        <v>0.98</v>
      </c>
      <c r="L1505">
        <v>8066.04</v>
      </c>
      <c r="M1505" t="s">
        <v>3100</v>
      </c>
      <c r="N1505" t="s">
        <v>199</v>
      </c>
      <c r="O1505">
        <v>3.67</v>
      </c>
      <c r="P1505">
        <v>3.72</v>
      </c>
      <c r="Q1505">
        <v>3.63</v>
      </c>
      <c r="R1505">
        <v>3.67</v>
      </c>
      <c r="S1505">
        <v>12.98</v>
      </c>
      <c r="T1505">
        <v>0.76</v>
      </c>
      <c r="U1505" t="s">
        <v>200</v>
      </c>
    </row>
    <row r="1506" spans="1:21">
      <c r="A1506" t="str">
        <f>"300029"</f>
        <v>300029</v>
      </c>
      <c r="B1506" t="s">
        <v>3101</v>
      </c>
      <c r="C1506">
        <v>3.81</v>
      </c>
      <c r="D1506">
        <v>6.27</v>
      </c>
      <c r="E1506">
        <v>0.23</v>
      </c>
      <c r="F1506">
        <v>6.27</v>
      </c>
      <c r="G1506">
        <v>6.28</v>
      </c>
      <c r="H1506">
        <v>35698</v>
      </c>
      <c r="I1506">
        <v>302</v>
      </c>
      <c r="J1506">
        <v>0.16</v>
      </c>
      <c r="K1506">
        <v>1.78</v>
      </c>
      <c r="L1506">
        <v>2223.08</v>
      </c>
      <c r="M1506" t="s">
        <v>3102</v>
      </c>
      <c r="N1506" t="s">
        <v>47</v>
      </c>
      <c r="O1506">
        <v>6.04</v>
      </c>
      <c r="P1506">
        <v>6.34</v>
      </c>
      <c r="Q1506">
        <v>6.04</v>
      </c>
      <c r="R1506">
        <v>6.04</v>
      </c>
      <c r="S1506" t="s">
        <v>40</v>
      </c>
      <c r="T1506">
        <v>1.86</v>
      </c>
      <c r="U1506" t="s">
        <v>102</v>
      </c>
    </row>
    <row r="1507" spans="1:21">
      <c r="A1507" t="str">
        <f>"300030"</f>
        <v>300030</v>
      </c>
      <c r="B1507" t="s">
        <v>3103</v>
      </c>
      <c r="C1507">
        <v>1.88</v>
      </c>
      <c r="D1507">
        <v>8.66</v>
      </c>
      <c r="E1507">
        <v>0.16</v>
      </c>
      <c r="F1507">
        <v>8.66</v>
      </c>
      <c r="G1507">
        <v>8.67</v>
      </c>
      <c r="H1507">
        <v>29051</v>
      </c>
      <c r="I1507">
        <v>283</v>
      </c>
      <c r="J1507">
        <v>0</v>
      </c>
      <c r="K1507">
        <v>1.14</v>
      </c>
      <c r="L1507">
        <v>2502.67</v>
      </c>
      <c r="M1507" t="s">
        <v>3104</v>
      </c>
      <c r="N1507" t="s">
        <v>186</v>
      </c>
      <c r="O1507">
        <v>8.56</v>
      </c>
      <c r="P1507">
        <v>8.69</v>
      </c>
      <c r="Q1507">
        <v>8.46</v>
      </c>
      <c r="R1507">
        <v>8.5</v>
      </c>
      <c r="S1507">
        <v>58.84</v>
      </c>
      <c r="T1507">
        <v>0.91</v>
      </c>
      <c r="U1507" t="s">
        <v>183</v>
      </c>
    </row>
    <row r="1508" spans="1:21">
      <c r="A1508" t="str">
        <f>"300031"</f>
        <v>300031</v>
      </c>
      <c r="B1508" t="s">
        <v>3105</v>
      </c>
      <c r="C1508">
        <v>-5.47</v>
      </c>
      <c r="D1508">
        <v>28.32</v>
      </c>
      <c r="E1508">
        <v>-1.64</v>
      </c>
      <c r="F1508">
        <v>28.32</v>
      </c>
      <c r="G1508">
        <v>28.33</v>
      </c>
      <c r="H1508">
        <v>526138</v>
      </c>
      <c r="I1508">
        <v>8107</v>
      </c>
      <c r="J1508">
        <v>0.43</v>
      </c>
      <c r="K1508">
        <v>16.21</v>
      </c>
      <c r="L1508">
        <v>152574.32</v>
      </c>
      <c r="M1508" t="s">
        <v>3106</v>
      </c>
      <c r="N1508" t="s">
        <v>479</v>
      </c>
      <c r="O1508">
        <v>29</v>
      </c>
      <c r="P1508">
        <v>30.4</v>
      </c>
      <c r="Q1508">
        <v>28.13</v>
      </c>
      <c r="R1508">
        <v>29.96</v>
      </c>
      <c r="S1508">
        <v>25.29</v>
      </c>
      <c r="T1508">
        <v>0.81</v>
      </c>
      <c r="U1508" t="s">
        <v>102</v>
      </c>
    </row>
    <row r="1509" spans="1:21">
      <c r="A1509" t="str">
        <f>"300032"</f>
        <v>300032</v>
      </c>
      <c r="B1509" t="s">
        <v>3107</v>
      </c>
      <c r="C1509">
        <v>-1.64</v>
      </c>
      <c r="D1509">
        <v>6.6</v>
      </c>
      <c r="E1509">
        <v>-0.11</v>
      </c>
      <c r="F1509">
        <v>6.6</v>
      </c>
      <c r="G1509">
        <v>6.61</v>
      </c>
      <c r="H1509">
        <v>358603</v>
      </c>
      <c r="I1509">
        <v>5385</v>
      </c>
      <c r="J1509">
        <v>0.3</v>
      </c>
      <c r="K1509">
        <v>4.46</v>
      </c>
      <c r="L1509">
        <v>24007.3</v>
      </c>
      <c r="M1509" t="s">
        <v>3108</v>
      </c>
      <c r="N1509" t="s">
        <v>69</v>
      </c>
      <c r="O1509">
        <v>6.65</v>
      </c>
      <c r="P1509">
        <v>6.89</v>
      </c>
      <c r="Q1509">
        <v>6.56</v>
      </c>
      <c r="R1509">
        <v>6.71</v>
      </c>
      <c r="S1509">
        <v>19.23</v>
      </c>
      <c r="T1509">
        <v>0.66</v>
      </c>
      <c r="U1509" t="s">
        <v>200</v>
      </c>
    </row>
    <row r="1510" spans="1:21">
      <c r="A1510" t="str">
        <f>"300033"</f>
        <v>300033</v>
      </c>
      <c r="B1510" t="s">
        <v>3109</v>
      </c>
      <c r="C1510">
        <v>2.59</v>
      </c>
      <c r="D1510">
        <v>114</v>
      </c>
      <c r="E1510">
        <v>2.88</v>
      </c>
      <c r="F1510">
        <v>114</v>
      </c>
      <c r="G1510">
        <v>114.01</v>
      </c>
      <c r="H1510">
        <v>68072</v>
      </c>
      <c r="I1510">
        <v>800</v>
      </c>
      <c r="J1510">
        <v>0.06</v>
      </c>
      <c r="K1510">
        <v>2.5</v>
      </c>
      <c r="L1510">
        <v>76950</v>
      </c>
      <c r="M1510" t="s">
        <v>3110</v>
      </c>
      <c r="N1510" t="s">
        <v>30</v>
      </c>
      <c r="O1510">
        <v>110.99</v>
      </c>
      <c r="P1510">
        <v>114.7</v>
      </c>
      <c r="Q1510">
        <v>110.21</v>
      </c>
      <c r="R1510">
        <v>111.12</v>
      </c>
      <c r="S1510">
        <v>46.4</v>
      </c>
      <c r="T1510">
        <v>1.3</v>
      </c>
      <c r="U1510" t="s">
        <v>200</v>
      </c>
    </row>
    <row r="1511" spans="1:21">
      <c r="A1511" t="str">
        <f>"300034"</f>
        <v>300034</v>
      </c>
      <c r="B1511" t="s">
        <v>3111</v>
      </c>
      <c r="C1511">
        <v>5.68</v>
      </c>
      <c r="D1511">
        <v>55.46</v>
      </c>
      <c r="E1511">
        <v>2.98</v>
      </c>
      <c r="F1511">
        <v>55.46</v>
      </c>
      <c r="G1511">
        <v>55.47</v>
      </c>
      <c r="H1511">
        <v>216829</v>
      </c>
      <c r="I1511">
        <v>928</v>
      </c>
      <c r="J1511">
        <v>-0.01</v>
      </c>
      <c r="K1511">
        <v>5</v>
      </c>
      <c r="L1511">
        <v>119775.53</v>
      </c>
      <c r="M1511" t="s">
        <v>3112</v>
      </c>
      <c r="N1511" t="s">
        <v>611</v>
      </c>
      <c r="O1511">
        <v>52.22</v>
      </c>
      <c r="P1511">
        <v>59</v>
      </c>
      <c r="Q1511">
        <v>51.28</v>
      </c>
      <c r="R1511">
        <v>52.48</v>
      </c>
      <c r="S1511">
        <v>79.81</v>
      </c>
      <c r="T1511">
        <v>1.67</v>
      </c>
      <c r="U1511" t="s">
        <v>44</v>
      </c>
    </row>
    <row r="1512" spans="1:21">
      <c r="A1512" t="str">
        <f>"300035"</f>
        <v>300035</v>
      </c>
      <c r="B1512" t="s">
        <v>3113</v>
      </c>
      <c r="C1512">
        <v>2.11</v>
      </c>
      <c r="D1512">
        <v>35.34</v>
      </c>
      <c r="E1512">
        <v>0.73</v>
      </c>
      <c r="F1512">
        <v>35.33</v>
      </c>
      <c r="G1512">
        <v>35.34</v>
      </c>
      <c r="H1512">
        <v>162115</v>
      </c>
      <c r="I1512">
        <v>2949</v>
      </c>
      <c r="J1512">
        <v>1.44</v>
      </c>
      <c r="K1512">
        <v>3.07</v>
      </c>
      <c r="L1512">
        <v>56331.54</v>
      </c>
      <c r="M1512" t="s">
        <v>3114</v>
      </c>
      <c r="N1512" t="s">
        <v>47</v>
      </c>
      <c r="O1512">
        <v>34.25</v>
      </c>
      <c r="P1512">
        <v>35.77</v>
      </c>
      <c r="Q1512">
        <v>33.98</v>
      </c>
      <c r="R1512">
        <v>34.61</v>
      </c>
      <c r="S1512">
        <v>67.92</v>
      </c>
      <c r="T1512">
        <v>0.84</v>
      </c>
      <c r="U1512" t="s">
        <v>204</v>
      </c>
    </row>
    <row r="1513" spans="1:21">
      <c r="A1513" t="str">
        <f>"300036"</f>
        <v>300036</v>
      </c>
      <c r="B1513" t="s">
        <v>3115</v>
      </c>
      <c r="C1513">
        <v>-0.03</v>
      </c>
      <c r="D1513">
        <v>30.27</v>
      </c>
      <c r="E1513">
        <v>-0.01</v>
      </c>
      <c r="F1513">
        <v>30.27</v>
      </c>
      <c r="G1513">
        <v>30.28</v>
      </c>
      <c r="H1513">
        <v>257399</v>
      </c>
      <c r="I1513">
        <v>3232</v>
      </c>
      <c r="J1513">
        <v>0.4</v>
      </c>
      <c r="K1513">
        <v>6.53</v>
      </c>
      <c r="L1513">
        <v>77897.76</v>
      </c>
      <c r="M1513" t="s">
        <v>3116</v>
      </c>
      <c r="N1513" t="s">
        <v>30</v>
      </c>
      <c r="O1513">
        <v>29.87</v>
      </c>
      <c r="P1513">
        <v>30.88</v>
      </c>
      <c r="Q1513">
        <v>29.62</v>
      </c>
      <c r="R1513">
        <v>30.28</v>
      </c>
      <c r="S1513">
        <v>58.36</v>
      </c>
      <c r="T1513">
        <v>0.67</v>
      </c>
      <c r="U1513" t="s">
        <v>44</v>
      </c>
    </row>
    <row r="1514" spans="1:21">
      <c r="A1514" t="str">
        <f>"300037"</f>
        <v>300037</v>
      </c>
      <c r="B1514" t="s">
        <v>3117</v>
      </c>
      <c r="C1514">
        <v>0.2</v>
      </c>
      <c r="D1514">
        <v>122.74</v>
      </c>
      <c r="E1514">
        <v>0.24</v>
      </c>
      <c r="F1514">
        <v>122.74</v>
      </c>
      <c r="G1514">
        <v>123.1</v>
      </c>
      <c r="H1514">
        <v>59942</v>
      </c>
      <c r="I1514">
        <v>2672</v>
      </c>
      <c r="J1514">
        <v>-0.71</v>
      </c>
      <c r="K1514">
        <v>2.03</v>
      </c>
      <c r="L1514">
        <v>73718.57</v>
      </c>
      <c r="M1514" t="s">
        <v>3118</v>
      </c>
      <c r="N1514" t="s">
        <v>309</v>
      </c>
      <c r="O1514">
        <v>123.66</v>
      </c>
      <c r="P1514">
        <v>124.78</v>
      </c>
      <c r="Q1514">
        <v>121</v>
      </c>
      <c r="R1514">
        <v>122.5</v>
      </c>
      <c r="S1514">
        <v>43.57</v>
      </c>
      <c r="T1514">
        <v>0.83</v>
      </c>
      <c r="U1514" t="s">
        <v>24</v>
      </c>
    </row>
    <row r="1515" spans="1:21">
      <c r="A1515" t="str">
        <f>"300038"</f>
        <v>300038</v>
      </c>
      <c r="B1515" t="s">
        <v>3119</v>
      </c>
      <c r="C1515">
        <v>1.05</v>
      </c>
      <c r="D1515">
        <v>1.93</v>
      </c>
      <c r="E1515">
        <v>0.02</v>
      </c>
      <c r="F1515">
        <v>1.93</v>
      </c>
      <c r="G1515">
        <v>1.94</v>
      </c>
      <c r="H1515">
        <v>192674</v>
      </c>
      <c r="I1515">
        <v>2757</v>
      </c>
      <c r="J1515">
        <v>0</v>
      </c>
      <c r="K1515">
        <v>1.66</v>
      </c>
      <c r="L1515">
        <v>3704.66</v>
      </c>
      <c r="M1515" t="s">
        <v>3120</v>
      </c>
      <c r="N1515" t="s">
        <v>479</v>
      </c>
      <c r="O1515">
        <v>1.9</v>
      </c>
      <c r="P1515">
        <v>1.94</v>
      </c>
      <c r="Q1515">
        <v>1.89</v>
      </c>
      <c r="R1515">
        <v>1.91</v>
      </c>
      <c r="S1515" t="s">
        <v>40</v>
      </c>
      <c r="T1515">
        <v>0.73</v>
      </c>
      <c r="U1515" t="s">
        <v>44</v>
      </c>
    </row>
    <row r="1516" spans="1:21">
      <c r="A1516" t="str">
        <f>"300039"</f>
        <v>300039</v>
      </c>
      <c r="B1516" t="s">
        <v>3121</v>
      </c>
      <c r="C1516">
        <v>0.22</v>
      </c>
      <c r="D1516">
        <v>4.63</v>
      </c>
      <c r="E1516">
        <v>0.01</v>
      </c>
      <c r="F1516">
        <v>4.62</v>
      </c>
      <c r="G1516">
        <v>4.63</v>
      </c>
      <c r="H1516">
        <v>42493</v>
      </c>
      <c r="I1516">
        <v>462</v>
      </c>
      <c r="J1516">
        <v>0.22</v>
      </c>
      <c r="K1516">
        <v>0.46</v>
      </c>
      <c r="L1516">
        <v>1960.46</v>
      </c>
      <c r="M1516" t="s">
        <v>3122</v>
      </c>
      <c r="N1516" t="s">
        <v>270</v>
      </c>
      <c r="O1516">
        <v>4.61</v>
      </c>
      <c r="P1516">
        <v>4.66</v>
      </c>
      <c r="Q1516">
        <v>4.58</v>
      </c>
      <c r="R1516">
        <v>4.62</v>
      </c>
      <c r="S1516">
        <v>31.45</v>
      </c>
      <c r="T1516">
        <v>0.72</v>
      </c>
      <c r="U1516" t="s">
        <v>848</v>
      </c>
    </row>
    <row r="1517" spans="1:21">
      <c r="A1517" t="str">
        <f>"300040"</f>
        <v>300040</v>
      </c>
      <c r="B1517" t="s">
        <v>3123</v>
      </c>
      <c r="C1517">
        <v>1.48</v>
      </c>
      <c r="D1517">
        <v>10.98</v>
      </c>
      <c r="E1517">
        <v>0.16</v>
      </c>
      <c r="F1517">
        <v>10.98</v>
      </c>
      <c r="G1517">
        <v>10.99</v>
      </c>
      <c r="H1517">
        <v>492747</v>
      </c>
      <c r="I1517">
        <v>5762</v>
      </c>
      <c r="J1517">
        <v>-0.08</v>
      </c>
      <c r="K1517">
        <v>10.82</v>
      </c>
      <c r="L1517">
        <v>53056.32</v>
      </c>
      <c r="M1517" t="s">
        <v>3124</v>
      </c>
      <c r="N1517" t="s">
        <v>47</v>
      </c>
      <c r="O1517">
        <v>10.8</v>
      </c>
      <c r="P1517">
        <v>11.01</v>
      </c>
      <c r="Q1517">
        <v>10.51</v>
      </c>
      <c r="R1517">
        <v>10.82</v>
      </c>
      <c r="S1517">
        <v>43.66</v>
      </c>
      <c r="T1517">
        <v>0.96</v>
      </c>
      <c r="U1517" t="s">
        <v>445</v>
      </c>
    </row>
    <row r="1518" spans="1:21">
      <c r="A1518" t="str">
        <f>"300041"</f>
        <v>300041</v>
      </c>
      <c r="B1518" t="s">
        <v>3125</v>
      </c>
      <c r="C1518">
        <v>4.08</v>
      </c>
      <c r="D1518">
        <v>19.15</v>
      </c>
      <c r="E1518">
        <v>0.75</v>
      </c>
      <c r="F1518">
        <v>19.14</v>
      </c>
      <c r="G1518">
        <v>19.15</v>
      </c>
      <c r="H1518">
        <v>186698</v>
      </c>
      <c r="I1518">
        <v>1578</v>
      </c>
      <c r="J1518">
        <v>0.21</v>
      </c>
      <c r="K1518">
        <v>5.35</v>
      </c>
      <c r="L1518">
        <v>35520.89</v>
      </c>
      <c r="M1518" t="s">
        <v>3126</v>
      </c>
      <c r="N1518" t="s">
        <v>309</v>
      </c>
      <c r="O1518">
        <v>18.78</v>
      </c>
      <c r="P1518">
        <v>19.32</v>
      </c>
      <c r="Q1518">
        <v>18.52</v>
      </c>
      <c r="R1518">
        <v>18.4</v>
      </c>
      <c r="S1518">
        <v>28.43</v>
      </c>
      <c r="T1518">
        <v>1.74</v>
      </c>
      <c r="U1518" t="s">
        <v>267</v>
      </c>
    </row>
    <row r="1519" spans="1:21">
      <c r="A1519" t="str">
        <f>"300042"</f>
        <v>300042</v>
      </c>
      <c r="B1519" t="s">
        <v>3127</v>
      </c>
      <c r="C1519">
        <v>2.23</v>
      </c>
      <c r="D1519">
        <v>14.22</v>
      </c>
      <c r="E1519">
        <v>0.31</v>
      </c>
      <c r="F1519">
        <v>14.22</v>
      </c>
      <c r="G1519">
        <v>14.23</v>
      </c>
      <c r="H1519">
        <v>45103</v>
      </c>
      <c r="I1519">
        <v>630</v>
      </c>
      <c r="J1519">
        <v>-0.06</v>
      </c>
      <c r="K1519">
        <v>2.59</v>
      </c>
      <c r="L1519">
        <v>6417.74</v>
      </c>
      <c r="M1519" t="s">
        <v>1823</v>
      </c>
      <c r="N1519" t="s">
        <v>72</v>
      </c>
      <c r="O1519">
        <v>13.82</v>
      </c>
      <c r="P1519">
        <v>14.4</v>
      </c>
      <c r="Q1519">
        <v>13.81</v>
      </c>
      <c r="R1519">
        <v>13.91</v>
      </c>
      <c r="S1519">
        <v>33</v>
      </c>
      <c r="T1519">
        <v>0.85</v>
      </c>
      <c r="U1519" t="s">
        <v>24</v>
      </c>
    </row>
    <row r="1520" spans="1:21">
      <c r="A1520" t="str">
        <f>"300043"</f>
        <v>300043</v>
      </c>
      <c r="B1520" t="s">
        <v>3128</v>
      </c>
      <c r="C1520">
        <v>-0.56</v>
      </c>
      <c r="D1520">
        <v>3.57</v>
      </c>
      <c r="E1520">
        <v>-0.02</v>
      </c>
      <c r="F1520">
        <v>3.56</v>
      </c>
      <c r="G1520">
        <v>3.57</v>
      </c>
      <c r="H1520">
        <v>283468</v>
      </c>
      <c r="I1520">
        <v>5301</v>
      </c>
      <c r="J1520">
        <v>0</v>
      </c>
      <c r="K1520">
        <v>3.02</v>
      </c>
      <c r="L1520">
        <v>10181.37</v>
      </c>
      <c r="M1520" t="s">
        <v>3129</v>
      </c>
      <c r="N1520" t="s">
        <v>63</v>
      </c>
      <c r="O1520">
        <v>3.58</v>
      </c>
      <c r="P1520">
        <v>3.66</v>
      </c>
      <c r="Q1520">
        <v>3.53</v>
      </c>
      <c r="R1520">
        <v>3.59</v>
      </c>
      <c r="S1520" t="s">
        <v>40</v>
      </c>
      <c r="T1520">
        <v>0.6</v>
      </c>
      <c r="U1520" t="s">
        <v>183</v>
      </c>
    </row>
    <row r="1521" spans="1:21">
      <c r="A1521" t="str">
        <f>"300044"</f>
        <v>300044</v>
      </c>
      <c r="B1521" t="s">
        <v>3130</v>
      </c>
      <c r="C1521">
        <v>1.31</v>
      </c>
      <c r="D1521">
        <v>3.09</v>
      </c>
      <c r="E1521">
        <v>0.04</v>
      </c>
      <c r="F1521">
        <v>3.08</v>
      </c>
      <c r="G1521">
        <v>3.09</v>
      </c>
      <c r="H1521">
        <v>155682</v>
      </c>
      <c r="I1521">
        <v>2437</v>
      </c>
      <c r="J1521">
        <v>0.32</v>
      </c>
      <c r="K1521">
        <v>2.33</v>
      </c>
      <c r="L1521">
        <v>4781.87</v>
      </c>
      <c r="M1521" t="s">
        <v>3131</v>
      </c>
      <c r="N1521" t="s">
        <v>30</v>
      </c>
      <c r="O1521">
        <v>3.05</v>
      </c>
      <c r="P1521">
        <v>3.11</v>
      </c>
      <c r="Q1521">
        <v>3.04</v>
      </c>
      <c r="R1521">
        <v>3.05</v>
      </c>
      <c r="S1521">
        <v>171.85</v>
      </c>
      <c r="T1521">
        <v>0.65</v>
      </c>
      <c r="U1521" t="s">
        <v>24</v>
      </c>
    </row>
    <row r="1522" spans="1:21">
      <c r="A1522" t="str">
        <f>"300045"</f>
        <v>300045</v>
      </c>
      <c r="B1522" t="s">
        <v>3132</v>
      </c>
      <c r="C1522">
        <v>1.39</v>
      </c>
      <c r="D1522">
        <v>10.2</v>
      </c>
      <c r="E1522">
        <v>0.14</v>
      </c>
      <c r="F1522">
        <v>10.19</v>
      </c>
      <c r="G1522">
        <v>10.2</v>
      </c>
      <c r="H1522">
        <v>159419</v>
      </c>
      <c r="I1522">
        <v>1936</v>
      </c>
      <c r="J1522">
        <v>0.2</v>
      </c>
      <c r="K1522">
        <v>3.62</v>
      </c>
      <c r="L1522">
        <v>16240.16</v>
      </c>
      <c r="M1522" t="s">
        <v>3133</v>
      </c>
      <c r="N1522" t="s">
        <v>72</v>
      </c>
      <c r="O1522">
        <v>10.19</v>
      </c>
      <c r="P1522">
        <v>10.29</v>
      </c>
      <c r="Q1522">
        <v>10.09</v>
      </c>
      <c r="R1522">
        <v>10.06</v>
      </c>
      <c r="S1522">
        <v>131.51</v>
      </c>
      <c r="T1522">
        <v>0.7</v>
      </c>
      <c r="U1522" t="s">
        <v>44</v>
      </c>
    </row>
    <row r="1523" spans="1:21">
      <c r="A1523" t="str">
        <f>"300046"</f>
        <v>300046</v>
      </c>
      <c r="B1523" t="s">
        <v>3134</v>
      </c>
      <c r="C1523">
        <v>2.46</v>
      </c>
      <c r="D1523">
        <v>25.4</v>
      </c>
      <c r="E1523">
        <v>0.61</v>
      </c>
      <c r="F1523">
        <v>25.39</v>
      </c>
      <c r="G1523">
        <v>25.4</v>
      </c>
      <c r="H1523">
        <v>135234</v>
      </c>
      <c r="I1523">
        <v>2164</v>
      </c>
      <c r="J1523">
        <v>0.08</v>
      </c>
      <c r="K1523">
        <v>5.72</v>
      </c>
      <c r="L1523">
        <v>33884.01</v>
      </c>
      <c r="M1523" t="s">
        <v>3135</v>
      </c>
      <c r="N1523" t="s">
        <v>1246</v>
      </c>
      <c r="O1523">
        <v>24.7</v>
      </c>
      <c r="P1523">
        <v>25.42</v>
      </c>
      <c r="Q1523">
        <v>24.45</v>
      </c>
      <c r="R1523">
        <v>24.79</v>
      </c>
      <c r="S1523">
        <v>80.72</v>
      </c>
      <c r="T1523">
        <v>1.57</v>
      </c>
      <c r="U1523" t="s">
        <v>267</v>
      </c>
    </row>
    <row r="1524" spans="1:21">
      <c r="A1524" t="str">
        <f>"300047"</f>
        <v>300047</v>
      </c>
      <c r="B1524" t="s">
        <v>3136</v>
      </c>
      <c r="C1524">
        <v>-1.86</v>
      </c>
      <c r="D1524">
        <v>7.91</v>
      </c>
      <c r="E1524">
        <v>-0.15</v>
      </c>
      <c r="F1524">
        <v>7.9</v>
      </c>
      <c r="G1524">
        <v>7.91</v>
      </c>
      <c r="H1524">
        <v>353753</v>
      </c>
      <c r="I1524">
        <v>4366</v>
      </c>
      <c r="J1524">
        <v>0.13</v>
      </c>
      <c r="K1524">
        <v>6.66</v>
      </c>
      <c r="L1524">
        <v>28116.15</v>
      </c>
      <c r="M1524" t="s">
        <v>3137</v>
      </c>
      <c r="N1524" t="s">
        <v>30</v>
      </c>
      <c r="O1524">
        <v>8.01</v>
      </c>
      <c r="P1524">
        <v>8.09</v>
      </c>
      <c r="Q1524">
        <v>7.87</v>
      </c>
      <c r="R1524">
        <v>8.06</v>
      </c>
      <c r="S1524">
        <v>50.7</v>
      </c>
      <c r="T1524">
        <v>0.81</v>
      </c>
      <c r="U1524" t="s">
        <v>24</v>
      </c>
    </row>
    <row r="1525" spans="1:21">
      <c r="A1525" t="str">
        <f>"300048"</f>
        <v>300048</v>
      </c>
      <c r="B1525" t="s">
        <v>3138</v>
      </c>
      <c r="C1525">
        <v>0.74</v>
      </c>
      <c r="D1525">
        <v>6.81</v>
      </c>
      <c r="E1525">
        <v>0.05</v>
      </c>
      <c r="F1525">
        <v>6.81</v>
      </c>
      <c r="G1525">
        <v>6.82</v>
      </c>
      <c r="H1525">
        <v>241408</v>
      </c>
      <c r="I1525">
        <v>9557</v>
      </c>
      <c r="J1525">
        <v>-0.28</v>
      </c>
      <c r="K1525">
        <v>2.21</v>
      </c>
      <c r="L1525">
        <v>16368.2</v>
      </c>
      <c r="M1525" t="s">
        <v>3139</v>
      </c>
      <c r="N1525" t="s">
        <v>47</v>
      </c>
      <c r="O1525">
        <v>6.76</v>
      </c>
      <c r="P1525">
        <v>6.85</v>
      </c>
      <c r="Q1525">
        <v>6.69</v>
      </c>
      <c r="R1525">
        <v>6.76</v>
      </c>
      <c r="S1525">
        <v>131.06</v>
      </c>
      <c r="T1525">
        <v>0.55</v>
      </c>
      <c r="U1525" t="s">
        <v>44</v>
      </c>
    </row>
    <row r="1526" spans="1:21">
      <c r="A1526" t="str">
        <f>"300049"</f>
        <v>300049</v>
      </c>
      <c r="B1526" t="s">
        <v>3140</v>
      </c>
      <c r="C1526">
        <v>-0.81</v>
      </c>
      <c r="D1526">
        <v>12.2</v>
      </c>
      <c r="E1526">
        <v>-0.1</v>
      </c>
      <c r="F1526">
        <v>12.2</v>
      </c>
      <c r="G1526">
        <v>12.21</v>
      </c>
      <c r="H1526">
        <v>66594</v>
      </c>
      <c r="I1526">
        <v>581</v>
      </c>
      <c r="J1526">
        <v>0.25</v>
      </c>
      <c r="K1526">
        <v>2.89</v>
      </c>
      <c r="L1526">
        <v>8066.33</v>
      </c>
      <c r="M1526" t="s">
        <v>3141</v>
      </c>
      <c r="N1526" t="s">
        <v>186</v>
      </c>
      <c r="O1526">
        <v>12.28</v>
      </c>
      <c r="P1526">
        <v>12.41</v>
      </c>
      <c r="Q1526">
        <v>11.89</v>
      </c>
      <c r="R1526">
        <v>12.3</v>
      </c>
      <c r="S1526">
        <v>41.37</v>
      </c>
      <c r="T1526">
        <v>0.91</v>
      </c>
      <c r="U1526" t="s">
        <v>275</v>
      </c>
    </row>
    <row r="1527" spans="1:21">
      <c r="A1527" t="str">
        <f>"300050"</f>
        <v>300050</v>
      </c>
      <c r="B1527" t="s">
        <v>3142</v>
      </c>
      <c r="C1527">
        <v>1.57</v>
      </c>
      <c r="D1527">
        <v>4.53</v>
      </c>
      <c r="E1527">
        <v>0.07</v>
      </c>
      <c r="F1527">
        <v>4.52</v>
      </c>
      <c r="G1527">
        <v>4.53</v>
      </c>
      <c r="H1527">
        <v>52575</v>
      </c>
      <c r="I1527">
        <v>1119</v>
      </c>
      <c r="J1527">
        <v>0.22</v>
      </c>
      <c r="K1527">
        <v>1.06</v>
      </c>
      <c r="L1527">
        <v>2371.63</v>
      </c>
      <c r="M1527" t="s">
        <v>3143</v>
      </c>
      <c r="N1527" t="s">
        <v>30</v>
      </c>
      <c r="O1527">
        <v>4.45</v>
      </c>
      <c r="P1527">
        <v>4.55</v>
      </c>
      <c r="Q1527">
        <v>4.45</v>
      </c>
      <c r="R1527">
        <v>4.46</v>
      </c>
      <c r="S1527" t="s">
        <v>40</v>
      </c>
      <c r="T1527">
        <v>0.76</v>
      </c>
      <c r="U1527" t="s">
        <v>183</v>
      </c>
    </row>
    <row r="1528" spans="1:21">
      <c r="A1528" t="str">
        <f>"300051"</f>
        <v>300051</v>
      </c>
      <c r="B1528" t="s">
        <v>3144</v>
      </c>
      <c r="C1528">
        <v>0.91</v>
      </c>
      <c r="D1528">
        <v>4.44</v>
      </c>
      <c r="E1528">
        <v>0.04</v>
      </c>
      <c r="F1528">
        <v>4.44</v>
      </c>
      <c r="G1528">
        <v>4.45</v>
      </c>
      <c r="H1528">
        <v>28923</v>
      </c>
      <c r="I1528">
        <v>201</v>
      </c>
      <c r="J1528">
        <v>0</v>
      </c>
      <c r="K1528">
        <v>0.79</v>
      </c>
      <c r="L1528">
        <v>1287.23</v>
      </c>
      <c r="M1528" t="s">
        <v>3145</v>
      </c>
      <c r="N1528" t="s">
        <v>479</v>
      </c>
      <c r="O1528">
        <v>4.38</v>
      </c>
      <c r="P1528">
        <v>4.5</v>
      </c>
      <c r="Q1528">
        <v>4.37</v>
      </c>
      <c r="R1528">
        <v>4.4</v>
      </c>
      <c r="S1528" t="s">
        <v>40</v>
      </c>
      <c r="T1528">
        <v>0.41</v>
      </c>
      <c r="U1528" t="s">
        <v>339</v>
      </c>
    </row>
    <row r="1529" spans="1:21">
      <c r="A1529" t="str">
        <f>"300052"</f>
        <v>300052</v>
      </c>
      <c r="B1529" t="s">
        <v>3146</v>
      </c>
      <c r="C1529">
        <v>0.09</v>
      </c>
      <c r="D1529">
        <v>34.51</v>
      </c>
      <c r="E1529">
        <v>0.03</v>
      </c>
      <c r="F1529">
        <v>34.51</v>
      </c>
      <c r="G1529">
        <v>34.52</v>
      </c>
      <c r="H1529">
        <v>623409</v>
      </c>
      <c r="I1529">
        <v>9516</v>
      </c>
      <c r="J1529">
        <v>-0.51</v>
      </c>
      <c r="K1529">
        <v>23.87</v>
      </c>
      <c r="L1529">
        <v>219374</v>
      </c>
      <c r="M1529" t="s">
        <v>3147</v>
      </c>
      <c r="N1529" t="s">
        <v>479</v>
      </c>
      <c r="O1529">
        <v>34.38</v>
      </c>
      <c r="P1529">
        <v>36.2</v>
      </c>
      <c r="Q1529">
        <v>34.1</v>
      </c>
      <c r="R1529">
        <v>34.48</v>
      </c>
      <c r="S1529">
        <v>502.32</v>
      </c>
      <c r="T1529">
        <v>0.86</v>
      </c>
      <c r="U1529" t="s">
        <v>24</v>
      </c>
    </row>
    <row r="1530" spans="1:21">
      <c r="A1530" t="str">
        <f>"300053"</f>
        <v>300053</v>
      </c>
      <c r="B1530" t="s">
        <v>3148</v>
      </c>
      <c r="C1530">
        <v>-0.1</v>
      </c>
      <c r="D1530">
        <v>9.71</v>
      </c>
      <c r="E1530">
        <v>-0.01</v>
      </c>
      <c r="F1530">
        <v>9.7</v>
      </c>
      <c r="G1530">
        <v>9.71</v>
      </c>
      <c r="H1530">
        <v>97413</v>
      </c>
      <c r="I1530">
        <v>927</v>
      </c>
      <c r="J1530">
        <v>0.1</v>
      </c>
      <c r="K1530">
        <v>1.54</v>
      </c>
      <c r="L1530">
        <v>9446.4</v>
      </c>
      <c r="M1530" t="s">
        <v>3149</v>
      </c>
      <c r="N1530" t="s">
        <v>1246</v>
      </c>
      <c r="O1530">
        <v>9.71</v>
      </c>
      <c r="P1530">
        <v>9.79</v>
      </c>
      <c r="Q1530">
        <v>9.61</v>
      </c>
      <c r="R1530">
        <v>9.72</v>
      </c>
      <c r="S1530">
        <v>117.03</v>
      </c>
      <c r="T1530">
        <v>0.74</v>
      </c>
      <c r="U1530" t="s">
        <v>183</v>
      </c>
    </row>
    <row r="1531" spans="1:21">
      <c r="A1531" t="str">
        <f>"300054"</f>
        <v>300054</v>
      </c>
      <c r="B1531" t="s">
        <v>3150</v>
      </c>
      <c r="C1531">
        <v>2.43</v>
      </c>
      <c r="D1531">
        <v>24.9</v>
      </c>
      <c r="E1531">
        <v>0.59</v>
      </c>
      <c r="F1531">
        <v>24.9</v>
      </c>
      <c r="G1531">
        <v>24.91</v>
      </c>
      <c r="H1531">
        <v>164569</v>
      </c>
      <c r="I1531">
        <v>3546</v>
      </c>
      <c r="J1531">
        <v>-0.07</v>
      </c>
      <c r="K1531">
        <v>2.3</v>
      </c>
      <c r="L1531">
        <v>40699.32</v>
      </c>
      <c r="M1531" t="s">
        <v>3151</v>
      </c>
      <c r="N1531" t="s">
        <v>309</v>
      </c>
      <c r="O1531">
        <v>24.39</v>
      </c>
      <c r="P1531">
        <v>25.1</v>
      </c>
      <c r="Q1531">
        <v>24.28</v>
      </c>
      <c r="R1531">
        <v>24.31</v>
      </c>
      <c r="S1531">
        <v>116.44</v>
      </c>
      <c r="T1531">
        <v>0.86</v>
      </c>
      <c r="U1531" t="s">
        <v>267</v>
      </c>
    </row>
    <row r="1532" spans="1:21">
      <c r="A1532" t="str">
        <f>"300055"</f>
        <v>300055</v>
      </c>
      <c r="B1532" t="s">
        <v>3152</v>
      </c>
      <c r="C1532">
        <v>-2.34</v>
      </c>
      <c r="D1532">
        <v>13.8</v>
      </c>
      <c r="E1532">
        <v>-0.33</v>
      </c>
      <c r="F1532">
        <v>13.79</v>
      </c>
      <c r="G1532">
        <v>13.8</v>
      </c>
      <c r="H1532">
        <v>214610</v>
      </c>
      <c r="I1532">
        <v>1959</v>
      </c>
      <c r="J1532">
        <v>0.22</v>
      </c>
      <c r="K1532">
        <v>2.49</v>
      </c>
      <c r="L1532">
        <v>29832.7</v>
      </c>
      <c r="M1532" t="s">
        <v>3153</v>
      </c>
      <c r="N1532" t="s">
        <v>33</v>
      </c>
      <c r="O1532">
        <v>14.12</v>
      </c>
      <c r="P1532">
        <v>14.2</v>
      </c>
      <c r="Q1532">
        <v>13.71</v>
      </c>
      <c r="R1532">
        <v>14.13</v>
      </c>
      <c r="S1532">
        <v>40.49</v>
      </c>
      <c r="T1532">
        <v>0.79</v>
      </c>
      <c r="U1532" t="s">
        <v>44</v>
      </c>
    </row>
    <row r="1533" spans="1:21">
      <c r="A1533" t="str">
        <f>"300056"</f>
        <v>300056</v>
      </c>
      <c r="B1533" t="s">
        <v>3154</v>
      </c>
      <c r="C1533">
        <v>2.35</v>
      </c>
      <c r="D1533">
        <v>5.67</v>
      </c>
      <c r="E1533">
        <v>0.13</v>
      </c>
      <c r="F1533">
        <v>5.67</v>
      </c>
      <c r="G1533">
        <v>5.68</v>
      </c>
      <c r="H1533">
        <v>44015</v>
      </c>
      <c r="I1533">
        <v>315</v>
      </c>
      <c r="J1533">
        <v>0</v>
      </c>
      <c r="K1533">
        <v>1.14</v>
      </c>
      <c r="L1533">
        <v>2484.92</v>
      </c>
      <c r="M1533" t="s">
        <v>2750</v>
      </c>
      <c r="N1533" t="s">
        <v>33</v>
      </c>
      <c r="O1533">
        <v>5.52</v>
      </c>
      <c r="P1533">
        <v>5.71</v>
      </c>
      <c r="Q1533">
        <v>5.52</v>
      </c>
      <c r="R1533">
        <v>5.54</v>
      </c>
      <c r="S1533" t="s">
        <v>40</v>
      </c>
      <c r="T1533">
        <v>0.62</v>
      </c>
      <c r="U1533" t="s">
        <v>339</v>
      </c>
    </row>
    <row r="1534" spans="1:21">
      <c r="A1534" t="str">
        <f>"300057"</f>
        <v>300057</v>
      </c>
      <c r="B1534" t="s">
        <v>3155</v>
      </c>
      <c r="C1534">
        <v>-5.25</v>
      </c>
      <c r="D1534">
        <v>9.2</v>
      </c>
      <c r="E1534">
        <v>-0.51</v>
      </c>
      <c r="F1534">
        <v>9.2</v>
      </c>
      <c r="G1534">
        <v>9.21</v>
      </c>
      <c r="H1534">
        <v>419314</v>
      </c>
      <c r="I1534">
        <v>4595</v>
      </c>
      <c r="J1534">
        <v>0.33</v>
      </c>
      <c r="K1534">
        <v>8.32</v>
      </c>
      <c r="L1534">
        <v>38595.97</v>
      </c>
      <c r="M1534" t="s">
        <v>3156</v>
      </c>
      <c r="N1534" t="s">
        <v>482</v>
      </c>
      <c r="O1534">
        <v>9.71</v>
      </c>
      <c r="P1534">
        <v>9.89</v>
      </c>
      <c r="Q1534">
        <v>8.89</v>
      </c>
      <c r="R1534">
        <v>9.71</v>
      </c>
      <c r="S1534">
        <v>211.11</v>
      </c>
      <c r="T1534">
        <v>1.68</v>
      </c>
      <c r="U1534" t="s">
        <v>183</v>
      </c>
    </row>
    <row r="1535" spans="1:21">
      <c r="A1535" t="str">
        <f>"300058"</f>
        <v>300058</v>
      </c>
      <c r="B1535" t="s">
        <v>3157</v>
      </c>
      <c r="C1535">
        <v>-1.43</v>
      </c>
      <c r="D1535">
        <v>6.88</v>
      </c>
      <c r="E1535">
        <v>-0.1</v>
      </c>
      <c r="F1535">
        <v>6.87</v>
      </c>
      <c r="G1535">
        <v>6.88</v>
      </c>
      <c r="H1535">
        <v>1770992</v>
      </c>
      <c r="I1535">
        <v>25908</v>
      </c>
      <c r="J1535">
        <v>0</v>
      </c>
      <c r="K1535">
        <v>7.44</v>
      </c>
      <c r="L1535">
        <v>123882.94</v>
      </c>
      <c r="M1535" t="s">
        <v>3158</v>
      </c>
      <c r="N1535" t="s">
        <v>482</v>
      </c>
      <c r="O1535">
        <v>7</v>
      </c>
      <c r="P1535">
        <v>7.18</v>
      </c>
      <c r="Q1535">
        <v>6.85</v>
      </c>
      <c r="R1535">
        <v>6.98</v>
      </c>
      <c r="S1535">
        <v>23.55</v>
      </c>
      <c r="T1535">
        <v>0.78</v>
      </c>
      <c r="U1535" t="s">
        <v>44</v>
      </c>
    </row>
    <row r="1536" spans="1:21">
      <c r="A1536" t="str">
        <f>"300059"</f>
        <v>300059</v>
      </c>
      <c r="B1536" t="s">
        <v>3159</v>
      </c>
      <c r="C1536">
        <v>1.53</v>
      </c>
      <c r="D1536">
        <v>35.22</v>
      </c>
      <c r="E1536">
        <v>0.53</v>
      </c>
      <c r="F1536">
        <v>35.22</v>
      </c>
      <c r="G1536">
        <v>35.23</v>
      </c>
      <c r="H1536">
        <v>1428304</v>
      </c>
      <c r="I1536">
        <v>13638</v>
      </c>
      <c r="J1536">
        <v>-0.1</v>
      </c>
      <c r="K1536">
        <v>1.67</v>
      </c>
      <c r="L1536">
        <v>502625.23</v>
      </c>
      <c r="M1536" t="s">
        <v>3160</v>
      </c>
      <c r="N1536" t="s">
        <v>213</v>
      </c>
      <c r="O1536">
        <v>34.59</v>
      </c>
      <c r="P1536">
        <v>35.68</v>
      </c>
      <c r="Q1536">
        <v>34.49</v>
      </c>
      <c r="R1536">
        <v>34.69</v>
      </c>
      <c r="S1536">
        <v>43.79</v>
      </c>
      <c r="T1536">
        <v>1.22</v>
      </c>
      <c r="U1536" t="s">
        <v>848</v>
      </c>
    </row>
    <row r="1537" spans="1:21">
      <c r="A1537" t="str">
        <f>"300061"</f>
        <v>300061</v>
      </c>
      <c r="B1537" t="s">
        <v>3161</v>
      </c>
      <c r="C1537">
        <v>1.16</v>
      </c>
      <c r="D1537">
        <v>6.96</v>
      </c>
      <c r="E1537">
        <v>0.08</v>
      </c>
      <c r="F1537">
        <v>6.95</v>
      </c>
      <c r="G1537">
        <v>6.96</v>
      </c>
      <c r="H1537">
        <v>168855</v>
      </c>
      <c r="I1537">
        <v>3097</v>
      </c>
      <c r="J1537">
        <v>0.29</v>
      </c>
      <c r="K1537">
        <v>3.1</v>
      </c>
      <c r="L1537">
        <v>11730.76</v>
      </c>
      <c r="M1537" t="s">
        <v>3162</v>
      </c>
      <c r="N1537" t="s">
        <v>479</v>
      </c>
      <c r="O1537">
        <v>6.99</v>
      </c>
      <c r="P1537">
        <v>7.04</v>
      </c>
      <c r="Q1537">
        <v>6.86</v>
      </c>
      <c r="R1537">
        <v>6.88</v>
      </c>
      <c r="S1537" t="s">
        <v>40</v>
      </c>
      <c r="T1537">
        <v>0.52</v>
      </c>
      <c r="U1537" t="s">
        <v>848</v>
      </c>
    </row>
    <row r="1538" spans="1:21">
      <c r="A1538" t="str">
        <f>"300062"</f>
        <v>300062</v>
      </c>
      <c r="B1538" t="s">
        <v>3163</v>
      </c>
      <c r="C1538">
        <v>4.66</v>
      </c>
      <c r="D1538">
        <v>13.48</v>
      </c>
      <c r="E1538">
        <v>0.6</v>
      </c>
      <c r="F1538">
        <v>13.48</v>
      </c>
      <c r="G1538">
        <v>13.49</v>
      </c>
      <c r="H1538">
        <v>290442</v>
      </c>
      <c r="I1538">
        <v>4838</v>
      </c>
      <c r="J1538">
        <v>0.07</v>
      </c>
      <c r="K1538">
        <v>14.97</v>
      </c>
      <c r="L1538">
        <v>38517.23</v>
      </c>
      <c r="M1538" t="s">
        <v>3164</v>
      </c>
      <c r="N1538" t="s">
        <v>47</v>
      </c>
      <c r="O1538">
        <v>12.98</v>
      </c>
      <c r="P1538">
        <v>13.52</v>
      </c>
      <c r="Q1538">
        <v>12.83</v>
      </c>
      <c r="R1538">
        <v>12.88</v>
      </c>
      <c r="S1538">
        <v>184.93</v>
      </c>
      <c r="T1538">
        <v>1.22</v>
      </c>
      <c r="U1538" t="s">
        <v>339</v>
      </c>
    </row>
    <row r="1539" spans="1:21">
      <c r="A1539" t="str">
        <f>"300063"</f>
        <v>300063</v>
      </c>
      <c r="B1539" t="s">
        <v>3165</v>
      </c>
      <c r="C1539">
        <v>-0.89</v>
      </c>
      <c r="D1539">
        <v>4.47</v>
      </c>
      <c r="E1539">
        <v>-0.04</v>
      </c>
      <c r="F1539">
        <v>4.47</v>
      </c>
      <c r="G1539">
        <v>4.48</v>
      </c>
      <c r="H1539">
        <v>164871</v>
      </c>
      <c r="I1539">
        <v>1458</v>
      </c>
      <c r="J1539">
        <v>-0.21</v>
      </c>
      <c r="K1539">
        <v>2.7</v>
      </c>
      <c r="L1539">
        <v>7384.83</v>
      </c>
      <c r="M1539" t="s">
        <v>3166</v>
      </c>
      <c r="N1539" t="s">
        <v>479</v>
      </c>
      <c r="O1539">
        <v>4.45</v>
      </c>
      <c r="P1539">
        <v>4.54</v>
      </c>
      <c r="Q1539">
        <v>4.4</v>
      </c>
      <c r="R1539">
        <v>4.51</v>
      </c>
      <c r="S1539">
        <v>23.97</v>
      </c>
      <c r="T1539">
        <v>0.61</v>
      </c>
      <c r="U1539" t="s">
        <v>183</v>
      </c>
    </row>
    <row r="1540" spans="1:21">
      <c r="A1540" t="str">
        <f>"300064"</f>
        <v>300064</v>
      </c>
      <c r="B1540" t="s">
        <v>3167</v>
      </c>
      <c r="C1540">
        <v>-0.56</v>
      </c>
      <c r="D1540">
        <v>1.76</v>
      </c>
      <c r="E1540">
        <v>-0.01</v>
      </c>
      <c r="F1540">
        <v>1.76</v>
      </c>
      <c r="G1540">
        <v>1.77</v>
      </c>
      <c r="H1540">
        <v>231899</v>
      </c>
      <c r="I1540">
        <v>4675</v>
      </c>
      <c r="J1540">
        <v>0</v>
      </c>
      <c r="K1540">
        <v>3.33</v>
      </c>
      <c r="L1540">
        <v>4057.77</v>
      </c>
      <c r="M1540" t="s">
        <v>3168</v>
      </c>
      <c r="N1540" t="s">
        <v>750</v>
      </c>
      <c r="O1540">
        <v>1.77</v>
      </c>
      <c r="P1540">
        <v>1.77</v>
      </c>
      <c r="Q1540">
        <v>1.73</v>
      </c>
      <c r="R1540">
        <v>1.77</v>
      </c>
      <c r="S1540" t="s">
        <v>40</v>
      </c>
      <c r="T1540">
        <v>0.82</v>
      </c>
      <c r="U1540" t="s">
        <v>224</v>
      </c>
    </row>
    <row r="1541" spans="1:21">
      <c r="A1541" t="str">
        <f>"300065"</f>
        <v>300065</v>
      </c>
      <c r="B1541" t="s">
        <v>3169</v>
      </c>
      <c r="C1541">
        <v>11.96</v>
      </c>
      <c r="D1541">
        <v>19.47</v>
      </c>
      <c r="E1541">
        <v>2.08</v>
      </c>
      <c r="F1541">
        <v>19.46</v>
      </c>
      <c r="G1541">
        <v>19.47</v>
      </c>
      <c r="H1541">
        <v>1282089</v>
      </c>
      <c r="I1541">
        <v>10676</v>
      </c>
      <c r="J1541">
        <v>0.36</v>
      </c>
      <c r="K1541">
        <v>24.1</v>
      </c>
      <c r="L1541">
        <v>244373.73</v>
      </c>
      <c r="M1541" t="s">
        <v>3170</v>
      </c>
      <c r="N1541" t="s">
        <v>3063</v>
      </c>
      <c r="O1541">
        <v>17.84</v>
      </c>
      <c r="P1541">
        <v>20.34</v>
      </c>
      <c r="Q1541">
        <v>17.46</v>
      </c>
      <c r="R1541">
        <v>17.39</v>
      </c>
      <c r="S1541">
        <v>979.58</v>
      </c>
      <c r="T1541">
        <v>1.26</v>
      </c>
      <c r="U1541" t="s">
        <v>44</v>
      </c>
    </row>
    <row r="1542" spans="1:21">
      <c r="A1542" t="str">
        <f>"300066"</f>
        <v>300066</v>
      </c>
      <c r="B1542" t="s">
        <v>3171</v>
      </c>
      <c r="C1542">
        <v>0.43</v>
      </c>
      <c r="D1542">
        <v>4.7</v>
      </c>
      <c r="E1542">
        <v>0.02</v>
      </c>
      <c r="F1542">
        <v>4.69</v>
      </c>
      <c r="G1542">
        <v>4.7</v>
      </c>
      <c r="H1542">
        <v>85888</v>
      </c>
      <c r="I1542">
        <v>3148</v>
      </c>
      <c r="J1542">
        <v>0.64</v>
      </c>
      <c r="K1542">
        <v>0.86</v>
      </c>
      <c r="L1542">
        <v>3997.2</v>
      </c>
      <c r="M1542" t="s">
        <v>3172</v>
      </c>
      <c r="N1542" t="s">
        <v>1028</v>
      </c>
      <c r="O1542">
        <v>4.65</v>
      </c>
      <c r="P1542">
        <v>4.71</v>
      </c>
      <c r="Q1542">
        <v>4.58</v>
      </c>
      <c r="R1542">
        <v>4.68</v>
      </c>
      <c r="S1542">
        <v>27.29</v>
      </c>
      <c r="T1542">
        <v>0.96</v>
      </c>
      <c r="U1542" t="s">
        <v>235</v>
      </c>
    </row>
    <row r="1543" spans="1:21">
      <c r="A1543" t="str">
        <f>"300067"</f>
        <v>300067</v>
      </c>
      <c r="B1543" t="s">
        <v>3173</v>
      </c>
      <c r="C1543">
        <v>1.46</v>
      </c>
      <c r="D1543">
        <v>4.16</v>
      </c>
      <c r="E1543">
        <v>0.06</v>
      </c>
      <c r="F1543">
        <v>4.16</v>
      </c>
      <c r="G1543">
        <v>4.17</v>
      </c>
      <c r="H1543">
        <v>124490</v>
      </c>
      <c r="I1543">
        <v>1215</v>
      </c>
      <c r="J1543">
        <v>-0.23</v>
      </c>
      <c r="K1543">
        <v>1.6</v>
      </c>
      <c r="L1543">
        <v>5160.49</v>
      </c>
      <c r="M1543" t="s">
        <v>3174</v>
      </c>
      <c r="N1543" t="s">
        <v>416</v>
      </c>
      <c r="O1543">
        <v>4.09</v>
      </c>
      <c r="P1543">
        <v>4.2</v>
      </c>
      <c r="Q1543">
        <v>4.09</v>
      </c>
      <c r="R1543">
        <v>4.1</v>
      </c>
      <c r="S1543">
        <v>36.84</v>
      </c>
      <c r="T1543">
        <v>0.77</v>
      </c>
      <c r="U1543" t="s">
        <v>848</v>
      </c>
    </row>
    <row r="1544" spans="1:21">
      <c r="A1544" t="str">
        <f>"300068"</f>
        <v>300068</v>
      </c>
      <c r="B1544" t="s">
        <v>3175</v>
      </c>
      <c r="C1544">
        <v>-4.03</v>
      </c>
      <c r="D1544">
        <v>12.87</v>
      </c>
      <c r="E1544">
        <v>-0.54</v>
      </c>
      <c r="F1544">
        <v>12.85</v>
      </c>
      <c r="G1544">
        <v>12.87</v>
      </c>
      <c r="H1544">
        <v>1047262</v>
      </c>
      <c r="I1544">
        <v>14964</v>
      </c>
      <c r="J1544">
        <v>2.14</v>
      </c>
      <c r="K1544">
        <v>12.67</v>
      </c>
      <c r="L1544">
        <v>135328.03</v>
      </c>
      <c r="M1544" t="s">
        <v>3176</v>
      </c>
      <c r="N1544" t="s">
        <v>47</v>
      </c>
      <c r="O1544">
        <v>13.52</v>
      </c>
      <c r="P1544">
        <v>13.81</v>
      </c>
      <c r="Q1544">
        <v>12.38</v>
      </c>
      <c r="R1544">
        <v>13.41</v>
      </c>
      <c r="S1544" t="s">
        <v>40</v>
      </c>
      <c r="T1544">
        <v>2.19</v>
      </c>
      <c r="U1544" t="s">
        <v>200</v>
      </c>
    </row>
    <row r="1545" spans="1:21">
      <c r="A1545" t="str">
        <f>"300069"</f>
        <v>300069</v>
      </c>
      <c r="B1545" t="s">
        <v>3177</v>
      </c>
      <c r="C1545">
        <v>0.85</v>
      </c>
      <c r="D1545">
        <v>26.09</v>
      </c>
      <c r="E1545">
        <v>0.22</v>
      </c>
      <c r="F1545">
        <v>26.08</v>
      </c>
      <c r="G1545">
        <v>26.1</v>
      </c>
      <c r="H1545">
        <v>14912</v>
      </c>
      <c r="I1545">
        <v>156</v>
      </c>
      <c r="J1545">
        <v>-0.14</v>
      </c>
      <c r="K1545">
        <v>1.27</v>
      </c>
      <c r="L1545">
        <v>3855.54</v>
      </c>
      <c r="M1545" t="s">
        <v>3178</v>
      </c>
      <c r="N1545" t="s">
        <v>47</v>
      </c>
      <c r="O1545">
        <v>25.69</v>
      </c>
      <c r="P1545">
        <v>26.42</v>
      </c>
      <c r="Q1545">
        <v>25.11</v>
      </c>
      <c r="R1545">
        <v>25.87</v>
      </c>
      <c r="S1545" t="s">
        <v>40</v>
      </c>
      <c r="T1545">
        <v>0.68</v>
      </c>
      <c r="U1545" t="s">
        <v>200</v>
      </c>
    </row>
    <row r="1546" spans="1:21">
      <c r="A1546" t="str">
        <f>"300070"</f>
        <v>300070</v>
      </c>
      <c r="B1546" t="s">
        <v>3179</v>
      </c>
      <c r="C1546">
        <v>0.14</v>
      </c>
      <c r="D1546">
        <v>7.07</v>
      </c>
      <c r="E1546">
        <v>0.01</v>
      </c>
      <c r="F1546">
        <v>7.06</v>
      </c>
      <c r="G1546">
        <v>7.07</v>
      </c>
      <c r="H1546">
        <v>198988</v>
      </c>
      <c r="I1546">
        <v>2356</v>
      </c>
      <c r="J1546">
        <v>0</v>
      </c>
      <c r="K1546">
        <v>0.81</v>
      </c>
      <c r="L1546">
        <v>13979.46</v>
      </c>
      <c r="M1546" t="s">
        <v>3180</v>
      </c>
      <c r="N1546" t="s">
        <v>33</v>
      </c>
      <c r="O1546">
        <v>7.06</v>
      </c>
      <c r="P1546">
        <v>7.07</v>
      </c>
      <c r="Q1546">
        <v>6.97</v>
      </c>
      <c r="R1546">
        <v>7.06</v>
      </c>
      <c r="S1546">
        <v>105.28</v>
      </c>
      <c r="T1546">
        <v>1.08</v>
      </c>
      <c r="U1546" t="s">
        <v>44</v>
      </c>
    </row>
    <row r="1547" spans="1:21">
      <c r="A1547" t="str">
        <f>"300071"</f>
        <v>300071</v>
      </c>
      <c r="B1547" t="s">
        <v>3181</v>
      </c>
      <c r="C1547">
        <v>-1.1</v>
      </c>
      <c r="D1547">
        <v>2.69</v>
      </c>
      <c r="E1547">
        <v>-0.03</v>
      </c>
      <c r="F1547">
        <v>2.69</v>
      </c>
      <c r="G1547">
        <v>2.7</v>
      </c>
      <c r="H1547">
        <v>91618</v>
      </c>
      <c r="I1547">
        <v>4392</v>
      </c>
      <c r="J1547">
        <v>-0.36</v>
      </c>
      <c r="K1547">
        <v>1.43</v>
      </c>
      <c r="L1547">
        <v>2485.52</v>
      </c>
      <c r="M1547" t="s">
        <v>3182</v>
      </c>
      <c r="N1547" t="s">
        <v>482</v>
      </c>
      <c r="O1547">
        <v>2.72</v>
      </c>
      <c r="P1547">
        <v>2.75</v>
      </c>
      <c r="Q1547">
        <v>2.68</v>
      </c>
      <c r="R1547">
        <v>2.72</v>
      </c>
      <c r="S1547" t="s">
        <v>40</v>
      </c>
      <c r="T1547">
        <v>0.54</v>
      </c>
      <c r="U1547" t="s">
        <v>44</v>
      </c>
    </row>
    <row r="1548" spans="1:21">
      <c r="A1548" t="str">
        <f>"300072"</f>
        <v>300072</v>
      </c>
      <c r="B1548" t="s">
        <v>3183</v>
      </c>
      <c r="C1548">
        <v>0.97</v>
      </c>
      <c r="D1548">
        <v>7.3</v>
      </c>
      <c r="E1548">
        <v>0.07</v>
      </c>
      <c r="F1548">
        <v>7.3</v>
      </c>
      <c r="G1548">
        <v>7.31</v>
      </c>
      <c r="H1548">
        <v>307098</v>
      </c>
      <c r="I1548">
        <v>4546</v>
      </c>
      <c r="J1548">
        <v>0.14</v>
      </c>
      <c r="K1548">
        <v>1.32</v>
      </c>
      <c r="L1548">
        <v>22327.69</v>
      </c>
      <c r="M1548" t="s">
        <v>3184</v>
      </c>
      <c r="N1548" t="s">
        <v>33</v>
      </c>
      <c r="O1548">
        <v>7.23</v>
      </c>
      <c r="P1548">
        <v>7.36</v>
      </c>
      <c r="Q1548">
        <v>7.17</v>
      </c>
      <c r="R1548">
        <v>7.23</v>
      </c>
      <c r="S1548" t="s">
        <v>40</v>
      </c>
      <c r="T1548">
        <v>0.84</v>
      </c>
      <c r="U1548" t="s">
        <v>44</v>
      </c>
    </row>
    <row r="1549" spans="1:21">
      <c r="A1549" t="str">
        <f>"300073"</f>
        <v>300073</v>
      </c>
      <c r="B1549" t="s">
        <v>3185</v>
      </c>
      <c r="C1549">
        <v>4.47</v>
      </c>
      <c r="D1549">
        <v>93.93</v>
      </c>
      <c r="E1549">
        <v>4.02</v>
      </c>
      <c r="F1549">
        <v>93.93</v>
      </c>
      <c r="G1549">
        <v>94</v>
      </c>
      <c r="H1549">
        <v>226451</v>
      </c>
      <c r="I1549">
        <v>5788</v>
      </c>
      <c r="J1549">
        <v>-0.23</v>
      </c>
      <c r="K1549">
        <v>5.2</v>
      </c>
      <c r="L1549">
        <v>214185.43</v>
      </c>
      <c r="M1549" t="s">
        <v>3186</v>
      </c>
      <c r="N1549" t="s">
        <v>47</v>
      </c>
      <c r="O1549">
        <v>95.69</v>
      </c>
      <c r="P1549">
        <v>98.9</v>
      </c>
      <c r="Q1549">
        <v>92.06</v>
      </c>
      <c r="R1549">
        <v>89.91</v>
      </c>
      <c r="S1549">
        <v>43.93</v>
      </c>
      <c r="T1549">
        <v>2.11</v>
      </c>
      <c r="U1549" t="s">
        <v>44</v>
      </c>
    </row>
    <row r="1550" spans="1:21">
      <c r="A1550" t="str">
        <f>"300074"</f>
        <v>300074</v>
      </c>
      <c r="B1550" t="s">
        <v>3187</v>
      </c>
      <c r="C1550">
        <v>2.62</v>
      </c>
      <c r="D1550">
        <v>3.91</v>
      </c>
      <c r="E1550">
        <v>0.1</v>
      </c>
      <c r="F1550">
        <v>3.91</v>
      </c>
      <c r="G1550">
        <v>3.92</v>
      </c>
      <c r="H1550">
        <v>78659</v>
      </c>
      <c r="I1550">
        <v>540</v>
      </c>
      <c r="J1550">
        <v>0.26</v>
      </c>
      <c r="K1550">
        <v>1.48</v>
      </c>
      <c r="L1550">
        <v>3063.21</v>
      </c>
      <c r="M1550" t="s">
        <v>2366</v>
      </c>
      <c r="N1550" t="s">
        <v>30</v>
      </c>
      <c r="O1550">
        <v>3.8</v>
      </c>
      <c r="P1550">
        <v>3.93</v>
      </c>
      <c r="Q1550">
        <v>3.79</v>
      </c>
      <c r="R1550">
        <v>3.81</v>
      </c>
      <c r="S1550" t="s">
        <v>40</v>
      </c>
      <c r="T1550">
        <v>1.04</v>
      </c>
      <c r="U1550" t="s">
        <v>848</v>
      </c>
    </row>
    <row r="1551" spans="1:21">
      <c r="A1551" t="str">
        <f>"300075"</f>
        <v>300075</v>
      </c>
      <c r="B1551" t="s">
        <v>3188</v>
      </c>
      <c r="C1551">
        <v>-0.38</v>
      </c>
      <c r="D1551">
        <v>13.17</v>
      </c>
      <c r="E1551">
        <v>-0.05</v>
      </c>
      <c r="F1551">
        <v>13.17</v>
      </c>
      <c r="G1551">
        <v>13.18</v>
      </c>
      <c r="H1551">
        <v>259056</v>
      </c>
      <c r="I1551">
        <v>2505</v>
      </c>
      <c r="J1551">
        <v>0</v>
      </c>
      <c r="K1551">
        <v>6.72</v>
      </c>
      <c r="L1551">
        <v>33973.84</v>
      </c>
      <c r="M1551" t="s">
        <v>3189</v>
      </c>
      <c r="N1551" t="s">
        <v>30</v>
      </c>
      <c r="O1551">
        <v>13.15</v>
      </c>
      <c r="P1551">
        <v>13.36</v>
      </c>
      <c r="Q1551">
        <v>12.89</v>
      </c>
      <c r="R1551">
        <v>13.22</v>
      </c>
      <c r="S1551">
        <v>41.65</v>
      </c>
      <c r="T1551">
        <v>0.78</v>
      </c>
      <c r="U1551" t="s">
        <v>44</v>
      </c>
    </row>
    <row r="1552" spans="1:21">
      <c r="A1552" t="str">
        <f>"300076"</f>
        <v>300076</v>
      </c>
      <c r="B1552" t="s">
        <v>3190</v>
      </c>
      <c r="C1552">
        <v>1.75</v>
      </c>
      <c r="D1552">
        <v>5.8</v>
      </c>
      <c r="E1552">
        <v>0.1</v>
      </c>
      <c r="F1552">
        <v>5.79</v>
      </c>
      <c r="G1552">
        <v>5.8</v>
      </c>
      <c r="H1552">
        <v>355563</v>
      </c>
      <c r="I1552">
        <v>5475</v>
      </c>
      <c r="J1552">
        <v>0</v>
      </c>
      <c r="K1552">
        <v>9.07</v>
      </c>
      <c r="L1552">
        <v>20987.88</v>
      </c>
      <c r="M1552" t="s">
        <v>3191</v>
      </c>
      <c r="N1552" t="s">
        <v>72</v>
      </c>
      <c r="O1552">
        <v>5.82</v>
      </c>
      <c r="P1552">
        <v>6.18</v>
      </c>
      <c r="Q1552">
        <v>5.76</v>
      </c>
      <c r="R1552">
        <v>5.7</v>
      </c>
      <c r="S1552" t="s">
        <v>40</v>
      </c>
      <c r="T1552">
        <v>0.69</v>
      </c>
      <c r="U1552" t="s">
        <v>200</v>
      </c>
    </row>
    <row r="1553" spans="1:21">
      <c r="A1553" t="str">
        <f>"300077"</f>
        <v>300077</v>
      </c>
      <c r="B1553" t="s">
        <v>3192</v>
      </c>
      <c r="C1553">
        <v>-0.04</v>
      </c>
      <c r="D1553">
        <v>24.59</v>
      </c>
      <c r="E1553">
        <v>-0.01</v>
      </c>
      <c r="F1553">
        <v>24.59</v>
      </c>
      <c r="G1553">
        <v>24.6</v>
      </c>
      <c r="H1553">
        <v>158717</v>
      </c>
      <c r="I1553">
        <v>2849</v>
      </c>
      <c r="J1553">
        <v>-0.03</v>
      </c>
      <c r="K1553">
        <v>2.91</v>
      </c>
      <c r="L1553">
        <v>39066.27</v>
      </c>
      <c r="M1553" t="s">
        <v>3193</v>
      </c>
      <c r="N1553" t="s">
        <v>1246</v>
      </c>
      <c r="O1553">
        <v>24.6</v>
      </c>
      <c r="P1553">
        <v>25.01</v>
      </c>
      <c r="Q1553">
        <v>24.4</v>
      </c>
      <c r="R1553">
        <v>24.6</v>
      </c>
      <c r="S1553">
        <v>119.74</v>
      </c>
      <c r="T1553">
        <v>0.67</v>
      </c>
      <c r="U1553" t="s">
        <v>24</v>
      </c>
    </row>
    <row r="1554" spans="1:21">
      <c r="A1554" t="str">
        <f>"300078"</f>
        <v>300078</v>
      </c>
      <c r="B1554" t="s">
        <v>3194</v>
      </c>
      <c r="C1554">
        <v>0.45</v>
      </c>
      <c r="D1554">
        <v>6.65</v>
      </c>
      <c r="E1554">
        <v>0.03</v>
      </c>
      <c r="F1554">
        <v>6.65</v>
      </c>
      <c r="G1554">
        <v>6.66</v>
      </c>
      <c r="H1554">
        <v>64567</v>
      </c>
      <c r="I1554">
        <v>1029</v>
      </c>
      <c r="J1554">
        <v>-0.14</v>
      </c>
      <c r="K1554">
        <v>0.77</v>
      </c>
      <c r="L1554">
        <v>4280.41</v>
      </c>
      <c r="M1554" t="s">
        <v>3195</v>
      </c>
      <c r="N1554" t="s">
        <v>30</v>
      </c>
      <c r="O1554">
        <v>6.61</v>
      </c>
      <c r="P1554">
        <v>6.68</v>
      </c>
      <c r="Q1554">
        <v>6.56</v>
      </c>
      <c r="R1554">
        <v>6.62</v>
      </c>
      <c r="S1554">
        <v>77.35</v>
      </c>
      <c r="T1554">
        <v>0.72</v>
      </c>
      <c r="U1554" t="s">
        <v>200</v>
      </c>
    </row>
    <row r="1555" spans="1:21">
      <c r="A1555" t="str">
        <f>"300079"</f>
        <v>300079</v>
      </c>
      <c r="B1555" t="s">
        <v>3196</v>
      </c>
      <c r="C1555">
        <v>1.74</v>
      </c>
      <c r="D1555">
        <v>8.77</v>
      </c>
      <c r="E1555">
        <v>0.15</v>
      </c>
      <c r="F1555">
        <v>8.76</v>
      </c>
      <c r="G1555">
        <v>8.77</v>
      </c>
      <c r="H1555">
        <v>908981</v>
      </c>
      <c r="I1555">
        <v>11121</v>
      </c>
      <c r="J1555">
        <v>-0.1</v>
      </c>
      <c r="K1555">
        <v>7.18</v>
      </c>
      <c r="L1555">
        <v>79838.45</v>
      </c>
      <c r="M1555" t="s">
        <v>3197</v>
      </c>
      <c r="N1555" t="s">
        <v>153</v>
      </c>
      <c r="O1555">
        <v>8.61</v>
      </c>
      <c r="P1555">
        <v>8.91</v>
      </c>
      <c r="Q1555">
        <v>8.6</v>
      </c>
      <c r="R1555">
        <v>8.62</v>
      </c>
      <c r="S1555">
        <v>127.92</v>
      </c>
      <c r="T1555">
        <v>0.54</v>
      </c>
      <c r="U1555" t="s">
        <v>44</v>
      </c>
    </row>
    <row r="1556" spans="1:21">
      <c r="A1556" t="str">
        <f>"300080"</f>
        <v>300080</v>
      </c>
      <c r="B1556" t="s">
        <v>3198</v>
      </c>
      <c r="C1556">
        <v>1.19</v>
      </c>
      <c r="D1556">
        <v>5.94</v>
      </c>
      <c r="E1556">
        <v>0.07</v>
      </c>
      <c r="F1556">
        <v>5.94</v>
      </c>
      <c r="G1556">
        <v>5.95</v>
      </c>
      <c r="H1556">
        <v>231578</v>
      </c>
      <c r="I1556">
        <v>3044</v>
      </c>
      <c r="J1556">
        <v>0.17</v>
      </c>
      <c r="K1556">
        <v>2.12</v>
      </c>
      <c r="L1556">
        <v>13586.69</v>
      </c>
      <c r="M1556" t="s">
        <v>3199</v>
      </c>
      <c r="N1556" t="s">
        <v>47</v>
      </c>
      <c r="O1556">
        <v>5.83</v>
      </c>
      <c r="P1556">
        <v>5.99</v>
      </c>
      <c r="Q1556">
        <v>5.76</v>
      </c>
      <c r="R1556">
        <v>5.87</v>
      </c>
      <c r="S1556" t="s">
        <v>40</v>
      </c>
      <c r="T1556">
        <v>1.11</v>
      </c>
      <c r="U1556" t="s">
        <v>224</v>
      </c>
    </row>
    <row r="1557" spans="1:21">
      <c r="A1557" t="str">
        <f>"300081"</f>
        <v>300081</v>
      </c>
      <c r="B1557" t="s">
        <v>3200</v>
      </c>
      <c r="C1557">
        <v>-2.21</v>
      </c>
      <c r="D1557">
        <v>15.94</v>
      </c>
      <c r="E1557">
        <v>-0.36</v>
      </c>
      <c r="F1557">
        <v>15.94</v>
      </c>
      <c r="G1557">
        <v>15.95</v>
      </c>
      <c r="H1557">
        <v>1482857</v>
      </c>
      <c r="I1557">
        <v>25157</v>
      </c>
      <c r="J1557">
        <v>-0.3</v>
      </c>
      <c r="K1557">
        <v>39.24</v>
      </c>
      <c r="L1557">
        <v>242484.38</v>
      </c>
      <c r="M1557" t="s">
        <v>3201</v>
      </c>
      <c r="N1557" t="s">
        <v>63</v>
      </c>
      <c r="O1557">
        <v>15.99</v>
      </c>
      <c r="P1557">
        <v>17.54</v>
      </c>
      <c r="Q1557">
        <v>15.39</v>
      </c>
      <c r="R1557">
        <v>16.3</v>
      </c>
      <c r="S1557">
        <v>275.74</v>
      </c>
      <c r="T1557">
        <v>0.91</v>
      </c>
      <c r="U1557" t="s">
        <v>44</v>
      </c>
    </row>
    <row r="1558" spans="1:21">
      <c r="A1558" t="str">
        <f>"300082"</f>
        <v>300082</v>
      </c>
      <c r="B1558" t="s">
        <v>3202</v>
      </c>
      <c r="C1558">
        <v>1.72</v>
      </c>
      <c r="D1558">
        <v>17.75</v>
      </c>
      <c r="E1558">
        <v>0.3</v>
      </c>
      <c r="F1558">
        <v>17.75</v>
      </c>
      <c r="G1558">
        <v>17.76</v>
      </c>
      <c r="H1558">
        <v>272210</v>
      </c>
      <c r="I1558">
        <v>2268</v>
      </c>
      <c r="J1558">
        <v>0</v>
      </c>
      <c r="K1558">
        <v>4.02</v>
      </c>
      <c r="L1558">
        <v>48220.84</v>
      </c>
      <c r="M1558" t="s">
        <v>3203</v>
      </c>
      <c r="N1558" t="s">
        <v>309</v>
      </c>
      <c r="O1558">
        <v>17.31</v>
      </c>
      <c r="P1558">
        <v>18.14</v>
      </c>
      <c r="Q1558">
        <v>17.28</v>
      </c>
      <c r="R1558">
        <v>17.45</v>
      </c>
      <c r="S1558">
        <v>46.83</v>
      </c>
      <c r="T1558">
        <v>1.11</v>
      </c>
      <c r="U1558" t="s">
        <v>141</v>
      </c>
    </row>
    <row r="1559" spans="1:21">
      <c r="A1559" t="str">
        <f>"300083"</f>
        <v>300083</v>
      </c>
      <c r="B1559" t="s">
        <v>3204</v>
      </c>
      <c r="C1559">
        <v>4.94</v>
      </c>
      <c r="D1559">
        <v>15.3</v>
      </c>
      <c r="E1559">
        <v>0.72</v>
      </c>
      <c r="F1559">
        <v>15.29</v>
      </c>
      <c r="G1559">
        <v>15.3</v>
      </c>
      <c r="H1559">
        <v>864432</v>
      </c>
      <c r="I1559">
        <v>9205</v>
      </c>
      <c r="J1559">
        <v>0.13</v>
      </c>
      <c r="K1559">
        <v>6.61</v>
      </c>
      <c r="L1559">
        <v>130815.85</v>
      </c>
      <c r="M1559" t="s">
        <v>3205</v>
      </c>
      <c r="N1559" t="s">
        <v>347</v>
      </c>
      <c r="O1559">
        <v>14.59</v>
      </c>
      <c r="P1559">
        <v>15.5</v>
      </c>
      <c r="Q1559">
        <v>14.58</v>
      </c>
      <c r="R1559">
        <v>14.58</v>
      </c>
      <c r="S1559">
        <v>42.77</v>
      </c>
      <c r="T1559">
        <v>1.45</v>
      </c>
      <c r="U1559" t="s">
        <v>183</v>
      </c>
    </row>
    <row r="1560" spans="1:21">
      <c r="A1560" t="str">
        <f>"300084"</f>
        <v>300084</v>
      </c>
      <c r="B1560" t="s">
        <v>3206</v>
      </c>
      <c r="C1560">
        <v>2.1</v>
      </c>
      <c r="D1560">
        <v>5.84</v>
      </c>
      <c r="E1560">
        <v>0.12</v>
      </c>
      <c r="F1560">
        <v>5.84</v>
      </c>
      <c r="G1560">
        <v>5.85</v>
      </c>
      <c r="H1560">
        <v>366989</v>
      </c>
      <c r="I1560">
        <v>4546</v>
      </c>
      <c r="J1560">
        <v>0</v>
      </c>
      <c r="K1560">
        <v>11.13</v>
      </c>
      <c r="L1560">
        <v>21439.9</v>
      </c>
      <c r="M1560" t="s">
        <v>3207</v>
      </c>
      <c r="N1560" t="s">
        <v>324</v>
      </c>
      <c r="O1560">
        <v>5.76</v>
      </c>
      <c r="P1560">
        <v>6.02</v>
      </c>
      <c r="Q1560">
        <v>5.6</v>
      </c>
      <c r="R1560">
        <v>5.72</v>
      </c>
      <c r="S1560" t="s">
        <v>40</v>
      </c>
      <c r="T1560">
        <v>1.19</v>
      </c>
      <c r="U1560" t="s">
        <v>391</v>
      </c>
    </row>
    <row r="1561" spans="1:21">
      <c r="A1561" t="str">
        <f>"300085"</f>
        <v>300085</v>
      </c>
      <c r="B1561" t="s">
        <v>3208</v>
      </c>
      <c r="C1561">
        <v>1.27</v>
      </c>
      <c r="D1561">
        <v>13.58</v>
      </c>
      <c r="E1561">
        <v>0.17</v>
      </c>
      <c r="F1561">
        <v>13.58</v>
      </c>
      <c r="G1561">
        <v>13.59</v>
      </c>
      <c r="H1561">
        <v>71866</v>
      </c>
      <c r="I1561">
        <v>1106</v>
      </c>
      <c r="J1561">
        <v>0.22</v>
      </c>
      <c r="K1561">
        <v>1.38</v>
      </c>
      <c r="L1561">
        <v>9729.31</v>
      </c>
      <c r="M1561" t="s">
        <v>3209</v>
      </c>
      <c r="N1561" t="s">
        <v>30</v>
      </c>
      <c r="O1561">
        <v>13.41</v>
      </c>
      <c r="P1561">
        <v>13.65</v>
      </c>
      <c r="Q1561">
        <v>13.38</v>
      </c>
      <c r="R1561">
        <v>13.41</v>
      </c>
      <c r="S1561" t="s">
        <v>40</v>
      </c>
      <c r="T1561">
        <v>1.27</v>
      </c>
      <c r="U1561" t="s">
        <v>24</v>
      </c>
    </row>
    <row r="1562" spans="1:21">
      <c r="A1562" t="str">
        <f>"300086"</f>
        <v>300086</v>
      </c>
      <c r="B1562" t="s">
        <v>3210</v>
      </c>
      <c r="C1562">
        <v>1.78</v>
      </c>
      <c r="D1562">
        <v>5.16</v>
      </c>
      <c r="E1562">
        <v>0.09</v>
      </c>
      <c r="F1562">
        <v>5.16</v>
      </c>
      <c r="G1562">
        <v>5.17</v>
      </c>
      <c r="H1562">
        <v>36902</v>
      </c>
      <c r="I1562">
        <v>3216</v>
      </c>
      <c r="J1562">
        <v>0.39</v>
      </c>
      <c r="K1562">
        <v>0.85</v>
      </c>
      <c r="L1562">
        <v>1889.11</v>
      </c>
      <c r="M1562" t="s">
        <v>3211</v>
      </c>
      <c r="N1562" t="s">
        <v>192</v>
      </c>
      <c r="O1562">
        <v>5.1</v>
      </c>
      <c r="P1562">
        <v>5.16</v>
      </c>
      <c r="Q1562">
        <v>5.07</v>
      </c>
      <c r="R1562">
        <v>5.07</v>
      </c>
      <c r="S1562" t="s">
        <v>40</v>
      </c>
      <c r="T1562">
        <v>0.68</v>
      </c>
      <c r="U1562" t="s">
        <v>294</v>
      </c>
    </row>
    <row r="1563" spans="1:21">
      <c r="A1563" t="str">
        <f>"300087"</f>
        <v>300087</v>
      </c>
      <c r="B1563" t="s">
        <v>3212</v>
      </c>
      <c r="C1563">
        <v>-0.84</v>
      </c>
      <c r="D1563">
        <v>30.83</v>
      </c>
      <c r="E1563">
        <v>-0.26</v>
      </c>
      <c r="F1563">
        <v>30.83</v>
      </c>
      <c r="G1563">
        <v>30.84</v>
      </c>
      <c r="H1563">
        <v>138680</v>
      </c>
      <c r="I1563">
        <v>1035</v>
      </c>
      <c r="J1563">
        <v>0.13</v>
      </c>
      <c r="K1563">
        <v>3.47</v>
      </c>
      <c r="L1563">
        <v>42648.6</v>
      </c>
      <c r="M1563" t="s">
        <v>3213</v>
      </c>
      <c r="N1563" t="s">
        <v>639</v>
      </c>
      <c r="O1563">
        <v>30.85</v>
      </c>
      <c r="P1563">
        <v>31.29</v>
      </c>
      <c r="Q1563">
        <v>30.16</v>
      </c>
      <c r="R1563">
        <v>31.09</v>
      </c>
      <c r="S1563" t="s">
        <v>40</v>
      </c>
      <c r="T1563">
        <v>0.72</v>
      </c>
      <c r="U1563" t="s">
        <v>193</v>
      </c>
    </row>
    <row r="1564" spans="1:21">
      <c r="A1564" t="str">
        <f>"300088"</f>
        <v>300088</v>
      </c>
      <c r="B1564" t="s">
        <v>3214</v>
      </c>
      <c r="C1564">
        <v>-1.89</v>
      </c>
      <c r="D1564">
        <v>12.45</v>
      </c>
      <c r="E1564">
        <v>-0.24</v>
      </c>
      <c r="F1564">
        <v>12.44</v>
      </c>
      <c r="G1564">
        <v>12.45</v>
      </c>
      <c r="H1564">
        <v>1243756</v>
      </c>
      <c r="I1564">
        <v>22585</v>
      </c>
      <c r="J1564">
        <v>0</v>
      </c>
      <c r="K1564">
        <v>5.09</v>
      </c>
      <c r="L1564">
        <v>154249.16</v>
      </c>
      <c r="M1564" t="s">
        <v>3215</v>
      </c>
      <c r="N1564" t="s">
        <v>69</v>
      </c>
      <c r="O1564">
        <v>12.4</v>
      </c>
      <c r="P1564">
        <v>12.6</v>
      </c>
      <c r="Q1564">
        <v>12.21</v>
      </c>
      <c r="R1564">
        <v>12.69</v>
      </c>
      <c r="S1564">
        <v>28.67</v>
      </c>
      <c r="T1564">
        <v>0.64</v>
      </c>
      <c r="U1564" t="s">
        <v>193</v>
      </c>
    </row>
    <row r="1565" spans="1:21">
      <c r="A1565" t="str">
        <f>"300089"</f>
        <v>300089</v>
      </c>
      <c r="B1565" t="s">
        <v>3216</v>
      </c>
      <c r="C1565">
        <v>-0.66</v>
      </c>
      <c r="D1565">
        <v>4.53</v>
      </c>
      <c r="E1565">
        <v>-0.03</v>
      </c>
      <c r="F1565">
        <v>4.53</v>
      </c>
      <c r="G1565">
        <v>4.54</v>
      </c>
      <c r="H1565">
        <v>10348</v>
      </c>
      <c r="I1565">
        <v>336</v>
      </c>
      <c r="J1565">
        <v>0</v>
      </c>
      <c r="K1565">
        <v>0.42</v>
      </c>
      <c r="L1565">
        <v>469.11</v>
      </c>
      <c r="M1565" t="s">
        <v>3217</v>
      </c>
      <c r="N1565" t="s">
        <v>63</v>
      </c>
      <c r="O1565">
        <v>4.52</v>
      </c>
      <c r="P1565">
        <v>4.6</v>
      </c>
      <c r="Q1565">
        <v>4.52</v>
      </c>
      <c r="R1565">
        <v>4.56</v>
      </c>
      <c r="S1565" t="s">
        <v>40</v>
      </c>
      <c r="T1565">
        <v>0.61</v>
      </c>
      <c r="U1565" t="s">
        <v>183</v>
      </c>
    </row>
    <row r="1566" spans="1:21">
      <c r="A1566" t="str">
        <f>"300091"</f>
        <v>300091</v>
      </c>
      <c r="B1566" t="s">
        <v>3218</v>
      </c>
      <c r="C1566">
        <v>5.56</v>
      </c>
      <c r="D1566">
        <v>5.7</v>
      </c>
      <c r="E1566">
        <v>0.3</v>
      </c>
      <c r="F1566">
        <v>5.69</v>
      </c>
      <c r="G1566">
        <v>5.7</v>
      </c>
      <c r="H1566">
        <v>1334850</v>
      </c>
      <c r="I1566">
        <v>21922</v>
      </c>
      <c r="J1566">
        <v>0.53</v>
      </c>
      <c r="K1566">
        <v>12.47</v>
      </c>
      <c r="L1566">
        <v>74534.29</v>
      </c>
      <c r="M1566" t="s">
        <v>2770</v>
      </c>
      <c r="N1566" t="s">
        <v>347</v>
      </c>
      <c r="O1566">
        <v>5.39</v>
      </c>
      <c r="P1566">
        <v>5.8</v>
      </c>
      <c r="Q1566">
        <v>5.23</v>
      </c>
      <c r="R1566">
        <v>5.4</v>
      </c>
      <c r="S1566">
        <v>98.69</v>
      </c>
      <c r="T1566">
        <v>1.72</v>
      </c>
      <c r="U1566" t="s">
        <v>102</v>
      </c>
    </row>
    <row r="1567" spans="1:21">
      <c r="A1567" t="str">
        <f>"300092"</f>
        <v>300092</v>
      </c>
      <c r="B1567" t="s">
        <v>3219</v>
      </c>
      <c r="C1567">
        <v>-0.07</v>
      </c>
      <c r="D1567">
        <v>13.37</v>
      </c>
      <c r="E1567">
        <v>-0.01</v>
      </c>
      <c r="F1567">
        <v>13.36</v>
      </c>
      <c r="G1567">
        <v>13.37</v>
      </c>
      <c r="H1567">
        <v>115966</v>
      </c>
      <c r="I1567">
        <v>1637</v>
      </c>
      <c r="J1567">
        <v>0.45</v>
      </c>
      <c r="K1567">
        <v>6.92</v>
      </c>
      <c r="L1567">
        <v>15423.25</v>
      </c>
      <c r="M1567" t="s">
        <v>3220</v>
      </c>
      <c r="N1567" t="s">
        <v>324</v>
      </c>
      <c r="O1567">
        <v>13.3</v>
      </c>
      <c r="P1567">
        <v>13.76</v>
      </c>
      <c r="Q1567">
        <v>13.07</v>
      </c>
      <c r="R1567">
        <v>13.38</v>
      </c>
      <c r="S1567">
        <v>30.35</v>
      </c>
      <c r="T1567">
        <v>0.67</v>
      </c>
      <c r="U1567" t="s">
        <v>196</v>
      </c>
    </row>
    <row r="1568" spans="1:21">
      <c r="A1568" t="str">
        <f>"300093"</f>
        <v>300093</v>
      </c>
      <c r="B1568" t="s">
        <v>3221</v>
      </c>
      <c r="C1568">
        <v>-1.47</v>
      </c>
      <c r="D1568">
        <v>30.18</v>
      </c>
      <c r="E1568">
        <v>-0.45</v>
      </c>
      <c r="F1568">
        <v>30.18</v>
      </c>
      <c r="G1568">
        <v>30.2</v>
      </c>
      <c r="H1568">
        <v>147109</v>
      </c>
      <c r="I1568">
        <v>1279</v>
      </c>
      <c r="J1568">
        <v>-0.35</v>
      </c>
      <c r="K1568">
        <v>7.46</v>
      </c>
      <c r="L1568">
        <v>44444.2</v>
      </c>
      <c r="M1568" t="s">
        <v>3222</v>
      </c>
      <c r="N1568" t="s">
        <v>55</v>
      </c>
      <c r="O1568">
        <v>31.71</v>
      </c>
      <c r="P1568">
        <v>32.54</v>
      </c>
      <c r="Q1568">
        <v>28.99</v>
      </c>
      <c r="R1568">
        <v>30.63</v>
      </c>
      <c r="S1568">
        <v>3227.17</v>
      </c>
      <c r="T1568">
        <v>1.08</v>
      </c>
      <c r="U1568" t="s">
        <v>183</v>
      </c>
    </row>
    <row r="1569" spans="1:21">
      <c r="A1569" t="str">
        <f>"300094"</f>
        <v>300094</v>
      </c>
      <c r="B1569" t="s">
        <v>3223</v>
      </c>
      <c r="C1569">
        <v>0.93</v>
      </c>
      <c r="D1569">
        <v>4.32</v>
      </c>
      <c r="E1569">
        <v>0.04</v>
      </c>
      <c r="F1569">
        <v>4.31</v>
      </c>
      <c r="G1569">
        <v>4.32</v>
      </c>
      <c r="H1569">
        <v>296691</v>
      </c>
      <c r="I1569">
        <v>1837</v>
      </c>
      <c r="J1569">
        <v>0.47</v>
      </c>
      <c r="K1569">
        <v>3.36</v>
      </c>
      <c r="L1569">
        <v>12763.62</v>
      </c>
      <c r="M1569" t="s">
        <v>3224</v>
      </c>
      <c r="N1569" t="s">
        <v>757</v>
      </c>
      <c r="O1569">
        <v>4.28</v>
      </c>
      <c r="P1569">
        <v>4.35</v>
      </c>
      <c r="Q1569">
        <v>4.25</v>
      </c>
      <c r="R1569">
        <v>4.28</v>
      </c>
      <c r="S1569">
        <v>263.95</v>
      </c>
      <c r="T1569">
        <v>0.53</v>
      </c>
      <c r="U1569" t="s">
        <v>183</v>
      </c>
    </row>
    <row r="1570" spans="1:21">
      <c r="A1570" t="str">
        <f>"300095"</f>
        <v>300095</v>
      </c>
      <c r="B1570" t="s">
        <v>3225</v>
      </c>
      <c r="C1570">
        <v>-1.24</v>
      </c>
      <c r="D1570">
        <v>15.16</v>
      </c>
      <c r="E1570">
        <v>-0.19</v>
      </c>
      <c r="F1570">
        <v>15.15</v>
      </c>
      <c r="G1570">
        <v>15.16</v>
      </c>
      <c r="H1570">
        <v>149245</v>
      </c>
      <c r="I1570">
        <v>2490</v>
      </c>
      <c r="J1570">
        <v>0.33</v>
      </c>
      <c r="K1570">
        <v>5.12</v>
      </c>
      <c r="L1570">
        <v>22611.31</v>
      </c>
      <c r="M1570" t="s">
        <v>3226</v>
      </c>
      <c r="N1570" t="s">
        <v>347</v>
      </c>
      <c r="O1570">
        <v>15.39</v>
      </c>
      <c r="P1570">
        <v>15.48</v>
      </c>
      <c r="Q1570">
        <v>14.96</v>
      </c>
      <c r="R1570">
        <v>15.35</v>
      </c>
      <c r="S1570">
        <v>24.78</v>
      </c>
      <c r="T1570">
        <v>0.57</v>
      </c>
      <c r="U1570" t="s">
        <v>235</v>
      </c>
    </row>
    <row r="1571" spans="1:21">
      <c r="A1571" t="str">
        <f>"300096"</f>
        <v>300096</v>
      </c>
      <c r="B1571" t="s">
        <v>3227</v>
      </c>
      <c r="C1571">
        <v>0.52</v>
      </c>
      <c r="D1571">
        <v>7.73</v>
      </c>
      <c r="E1571">
        <v>0.04</v>
      </c>
      <c r="F1571">
        <v>7.73</v>
      </c>
      <c r="G1571">
        <v>7.74</v>
      </c>
      <c r="H1571">
        <v>49690</v>
      </c>
      <c r="I1571">
        <v>733</v>
      </c>
      <c r="J1571">
        <v>0</v>
      </c>
      <c r="K1571">
        <v>1.32</v>
      </c>
      <c r="L1571">
        <v>3836.33</v>
      </c>
      <c r="M1571" t="s">
        <v>2338</v>
      </c>
      <c r="N1571" t="s">
        <v>30</v>
      </c>
      <c r="O1571">
        <v>7.69</v>
      </c>
      <c r="P1571">
        <v>7.78</v>
      </c>
      <c r="Q1571">
        <v>7.64</v>
      </c>
      <c r="R1571">
        <v>7.69</v>
      </c>
      <c r="S1571" t="s">
        <v>40</v>
      </c>
      <c r="T1571">
        <v>0.6</v>
      </c>
      <c r="U1571" t="s">
        <v>339</v>
      </c>
    </row>
    <row r="1572" spans="1:21">
      <c r="A1572" t="str">
        <f>"300097"</f>
        <v>300097</v>
      </c>
      <c r="B1572" t="s">
        <v>3228</v>
      </c>
      <c r="C1572">
        <v>2</v>
      </c>
      <c r="D1572">
        <v>9.71</v>
      </c>
      <c r="E1572">
        <v>0.19</v>
      </c>
      <c r="F1572">
        <v>9.7</v>
      </c>
      <c r="G1572">
        <v>9.71</v>
      </c>
      <c r="H1572">
        <v>58986</v>
      </c>
      <c r="I1572">
        <v>748</v>
      </c>
      <c r="J1572">
        <v>0</v>
      </c>
      <c r="K1572">
        <v>2.18</v>
      </c>
      <c r="L1572">
        <v>5690.3</v>
      </c>
      <c r="M1572" t="s">
        <v>3229</v>
      </c>
      <c r="N1572" t="s">
        <v>324</v>
      </c>
      <c r="O1572">
        <v>9.6</v>
      </c>
      <c r="P1572">
        <v>9.76</v>
      </c>
      <c r="Q1572">
        <v>9.48</v>
      </c>
      <c r="R1572">
        <v>9.52</v>
      </c>
      <c r="S1572" t="s">
        <v>40</v>
      </c>
      <c r="T1572">
        <v>1.22</v>
      </c>
      <c r="U1572" t="s">
        <v>141</v>
      </c>
    </row>
    <row r="1573" spans="1:21">
      <c r="A1573" t="str">
        <f>"300098"</f>
        <v>300098</v>
      </c>
      <c r="B1573" t="s">
        <v>3230</v>
      </c>
      <c r="C1573">
        <v>0.18</v>
      </c>
      <c r="D1573">
        <v>5.59</v>
      </c>
      <c r="E1573">
        <v>0.01</v>
      </c>
      <c r="F1573">
        <v>5.59</v>
      </c>
      <c r="G1573">
        <v>5.6</v>
      </c>
      <c r="H1573">
        <v>563098</v>
      </c>
      <c r="I1573">
        <v>5863</v>
      </c>
      <c r="J1573">
        <v>0</v>
      </c>
      <c r="K1573">
        <v>3.86</v>
      </c>
      <c r="L1573">
        <v>31635.98</v>
      </c>
      <c r="M1573" t="s">
        <v>3231</v>
      </c>
      <c r="N1573" t="s">
        <v>153</v>
      </c>
      <c r="O1573">
        <v>5.55</v>
      </c>
      <c r="P1573">
        <v>5.68</v>
      </c>
      <c r="Q1573">
        <v>5.54</v>
      </c>
      <c r="R1573">
        <v>5.58</v>
      </c>
      <c r="S1573">
        <v>296.71</v>
      </c>
      <c r="T1573">
        <v>0.58</v>
      </c>
      <c r="U1573" t="s">
        <v>183</v>
      </c>
    </row>
    <row r="1574" spans="1:21">
      <c r="A1574" t="str">
        <f>"300099"</f>
        <v>300099</v>
      </c>
      <c r="B1574" t="s">
        <v>3232</v>
      </c>
      <c r="C1574">
        <v>2.44</v>
      </c>
      <c r="D1574">
        <v>9.23</v>
      </c>
      <c r="E1574">
        <v>0.22</v>
      </c>
      <c r="F1574">
        <v>9.22</v>
      </c>
      <c r="G1574">
        <v>9.23</v>
      </c>
      <c r="H1574">
        <v>287334</v>
      </c>
      <c r="I1574">
        <v>5345</v>
      </c>
      <c r="J1574">
        <v>0.11</v>
      </c>
      <c r="K1574">
        <v>5.65</v>
      </c>
      <c r="L1574">
        <v>26396.9</v>
      </c>
      <c r="M1574" t="s">
        <v>3233</v>
      </c>
      <c r="N1574" t="s">
        <v>1028</v>
      </c>
      <c r="O1574">
        <v>8.93</v>
      </c>
      <c r="P1574">
        <v>9.34</v>
      </c>
      <c r="Q1574">
        <v>8.92</v>
      </c>
      <c r="R1574">
        <v>9.01</v>
      </c>
      <c r="S1574">
        <v>34.16</v>
      </c>
      <c r="T1574">
        <v>1.19</v>
      </c>
      <c r="U1574" t="s">
        <v>221</v>
      </c>
    </row>
    <row r="1575" spans="1:21">
      <c r="A1575" t="str">
        <f>"300100"</f>
        <v>300100</v>
      </c>
      <c r="B1575" t="s">
        <v>3234</v>
      </c>
      <c r="C1575">
        <v>2.67</v>
      </c>
      <c r="D1575">
        <v>10.76</v>
      </c>
      <c r="E1575">
        <v>0.28</v>
      </c>
      <c r="F1575">
        <v>10.75</v>
      </c>
      <c r="G1575">
        <v>10.76</v>
      </c>
      <c r="H1575">
        <v>260195</v>
      </c>
      <c r="I1575">
        <v>3378</v>
      </c>
      <c r="J1575">
        <v>0</v>
      </c>
      <c r="K1575">
        <v>6.83</v>
      </c>
      <c r="L1575">
        <v>27799.43</v>
      </c>
      <c r="M1575" t="s">
        <v>3235</v>
      </c>
      <c r="N1575" t="s">
        <v>78</v>
      </c>
      <c r="O1575">
        <v>10.52</v>
      </c>
      <c r="P1575">
        <v>11</v>
      </c>
      <c r="Q1575">
        <v>10.29</v>
      </c>
      <c r="R1575">
        <v>10.48</v>
      </c>
      <c r="S1575">
        <v>34.53</v>
      </c>
      <c r="T1575">
        <v>1.34</v>
      </c>
      <c r="U1575" t="s">
        <v>200</v>
      </c>
    </row>
    <row r="1576" spans="1:21">
      <c r="A1576" t="str">
        <f>"300101"</f>
        <v>300101</v>
      </c>
      <c r="B1576" t="s">
        <v>3236</v>
      </c>
      <c r="C1576">
        <v>-1.09</v>
      </c>
      <c r="D1576">
        <v>29.96</v>
      </c>
      <c r="E1576">
        <v>-0.33</v>
      </c>
      <c r="F1576">
        <v>29.96</v>
      </c>
      <c r="G1576">
        <v>29.97</v>
      </c>
      <c r="H1576">
        <v>166190</v>
      </c>
      <c r="I1576">
        <v>1599</v>
      </c>
      <c r="J1576">
        <v>0.03</v>
      </c>
      <c r="K1576">
        <v>2.99</v>
      </c>
      <c r="L1576">
        <v>50029.87</v>
      </c>
      <c r="M1576" t="s">
        <v>3237</v>
      </c>
      <c r="N1576" t="s">
        <v>153</v>
      </c>
      <c r="O1576">
        <v>30.78</v>
      </c>
      <c r="P1576">
        <v>30.78</v>
      </c>
      <c r="Q1576">
        <v>29.71</v>
      </c>
      <c r="R1576">
        <v>30.29</v>
      </c>
      <c r="S1576">
        <v>100.84</v>
      </c>
      <c r="T1576">
        <v>0.75</v>
      </c>
      <c r="U1576" t="s">
        <v>196</v>
      </c>
    </row>
    <row r="1577" spans="1:21">
      <c r="A1577" t="str">
        <f>"300102"</f>
        <v>300102</v>
      </c>
      <c r="B1577" t="s">
        <v>3238</v>
      </c>
      <c r="C1577">
        <v>0.11</v>
      </c>
      <c r="D1577">
        <v>8.8</v>
      </c>
      <c r="E1577">
        <v>0.01</v>
      </c>
      <c r="F1577">
        <v>8.79</v>
      </c>
      <c r="G1577">
        <v>8.8</v>
      </c>
      <c r="H1577">
        <v>299226</v>
      </c>
      <c r="I1577">
        <v>4178</v>
      </c>
      <c r="J1577">
        <v>0</v>
      </c>
      <c r="K1577">
        <v>4.23</v>
      </c>
      <c r="L1577">
        <v>26437.08</v>
      </c>
      <c r="M1577" t="s">
        <v>3239</v>
      </c>
      <c r="N1577" t="s">
        <v>1246</v>
      </c>
      <c r="O1577">
        <v>8.75</v>
      </c>
      <c r="P1577">
        <v>8.94</v>
      </c>
      <c r="Q1577">
        <v>8.72</v>
      </c>
      <c r="R1577">
        <v>8.79</v>
      </c>
      <c r="S1577">
        <v>28.36</v>
      </c>
      <c r="T1577">
        <v>0.6</v>
      </c>
      <c r="U1577" t="s">
        <v>339</v>
      </c>
    </row>
    <row r="1578" spans="1:21">
      <c r="A1578" t="str">
        <f>"300103"</f>
        <v>300103</v>
      </c>
      <c r="B1578" t="s">
        <v>3240</v>
      </c>
      <c r="C1578">
        <v>0.3</v>
      </c>
      <c r="D1578">
        <v>10.01</v>
      </c>
      <c r="E1578">
        <v>0.03</v>
      </c>
      <c r="F1578">
        <v>10</v>
      </c>
      <c r="G1578">
        <v>10.01</v>
      </c>
      <c r="H1578">
        <v>22210</v>
      </c>
      <c r="I1578">
        <v>219</v>
      </c>
      <c r="J1578">
        <v>0.2</v>
      </c>
      <c r="K1578">
        <v>0.91</v>
      </c>
      <c r="L1578">
        <v>2207.36</v>
      </c>
      <c r="M1578" t="s">
        <v>3241</v>
      </c>
      <c r="N1578" t="s">
        <v>33</v>
      </c>
      <c r="O1578">
        <v>9.88</v>
      </c>
      <c r="P1578">
        <v>10.11</v>
      </c>
      <c r="Q1578">
        <v>9.71</v>
      </c>
      <c r="R1578">
        <v>9.98</v>
      </c>
      <c r="S1578">
        <v>113.66</v>
      </c>
      <c r="T1578">
        <v>1.06</v>
      </c>
      <c r="U1578" t="s">
        <v>317</v>
      </c>
    </row>
    <row r="1579" spans="1:21">
      <c r="A1579" t="str">
        <f>"300105"</f>
        <v>300105</v>
      </c>
      <c r="B1579" t="s">
        <v>3242</v>
      </c>
      <c r="C1579">
        <v>-0.54</v>
      </c>
      <c r="D1579">
        <v>7.39</v>
      </c>
      <c r="E1579">
        <v>-0.04</v>
      </c>
      <c r="F1579">
        <v>7.38</v>
      </c>
      <c r="G1579">
        <v>7.39</v>
      </c>
      <c r="H1579">
        <v>197113</v>
      </c>
      <c r="I1579">
        <v>3520</v>
      </c>
      <c r="J1579">
        <v>-0.13</v>
      </c>
      <c r="K1579">
        <v>3.84</v>
      </c>
      <c r="L1579">
        <v>14611.12</v>
      </c>
      <c r="M1579" t="s">
        <v>3243</v>
      </c>
      <c r="N1579" t="s">
        <v>1028</v>
      </c>
      <c r="O1579">
        <v>7.43</v>
      </c>
      <c r="P1579">
        <v>7.52</v>
      </c>
      <c r="Q1579">
        <v>7.25</v>
      </c>
      <c r="R1579">
        <v>7.43</v>
      </c>
      <c r="S1579" t="s">
        <v>40</v>
      </c>
      <c r="T1579">
        <v>0.62</v>
      </c>
      <c r="U1579" t="s">
        <v>221</v>
      </c>
    </row>
    <row r="1580" spans="1:21">
      <c r="A1580" t="str">
        <f>"300106"</f>
        <v>300106</v>
      </c>
      <c r="B1580" t="s">
        <v>3244</v>
      </c>
      <c r="C1580">
        <v>0.72</v>
      </c>
      <c r="D1580">
        <v>11.13</v>
      </c>
      <c r="E1580">
        <v>0.08</v>
      </c>
      <c r="F1580">
        <v>11.13</v>
      </c>
      <c r="G1580">
        <v>11.14</v>
      </c>
      <c r="H1580">
        <v>63896</v>
      </c>
      <c r="I1580">
        <v>890</v>
      </c>
      <c r="J1580">
        <v>0</v>
      </c>
      <c r="K1580">
        <v>3.02</v>
      </c>
      <c r="L1580">
        <v>7055.61</v>
      </c>
      <c r="M1580" t="s">
        <v>3245</v>
      </c>
      <c r="N1580" t="s">
        <v>147</v>
      </c>
      <c r="O1580">
        <v>11.05</v>
      </c>
      <c r="P1580">
        <v>11.15</v>
      </c>
      <c r="Q1580">
        <v>10.87</v>
      </c>
      <c r="R1580">
        <v>11.05</v>
      </c>
      <c r="S1580">
        <v>122.27</v>
      </c>
      <c r="T1580">
        <v>0.79</v>
      </c>
      <c r="U1580" t="s">
        <v>210</v>
      </c>
    </row>
    <row r="1581" spans="1:21">
      <c r="A1581" t="str">
        <f>"300107"</f>
        <v>300107</v>
      </c>
      <c r="B1581" t="s">
        <v>3246</v>
      </c>
      <c r="C1581">
        <v>1.6</v>
      </c>
      <c r="D1581">
        <v>5.72</v>
      </c>
      <c r="E1581">
        <v>0.09</v>
      </c>
      <c r="F1581">
        <v>5.72</v>
      </c>
      <c r="G1581">
        <v>5.73</v>
      </c>
      <c r="H1581">
        <v>59312</v>
      </c>
      <c r="I1581">
        <v>646</v>
      </c>
      <c r="J1581">
        <v>0</v>
      </c>
      <c r="K1581">
        <v>1.76</v>
      </c>
      <c r="L1581">
        <v>3365.1</v>
      </c>
      <c r="M1581" t="s">
        <v>3247</v>
      </c>
      <c r="N1581" t="s">
        <v>309</v>
      </c>
      <c r="O1581">
        <v>5.64</v>
      </c>
      <c r="P1581">
        <v>5.78</v>
      </c>
      <c r="Q1581">
        <v>5.56</v>
      </c>
      <c r="R1581">
        <v>5.63</v>
      </c>
      <c r="S1581">
        <v>284.74</v>
      </c>
      <c r="T1581">
        <v>1.01</v>
      </c>
      <c r="U1581" t="s">
        <v>207</v>
      </c>
    </row>
    <row r="1582" spans="1:21">
      <c r="A1582" t="str">
        <f>"300108"</f>
        <v>300108</v>
      </c>
      <c r="B1582" t="s">
        <v>3248</v>
      </c>
      <c r="C1582">
        <v>1.44</v>
      </c>
      <c r="D1582">
        <v>3.53</v>
      </c>
      <c r="E1582">
        <v>0.05</v>
      </c>
      <c r="F1582">
        <v>3.52</v>
      </c>
      <c r="G1582">
        <v>3.53</v>
      </c>
      <c r="H1582">
        <v>76522</v>
      </c>
      <c r="I1582">
        <v>1320</v>
      </c>
      <c r="J1582">
        <v>0.28</v>
      </c>
      <c r="K1582">
        <v>1.72</v>
      </c>
      <c r="L1582">
        <v>2691.16</v>
      </c>
      <c r="M1582" t="s">
        <v>3249</v>
      </c>
      <c r="N1582" t="s">
        <v>270</v>
      </c>
      <c r="O1582">
        <v>3.47</v>
      </c>
      <c r="P1582">
        <v>3.54</v>
      </c>
      <c r="Q1582">
        <v>3.47</v>
      </c>
      <c r="R1582">
        <v>3.48</v>
      </c>
      <c r="S1582" t="s">
        <v>40</v>
      </c>
      <c r="T1582">
        <v>0.47</v>
      </c>
      <c r="U1582" t="s">
        <v>92</v>
      </c>
    </row>
    <row r="1583" spans="1:21">
      <c r="A1583" t="str">
        <f>"300109"</f>
        <v>300109</v>
      </c>
      <c r="B1583" t="s">
        <v>3250</v>
      </c>
      <c r="C1583">
        <v>2.92</v>
      </c>
      <c r="D1583">
        <v>26.07</v>
      </c>
      <c r="E1583">
        <v>0.74</v>
      </c>
      <c r="F1583">
        <v>26.06</v>
      </c>
      <c r="G1583">
        <v>26.07</v>
      </c>
      <c r="H1583">
        <v>126982</v>
      </c>
      <c r="I1583">
        <v>3233</v>
      </c>
      <c r="J1583">
        <v>-0.1</v>
      </c>
      <c r="K1583">
        <v>4.21</v>
      </c>
      <c r="L1583">
        <v>32718.68</v>
      </c>
      <c r="M1583" t="s">
        <v>3251</v>
      </c>
      <c r="N1583" t="s">
        <v>231</v>
      </c>
      <c r="O1583">
        <v>25.51</v>
      </c>
      <c r="P1583">
        <v>26.43</v>
      </c>
      <c r="Q1583">
        <v>25.16</v>
      </c>
      <c r="R1583">
        <v>25.33</v>
      </c>
      <c r="S1583">
        <v>67.14</v>
      </c>
      <c r="T1583">
        <v>0.66</v>
      </c>
      <c r="U1583" t="s">
        <v>224</v>
      </c>
    </row>
    <row r="1584" spans="1:21">
      <c r="A1584" t="str">
        <f>"300110"</f>
        <v>300110</v>
      </c>
      <c r="B1584" t="s">
        <v>3252</v>
      </c>
      <c r="C1584">
        <v>0</v>
      </c>
      <c r="D1584">
        <v>4.23</v>
      </c>
      <c r="E1584">
        <v>0</v>
      </c>
      <c r="F1584">
        <v>4.22</v>
      </c>
      <c r="G1584">
        <v>4.23</v>
      </c>
      <c r="H1584">
        <v>99372</v>
      </c>
      <c r="I1584">
        <v>1085</v>
      </c>
      <c r="J1584">
        <v>-0.23</v>
      </c>
      <c r="K1584">
        <v>0.84</v>
      </c>
      <c r="L1584">
        <v>4194.12</v>
      </c>
      <c r="M1584" t="s">
        <v>3253</v>
      </c>
      <c r="N1584" t="s">
        <v>192</v>
      </c>
      <c r="O1584">
        <v>4.2</v>
      </c>
      <c r="P1584">
        <v>4.25</v>
      </c>
      <c r="Q1584">
        <v>4.2</v>
      </c>
      <c r="R1584">
        <v>4.23</v>
      </c>
      <c r="S1584">
        <v>31.98</v>
      </c>
      <c r="T1584">
        <v>0.61</v>
      </c>
      <c r="U1584" t="s">
        <v>221</v>
      </c>
    </row>
    <row r="1585" spans="1:21">
      <c r="A1585" t="str">
        <f>"300111"</f>
        <v>300111</v>
      </c>
      <c r="B1585" t="s">
        <v>3254</v>
      </c>
      <c r="C1585">
        <v>0.36</v>
      </c>
      <c r="D1585">
        <v>2.81</v>
      </c>
      <c r="E1585">
        <v>0.01</v>
      </c>
      <c r="F1585">
        <v>2.81</v>
      </c>
      <c r="G1585">
        <v>2.82</v>
      </c>
      <c r="H1585">
        <v>72145</v>
      </c>
      <c r="I1585">
        <v>1810</v>
      </c>
      <c r="J1585">
        <v>0</v>
      </c>
      <c r="K1585">
        <v>0.65</v>
      </c>
      <c r="L1585">
        <v>2018.09</v>
      </c>
      <c r="M1585" t="s">
        <v>3255</v>
      </c>
      <c r="N1585" t="s">
        <v>192</v>
      </c>
      <c r="O1585">
        <v>2.81</v>
      </c>
      <c r="P1585">
        <v>2.82</v>
      </c>
      <c r="Q1585">
        <v>2.77</v>
      </c>
      <c r="R1585">
        <v>2.8</v>
      </c>
      <c r="S1585">
        <v>1479.42</v>
      </c>
      <c r="T1585">
        <v>0.76</v>
      </c>
      <c r="U1585" t="s">
        <v>200</v>
      </c>
    </row>
    <row r="1586" spans="1:21">
      <c r="A1586" t="str">
        <f>"300112"</f>
        <v>300112</v>
      </c>
      <c r="B1586" t="s">
        <v>3256</v>
      </c>
      <c r="C1586">
        <v>7.14</v>
      </c>
      <c r="D1586">
        <v>12.3</v>
      </c>
      <c r="E1586">
        <v>0.82</v>
      </c>
      <c r="F1586">
        <v>12.29</v>
      </c>
      <c r="G1586">
        <v>12.3</v>
      </c>
      <c r="H1586">
        <v>240958</v>
      </c>
      <c r="I1586">
        <v>3282</v>
      </c>
      <c r="J1586">
        <v>0.24</v>
      </c>
      <c r="K1586">
        <v>11.97</v>
      </c>
      <c r="L1586">
        <v>29222.26</v>
      </c>
      <c r="M1586" t="s">
        <v>3257</v>
      </c>
      <c r="N1586" t="s">
        <v>1028</v>
      </c>
      <c r="O1586">
        <v>11.54</v>
      </c>
      <c r="P1586">
        <v>12.69</v>
      </c>
      <c r="Q1586">
        <v>11.52</v>
      </c>
      <c r="R1586">
        <v>11.48</v>
      </c>
      <c r="S1586">
        <v>32.89</v>
      </c>
      <c r="T1586">
        <v>1.79</v>
      </c>
      <c r="U1586" t="s">
        <v>24</v>
      </c>
    </row>
    <row r="1587" spans="1:21">
      <c r="A1587" t="str">
        <f>"300113"</f>
        <v>300113</v>
      </c>
      <c r="B1587" t="s">
        <v>3258</v>
      </c>
      <c r="C1587">
        <v>0.97</v>
      </c>
      <c r="D1587">
        <v>15.6</v>
      </c>
      <c r="E1587">
        <v>0.15</v>
      </c>
      <c r="F1587">
        <v>15.6</v>
      </c>
      <c r="G1587">
        <v>15.61</v>
      </c>
      <c r="H1587">
        <v>299106</v>
      </c>
      <c r="I1587">
        <v>3651</v>
      </c>
      <c r="J1587">
        <v>-0.12</v>
      </c>
      <c r="K1587">
        <v>6.18</v>
      </c>
      <c r="L1587">
        <v>46970.34</v>
      </c>
      <c r="M1587" t="s">
        <v>3259</v>
      </c>
      <c r="N1587" t="s">
        <v>479</v>
      </c>
      <c r="O1587">
        <v>15.47</v>
      </c>
      <c r="P1587">
        <v>16</v>
      </c>
      <c r="Q1587">
        <v>15.3</v>
      </c>
      <c r="R1587">
        <v>15.45</v>
      </c>
      <c r="S1587">
        <v>52.39</v>
      </c>
      <c r="T1587">
        <v>0.61</v>
      </c>
      <c r="U1587" t="s">
        <v>200</v>
      </c>
    </row>
    <row r="1588" spans="1:21">
      <c r="A1588" t="str">
        <f>"300114"</f>
        <v>300114</v>
      </c>
      <c r="B1588" t="s">
        <v>3260</v>
      </c>
      <c r="C1588">
        <v>3.02</v>
      </c>
      <c r="D1588">
        <v>17.08</v>
      </c>
      <c r="E1588">
        <v>0.5</v>
      </c>
      <c r="F1588">
        <v>17.07</v>
      </c>
      <c r="G1588">
        <v>17.08</v>
      </c>
      <c r="H1588">
        <v>147159</v>
      </c>
      <c r="I1588">
        <v>2512</v>
      </c>
      <c r="J1588">
        <v>0.29</v>
      </c>
      <c r="K1588">
        <v>2.49</v>
      </c>
      <c r="L1588">
        <v>24776.21</v>
      </c>
      <c r="M1588" t="s">
        <v>3261</v>
      </c>
      <c r="N1588" t="s">
        <v>1028</v>
      </c>
      <c r="O1588">
        <v>16.43</v>
      </c>
      <c r="P1588">
        <v>17.09</v>
      </c>
      <c r="Q1588">
        <v>16.41</v>
      </c>
      <c r="R1588">
        <v>16.58</v>
      </c>
      <c r="S1588">
        <v>28.3</v>
      </c>
      <c r="T1588">
        <v>1.07</v>
      </c>
      <c r="U1588" t="s">
        <v>317</v>
      </c>
    </row>
    <row r="1589" spans="1:21">
      <c r="A1589" t="str">
        <f>"300115"</f>
        <v>300115</v>
      </c>
      <c r="B1589" t="s">
        <v>3262</v>
      </c>
      <c r="C1589">
        <v>3.64</v>
      </c>
      <c r="D1589">
        <v>17.09</v>
      </c>
      <c r="E1589">
        <v>0.6</v>
      </c>
      <c r="F1589">
        <v>17.09</v>
      </c>
      <c r="G1589">
        <v>17.1</v>
      </c>
      <c r="H1589">
        <v>307416</v>
      </c>
      <c r="I1589">
        <v>6626</v>
      </c>
      <c r="J1589">
        <v>0</v>
      </c>
      <c r="K1589">
        <v>2.57</v>
      </c>
      <c r="L1589">
        <v>52263.99</v>
      </c>
      <c r="M1589" t="s">
        <v>3263</v>
      </c>
      <c r="N1589" t="s">
        <v>69</v>
      </c>
      <c r="O1589">
        <v>16.46</v>
      </c>
      <c r="P1589">
        <v>17.27</v>
      </c>
      <c r="Q1589">
        <v>16.45</v>
      </c>
      <c r="R1589">
        <v>16.49</v>
      </c>
      <c r="S1589">
        <v>98.29</v>
      </c>
      <c r="T1589">
        <v>0.8</v>
      </c>
      <c r="U1589" t="s">
        <v>24</v>
      </c>
    </row>
    <row r="1590" spans="1:21">
      <c r="A1590" t="str">
        <f>"300116"</f>
        <v>300116</v>
      </c>
      <c r="B1590" t="s">
        <v>3264</v>
      </c>
      <c r="C1590">
        <v>0</v>
      </c>
      <c r="D1590">
        <v>2.53</v>
      </c>
      <c r="E1590">
        <v>0</v>
      </c>
      <c r="F1590">
        <v>2.53</v>
      </c>
      <c r="G1590">
        <v>2.54</v>
      </c>
      <c r="H1590">
        <v>573502</v>
      </c>
      <c r="I1590">
        <v>11273</v>
      </c>
      <c r="J1590">
        <v>-0.38</v>
      </c>
      <c r="K1590">
        <v>1.43</v>
      </c>
      <c r="L1590">
        <v>14502.53</v>
      </c>
      <c r="M1590" t="s">
        <v>3259</v>
      </c>
      <c r="N1590" t="s">
        <v>47</v>
      </c>
      <c r="O1590">
        <v>2.55</v>
      </c>
      <c r="P1590">
        <v>2.55</v>
      </c>
      <c r="Q1590">
        <v>2.51</v>
      </c>
      <c r="R1590">
        <v>2.53</v>
      </c>
      <c r="S1590" t="s">
        <v>40</v>
      </c>
      <c r="T1590">
        <v>0.65</v>
      </c>
      <c r="U1590" t="s">
        <v>317</v>
      </c>
    </row>
    <row r="1591" spans="1:21">
      <c r="A1591" t="str">
        <f>"300117"</f>
        <v>300117</v>
      </c>
      <c r="B1591" t="s">
        <v>3265</v>
      </c>
      <c r="C1591">
        <v>5.26</v>
      </c>
      <c r="D1591">
        <v>4.8</v>
      </c>
      <c r="E1591">
        <v>0.24</v>
      </c>
      <c r="F1591">
        <v>4.8</v>
      </c>
      <c r="G1591">
        <v>4.81</v>
      </c>
      <c r="H1591">
        <v>507308</v>
      </c>
      <c r="I1591">
        <v>8634</v>
      </c>
      <c r="J1591">
        <v>0</v>
      </c>
      <c r="K1591">
        <v>7.08</v>
      </c>
      <c r="L1591">
        <v>24027.9</v>
      </c>
      <c r="M1591" t="s">
        <v>3266</v>
      </c>
      <c r="N1591" t="s">
        <v>1189</v>
      </c>
      <c r="O1591">
        <v>4.52</v>
      </c>
      <c r="P1591">
        <v>5.1</v>
      </c>
      <c r="Q1591">
        <v>4.52</v>
      </c>
      <c r="R1591">
        <v>4.56</v>
      </c>
      <c r="S1591" t="s">
        <v>40</v>
      </c>
      <c r="T1591">
        <v>2</v>
      </c>
      <c r="U1591" t="s">
        <v>44</v>
      </c>
    </row>
    <row r="1592" spans="1:21">
      <c r="A1592" t="str">
        <f>"300118"</f>
        <v>300118</v>
      </c>
      <c r="B1592" t="s">
        <v>3267</v>
      </c>
      <c r="C1592">
        <v>20</v>
      </c>
      <c r="D1592">
        <v>36</v>
      </c>
      <c r="E1592">
        <v>6</v>
      </c>
      <c r="F1592">
        <v>36</v>
      </c>
      <c r="G1592" t="s">
        <v>40</v>
      </c>
      <c r="H1592">
        <v>1115974</v>
      </c>
      <c r="I1592">
        <v>3272</v>
      </c>
      <c r="J1592">
        <v>0</v>
      </c>
      <c r="K1592">
        <v>12.41</v>
      </c>
      <c r="L1592">
        <v>367565.93</v>
      </c>
      <c r="M1592" t="s">
        <v>3268</v>
      </c>
      <c r="N1592" t="s">
        <v>47</v>
      </c>
      <c r="O1592">
        <v>30.8</v>
      </c>
      <c r="P1592">
        <v>36</v>
      </c>
      <c r="Q1592">
        <v>30.31</v>
      </c>
      <c r="R1592">
        <v>30</v>
      </c>
      <c r="S1592">
        <v>68.74</v>
      </c>
      <c r="T1592">
        <v>1.45</v>
      </c>
      <c r="U1592" t="s">
        <v>200</v>
      </c>
    </row>
    <row r="1593" spans="1:21">
      <c r="A1593" t="str">
        <f>"300119"</f>
        <v>300119</v>
      </c>
      <c r="B1593" t="s">
        <v>3269</v>
      </c>
      <c r="C1593">
        <v>-1.62</v>
      </c>
      <c r="D1593">
        <v>23.12</v>
      </c>
      <c r="E1593">
        <v>-0.38</v>
      </c>
      <c r="F1593">
        <v>23.11</v>
      </c>
      <c r="G1593">
        <v>23.12</v>
      </c>
      <c r="H1593">
        <v>37554</v>
      </c>
      <c r="I1593">
        <v>641</v>
      </c>
      <c r="J1593">
        <v>0</v>
      </c>
      <c r="K1593">
        <v>1.49</v>
      </c>
      <c r="L1593">
        <v>8661.99</v>
      </c>
      <c r="M1593" t="s">
        <v>3270</v>
      </c>
      <c r="N1593" t="s">
        <v>147</v>
      </c>
      <c r="O1593">
        <v>23.29</v>
      </c>
      <c r="P1593">
        <v>23.29</v>
      </c>
      <c r="Q1593">
        <v>22.88</v>
      </c>
      <c r="R1593">
        <v>23.5</v>
      </c>
      <c r="S1593">
        <v>27.79</v>
      </c>
      <c r="T1593">
        <v>0.88</v>
      </c>
      <c r="U1593" t="s">
        <v>360</v>
      </c>
    </row>
    <row r="1594" spans="1:21">
      <c r="A1594" t="str">
        <f>"300120"</f>
        <v>300120</v>
      </c>
      <c r="B1594" t="s">
        <v>3271</v>
      </c>
      <c r="C1594">
        <v>0.36</v>
      </c>
      <c r="D1594">
        <v>8.4</v>
      </c>
      <c r="E1594">
        <v>0.03</v>
      </c>
      <c r="F1594">
        <v>8.39</v>
      </c>
      <c r="G1594">
        <v>8.4</v>
      </c>
      <c r="H1594">
        <v>69350</v>
      </c>
      <c r="I1594">
        <v>812</v>
      </c>
      <c r="J1594">
        <v>0.12</v>
      </c>
      <c r="K1594">
        <v>1.81</v>
      </c>
      <c r="L1594">
        <v>5784.13</v>
      </c>
      <c r="M1594" t="s">
        <v>3272</v>
      </c>
      <c r="N1594" t="s">
        <v>69</v>
      </c>
      <c r="O1594">
        <v>8.35</v>
      </c>
      <c r="P1594">
        <v>8.45</v>
      </c>
      <c r="Q1594">
        <v>8.24</v>
      </c>
      <c r="R1594">
        <v>8.37</v>
      </c>
      <c r="S1594">
        <v>59.91</v>
      </c>
      <c r="T1594">
        <v>0.85</v>
      </c>
      <c r="U1594" t="s">
        <v>360</v>
      </c>
    </row>
    <row r="1595" spans="1:21">
      <c r="A1595" t="str">
        <f>"300121"</f>
        <v>300121</v>
      </c>
      <c r="B1595" t="s">
        <v>3273</v>
      </c>
      <c r="C1595">
        <v>1.01</v>
      </c>
      <c r="D1595">
        <v>10.97</v>
      </c>
      <c r="E1595">
        <v>0.11</v>
      </c>
      <c r="F1595">
        <v>10.96</v>
      </c>
      <c r="G1595">
        <v>10.97</v>
      </c>
      <c r="H1595">
        <v>56969</v>
      </c>
      <c r="I1595">
        <v>1055</v>
      </c>
      <c r="J1595">
        <v>-0.17</v>
      </c>
      <c r="K1595">
        <v>1.58</v>
      </c>
      <c r="L1595">
        <v>6198.59</v>
      </c>
      <c r="M1595" t="s">
        <v>3274</v>
      </c>
      <c r="N1595" t="s">
        <v>309</v>
      </c>
      <c r="O1595">
        <v>10.85</v>
      </c>
      <c r="P1595">
        <v>11.05</v>
      </c>
      <c r="Q1595">
        <v>10.68</v>
      </c>
      <c r="R1595">
        <v>10.86</v>
      </c>
      <c r="S1595">
        <v>12.54</v>
      </c>
      <c r="T1595">
        <v>1.05</v>
      </c>
      <c r="U1595" t="s">
        <v>221</v>
      </c>
    </row>
    <row r="1596" spans="1:21">
      <c r="A1596" t="str">
        <f>"300122"</f>
        <v>300122</v>
      </c>
      <c r="B1596" t="s">
        <v>3275</v>
      </c>
      <c r="C1596">
        <v>-1.2</v>
      </c>
      <c r="D1596">
        <v>131.35</v>
      </c>
      <c r="E1596">
        <v>-1.59</v>
      </c>
      <c r="F1596">
        <v>131.33</v>
      </c>
      <c r="G1596">
        <v>131.35</v>
      </c>
      <c r="H1596">
        <v>88049</v>
      </c>
      <c r="I1596">
        <v>571</v>
      </c>
      <c r="J1596">
        <v>-0.01</v>
      </c>
      <c r="K1596">
        <v>0.96</v>
      </c>
      <c r="L1596">
        <v>115757.36</v>
      </c>
      <c r="M1596" t="s">
        <v>3276</v>
      </c>
      <c r="N1596" t="s">
        <v>231</v>
      </c>
      <c r="O1596">
        <v>132.4</v>
      </c>
      <c r="P1596">
        <v>133.8</v>
      </c>
      <c r="Q1596">
        <v>130.44</v>
      </c>
      <c r="R1596">
        <v>132.94</v>
      </c>
      <c r="S1596">
        <v>18.76</v>
      </c>
      <c r="T1596">
        <v>0.77</v>
      </c>
      <c r="U1596" t="s">
        <v>314</v>
      </c>
    </row>
    <row r="1597" spans="1:21">
      <c r="A1597" t="str">
        <f>"300123"</f>
        <v>300123</v>
      </c>
      <c r="B1597" t="s">
        <v>3277</v>
      </c>
      <c r="C1597">
        <v>0.64</v>
      </c>
      <c r="D1597">
        <v>9.37</v>
      </c>
      <c r="E1597">
        <v>0.06</v>
      </c>
      <c r="F1597">
        <v>9.37</v>
      </c>
      <c r="G1597">
        <v>9.38</v>
      </c>
      <c r="H1597">
        <v>236536</v>
      </c>
      <c r="I1597">
        <v>3645</v>
      </c>
      <c r="J1597">
        <v>0</v>
      </c>
      <c r="K1597">
        <v>2.39</v>
      </c>
      <c r="L1597">
        <v>22174.25</v>
      </c>
      <c r="M1597" t="s">
        <v>3278</v>
      </c>
      <c r="N1597" t="s">
        <v>1246</v>
      </c>
      <c r="O1597">
        <v>9.32</v>
      </c>
      <c r="P1597">
        <v>9.45</v>
      </c>
      <c r="Q1597">
        <v>9.27</v>
      </c>
      <c r="R1597">
        <v>9.31</v>
      </c>
      <c r="S1597">
        <v>697.35</v>
      </c>
      <c r="T1597">
        <v>0.87</v>
      </c>
      <c r="U1597" t="s">
        <v>204</v>
      </c>
    </row>
    <row r="1598" spans="1:21">
      <c r="A1598" t="str">
        <f>"300124"</f>
        <v>300124</v>
      </c>
      <c r="B1598" t="s">
        <v>3279</v>
      </c>
      <c r="C1598">
        <v>0.15</v>
      </c>
      <c r="D1598">
        <v>66.1</v>
      </c>
      <c r="E1598">
        <v>0.1</v>
      </c>
      <c r="F1598">
        <v>66.09</v>
      </c>
      <c r="G1598">
        <v>66.1</v>
      </c>
      <c r="H1598">
        <v>277075</v>
      </c>
      <c r="I1598">
        <v>3325</v>
      </c>
      <c r="J1598">
        <v>-0.07</v>
      </c>
      <c r="K1598">
        <v>1.33</v>
      </c>
      <c r="L1598">
        <v>181080.73</v>
      </c>
      <c r="M1598" t="s">
        <v>3280</v>
      </c>
      <c r="N1598" t="s">
        <v>1028</v>
      </c>
      <c r="O1598">
        <v>65.86</v>
      </c>
      <c r="P1598">
        <v>66.23</v>
      </c>
      <c r="Q1598">
        <v>64.5</v>
      </c>
      <c r="R1598">
        <v>66</v>
      </c>
      <c r="S1598">
        <v>52.14</v>
      </c>
      <c r="T1598">
        <v>1.27</v>
      </c>
      <c r="U1598" t="s">
        <v>24</v>
      </c>
    </row>
    <row r="1599" spans="1:21">
      <c r="A1599" t="str">
        <f>"300125"</f>
        <v>300125</v>
      </c>
      <c r="B1599" t="s">
        <v>3281</v>
      </c>
      <c r="C1599">
        <v>11.3</v>
      </c>
      <c r="D1599">
        <v>17.92</v>
      </c>
      <c r="E1599">
        <v>1.82</v>
      </c>
      <c r="F1599">
        <v>17.89</v>
      </c>
      <c r="G1599">
        <v>17.92</v>
      </c>
      <c r="H1599">
        <v>337895</v>
      </c>
      <c r="I1599">
        <v>1653</v>
      </c>
      <c r="J1599">
        <v>0.39</v>
      </c>
      <c r="K1599">
        <v>12.84</v>
      </c>
      <c r="L1599">
        <v>58714.68</v>
      </c>
      <c r="M1599" t="s">
        <v>3282</v>
      </c>
      <c r="N1599" t="s">
        <v>47</v>
      </c>
      <c r="O1599">
        <v>16.81</v>
      </c>
      <c r="P1599">
        <v>18</v>
      </c>
      <c r="Q1599">
        <v>16.81</v>
      </c>
      <c r="R1599">
        <v>16.1</v>
      </c>
      <c r="S1599" t="s">
        <v>40</v>
      </c>
      <c r="T1599">
        <v>3.52</v>
      </c>
      <c r="U1599" t="s">
        <v>141</v>
      </c>
    </row>
    <row r="1600" spans="1:21">
      <c r="A1600" t="str">
        <f>"300126"</f>
        <v>300126</v>
      </c>
      <c r="B1600" t="s">
        <v>3283</v>
      </c>
      <c r="C1600">
        <v>1.64</v>
      </c>
      <c r="D1600">
        <v>6.8</v>
      </c>
      <c r="E1600">
        <v>0.11</v>
      </c>
      <c r="F1600">
        <v>6.79</v>
      </c>
      <c r="G1600">
        <v>6.8</v>
      </c>
      <c r="H1600">
        <v>41040</v>
      </c>
      <c r="I1600">
        <v>1040</v>
      </c>
      <c r="J1600">
        <v>0.3</v>
      </c>
      <c r="K1600">
        <v>1.95</v>
      </c>
      <c r="L1600">
        <v>2785.93</v>
      </c>
      <c r="M1600" t="s">
        <v>1636</v>
      </c>
      <c r="N1600" t="s">
        <v>111</v>
      </c>
      <c r="O1600">
        <v>6.69</v>
      </c>
      <c r="P1600">
        <v>6.84</v>
      </c>
      <c r="Q1600">
        <v>6.67</v>
      </c>
      <c r="R1600">
        <v>6.69</v>
      </c>
      <c r="S1600">
        <v>114.69</v>
      </c>
      <c r="T1600">
        <v>0.94</v>
      </c>
      <c r="U1600" t="s">
        <v>848</v>
      </c>
    </row>
    <row r="1601" spans="1:21">
      <c r="A1601" t="str">
        <f>"300127"</f>
        <v>300127</v>
      </c>
      <c r="B1601" t="s">
        <v>3284</v>
      </c>
      <c r="C1601">
        <v>-0.52</v>
      </c>
      <c r="D1601">
        <v>22.84</v>
      </c>
      <c r="E1601">
        <v>-0.12</v>
      </c>
      <c r="F1601">
        <v>22.84</v>
      </c>
      <c r="G1601">
        <v>22.85</v>
      </c>
      <c r="H1601">
        <v>91483</v>
      </c>
      <c r="I1601">
        <v>1158</v>
      </c>
      <c r="J1601">
        <v>-0.12</v>
      </c>
      <c r="K1601">
        <v>4.02</v>
      </c>
      <c r="L1601">
        <v>20663.72</v>
      </c>
      <c r="M1601" t="s">
        <v>3285</v>
      </c>
      <c r="N1601" t="s">
        <v>69</v>
      </c>
      <c r="O1601">
        <v>22.84</v>
      </c>
      <c r="P1601">
        <v>23.17</v>
      </c>
      <c r="Q1601">
        <v>22.21</v>
      </c>
      <c r="R1601">
        <v>22.96</v>
      </c>
      <c r="S1601">
        <v>36.98</v>
      </c>
      <c r="T1601">
        <v>0.74</v>
      </c>
      <c r="U1601" t="s">
        <v>196</v>
      </c>
    </row>
    <row r="1602" spans="1:21">
      <c r="A1602" t="str">
        <f>"300128"</f>
        <v>300128</v>
      </c>
      <c r="B1602" t="s">
        <v>3286</v>
      </c>
      <c r="C1602">
        <v>2.97</v>
      </c>
      <c r="D1602">
        <v>4.16</v>
      </c>
      <c r="E1602">
        <v>0.12</v>
      </c>
      <c r="F1602">
        <v>4.16</v>
      </c>
      <c r="G1602">
        <v>4.17</v>
      </c>
      <c r="H1602">
        <v>448231</v>
      </c>
      <c r="I1602">
        <v>8100</v>
      </c>
      <c r="J1602">
        <v>0</v>
      </c>
      <c r="K1602">
        <v>4.1</v>
      </c>
      <c r="L1602">
        <v>18426.84</v>
      </c>
      <c r="M1602" t="s">
        <v>3287</v>
      </c>
      <c r="N1602" t="s">
        <v>69</v>
      </c>
      <c r="O1602">
        <v>4.05</v>
      </c>
      <c r="P1602">
        <v>4.17</v>
      </c>
      <c r="Q1602">
        <v>4.01</v>
      </c>
      <c r="R1602">
        <v>4.04</v>
      </c>
      <c r="S1602" t="s">
        <v>40</v>
      </c>
      <c r="T1602">
        <v>1.33</v>
      </c>
      <c r="U1602" t="s">
        <v>102</v>
      </c>
    </row>
    <row r="1603" spans="1:21">
      <c r="A1603" t="str">
        <f>"300129"</f>
        <v>300129</v>
      </c>
      <c r="B1603" t="s">
        <v>3288</v>
      </c>
      <c r="C1603">
        <v>1.39</v>
      </c>
      <c r="D1603">
        <v>10.96</v>
      </c>
      <c r="E1603">
        <v>0.15</v>
      </c>
      <c r="F1603">
        <v>10.95</v>
      </c>
      <c r="G1603">
        <v>10.96</v>
      </c>
      <c r="H1603">
        <v>573405</v>
      </c>
      <c r="I1603">
        <v>9649</v>
      </c>
      <c r="J1603">
        <v>-0.17</v>
      </c>
      <c r="K1603">
        <v>9.93</v>
      </c>
      <c r="L1603">
        <v>61897.9</v>
      </c>
      <c r="M1603" t="s">
        <v>3289</v>
      </c>
      <c r="N1603" t="s">
        <v>47</v>
      </c>
      <c r="O1603">
        <v>10.65</v>
      </c>
      <c r="P1603">
        <v>11.05</v>
      </c>
      <c r="Q1603">
        <v>10.54</v>
      </c>
      <c r="R1603">
        <v>10.81</v>
      </c>
      <c r="S1603">
        <v>28.79</v>
      </c>
      <c r="T1603">
        <v>1.13</v>
      </c>
      <c r="U1603" t="s">
        <v>848</v>
      </c>
    </row>
    <row r="1604" spans="1:21">
      <c r="A1604" t="str">
        <f>"300130"</f>
        <v>300130</v>
      </c>
      <c r="B1604" t="s">
        <v>3290</v>
      </c>
      <c r="C1604">
        <v>3.77</v>
      </c>
      <c r="D1604">
        <v>10.18</v>
      </c>
      <c r="E1604">
        <v>0.37</v>
      </c>
      <c r="F1604">
        <v>10.17</v>
      </c>
      <c r="G1604">
        <v>10.18</v>
      </c>
      <c r="H1604">
        <v>75964</v>
      </c>
      <c r="I1604">
        <v>2003</v>
      </c>
      <c r="J1604">
        <v>0.2</v>
      </c>
      <c r="K1604">
        <v>2.14</v>
      </c>
      <c r="L1604">
        <v>7658.11</v>
      </c>
      <c r="M1604" t="s">
        <v>3291</v>
      </c>
      <c r="N1604" t="s">
        <v>72</v>
      </c>
      <c r="O1604">
        <v>9.84</v>
      </c>
      <c r="P1604">
        <v>10.19</v>
      </c>
      <c r="Q1604">
        <v>9.8</v>
      </c>
      <c r="R1604">
        <v>9.81</v>
      </c>
      <c r="S1604">
        <v>23.99</v>
      </c>
      <c r="T1604">
        <v>1.19</v>
      </c>
      <c r="U1604" t="s">
        <v>24</v>
      </c>
    </row>
    <row r="1605" spans="1:21">
      <c r="A1605" t="str">
        <f>"300131"</f>
        <v>300131</v>
      </c>
      <c r="B1605" t="s">
        <v>3292</v>
      </c>
      <c r="C1605">
        <v>1.27</v>
      </c>
      <c r="D1605">
        <v>7.19</v>
      </c>
      <c r="E1605">
        <v>0.09</v>
      </c>
      <c r="F1605">
        <v>7.18</v>
      </c>
      <c r="G1605">
        <v>7.19</v>
      </c>
      <c r="H1605">
        <v>222443</v>
      </c>
      <c r="I1605">
        <v>17054</v>
      </c>
      <c r="J1605">
        <v>1.13</v>
      </c>
      <c r="K1605">
        <v>2.38</v>
      </c>
      <c r="L1605">
        <v>15806.58</v>
      </c>
      <c r="M1605" t="s">
        <v>3293</v>
      </c>
      <c r="N1605" t="s">
        <v>189</v>
      </c>
      <c r="O1605">
        <v>7.09</v>
      </c>
      <c r="P1605">
        <v>7.2</v>
      </c>
      <c r="Q1605">
        <v>7.04</v>
      </c>
      <c r="R1605">
        <v>7.1</v>
      </c>
      <c r="S1605">
        <v>156.88</v>
      </c>
      <c r="T1605">
        <v>0.55</v>
      </c>
      <c r="U1605" t="s">
        <v>24</v>
      </c>
    </row>
    <row r="1606" spans="1:21">
      <c r="A1606" t="str">
        <f>"300132"</f>
        <v>300132</v>
      </c>
      <c r="B1606" t="s">
        <v>3294</v>
      </c>
      <c r="C1606">
        <v>2.47</v>
      </c>
      <c r="D1606">
        <v>10.38</v>
      </c>
      <c r="E1606">
        <v>0.25</v>
      </c>
      <c r="F1606">
        <v>10.38</v>
      </c>
      <c r="G1606">
        <v>10.39</v>
      </c>
      <c r="H1606">
        <v>123945</v>
      </c>
      <c r="I1606">
        <v>1694</v>
      </c>
      <c r="J1606">
        <v>-0.18</v>
      </c>
      <c r="K1606">
        <v>2.62</v>
      </c>
      <c r="L1606">
        <v>12739.38</v>
      </c>
      <c r="M1606" t="s">
        <v>3295</v>
      </c>
      <c r="N1606" t="s">
        <v>309</v>
      </c>
      <c r="O1606">
        <v>10.14</v>
      </c>
      <c r="P1606">
        <v>10.44</v>
      </c>
      <c r="Q1606">
        <v>10.07</v>
      </c>
      <c r="R1606">
        <v>10.13</v>
      </c>
      <c r="S1606">
        <v>33.9</v>
      </c>
      <c r="T1606">
        <v>1.03</v>
      </c>
      <c r="U1606" t="s">
        <v>339</v>
      </c>
    </row>
    <row r="1607" spans="1:21">
      <c r="A1607" t="str">
        <f>"300133"</f>
        <v>300133</v>
      </c>
      <c r="B1607" t="s">
        <v>3296</v>
      </c>
      <c r="C1607">
        <v>0</v>
      </c>
      <c r="D1607">
        <v>5.94</v>
      </c>
      <c r="E1607">
        <v>0</v>
      </c>
      <c r="F1607">
        <v>5.94</v>
      </c>
      <c r="G1607">
        <v>5.95</v>
      </c>
      <c r="H1607">
        <v>194726</v>
      </c>
      <c r="I1607">
        <v>2558</v>
      </c>
      <c r="J1607">
        <v>0.17</v>
      </c>
      <c r="K1607">
        <v>1.22</v>
      </c>
      <c r="L1607">
        <v>11563.62</v>
      </c>
      <c r="M1607" t="s">
        <v>3297</v>
      </c>
      <c r="N1607" t="s">
        <v>199</v>
      </c>
      <c r="O1607">
        <v>5.94</v>
      </c>
      <c r="P1607">
        <v>5.98</v>
      </c>
      <c r="Q1607">
        <v>5.89</v>
      </c>
      <c r="R1607">
        <v>5.94</v>
      </c>
      <c r="S1607">
        <v>26.14</v>
      </c>
      <c r="T1607">
        <v>0.5</v>
      </c>
      <c r="U1607" t="s">
        <v>200</v>
      </c>
    </row>
    <row r="1608" spans="1:21">
      <c r="A1608" t="str">
        <f>"300134"</f>
        <v>300134</v>
      </c>
      <c r="B1608" t="s">
        <v>3298</v>
      </c>
      <c r="C1608">
        <v>-3.52</v>
      </c>
      <c r="D1608">
        <v>11.5</v>
      </c>
      <c r="E1608">
        <v>-0.42</v>
      </c>
      <c r="F1608">
        <v>11.49</v>
      </c>
      <c r="G1608">
        <v>11.5</v>
      </c>
      <c r="H1608">
        <v>439095</v>
      </c>
      <c r="I1608">
        <v>9329</v>
      </c>
      <c r="J1608">
        <v>-0.08</v>
      </c>
      <c r="K1608">
        <v>6.16</v>
      </c>
      <c r="L1608">
        <v>51109.98</v>
      </c>
      <c r="M1608" t="s">
        <v>3299</v>
      </c>
      <c r="N1608" t="s">
        <v>153</v>
      </c>
      <c r="O1608">
        <v>11.78</v>
      </c>
      <c r="P1608">
        <v>11.98</v>
      </c>
      <c r="Q1608">
        <v>11.46</v>
      </c>
      <c r="R1608">
        <v>11.92</v>
      </c>
      <c r="S1608" t="s">
        <v>40</v>
      </c>
      <c r="T1608">
        <v>0.9</v>
      </c>
      <c r="U1608" t="s">
        <v>193</v>
      </c>
    </row>
    <row r="1609" spans="1:21">
      <c r="A1609" t="str">
        <f>"300135"</f>
        <v>300135</v>
      </c>
      <c r="B1609" t="s">
        <v>3300</v>
      </c>
      <c r="C1609">
        <v>2.67</v>
      </c>
      <c r="D1609">
        <v>2.69</v>
      </c>
      <c r="E1609">
        <v>0.07</v>
      </c>
      <c r="F1609">
        <v>2.69</v>
      </c>
      <c r="G1609">
        <v>2.7</v>
      </c>
      <c r="H1609">
        <v>206477</v>
      </c>
      <c r="I1609">
        <v>1541</v>
      </c>
      <c r="J1609">
        <v>0</v>
      </c>
      <c r="K1609">
        <v>3.23</v>
      </c>
      <c r="L1609">
        <v>5518.71</v>
      </c>
      <c r="M1609" t="s">
        <v>3301</v>
      </c>
      <c r="N1609" t="s">
        <v>309</v>
      </c>
      <c r="O1609">
        <v>2.63</v>
      </c>
      <c r="P1609">
        <v>2.72</v>
      </c>
      <c r="Q1609">
        <v>2.59</v>
      </c>
      <c r="R1609">
        <v>2.62</v>
      </c>
      <c r="S1609" t="s">
        <v>40</v>
      </c>
      <c r="T1609">
        <v>0.87</v>
      </c>
      <c r="U1609" t="s">
        <v>102</v>
      </c>
    </row>
    <row r="1610" spans="1:21">
      <c r="A1610" t="str">
        <f>"300136"</f>
        <v>300136</v>
      </c>
      <c r="B1610" t="s">
        <v>3302</v>
      </c>
      <c r="C1610">
        <v>1.44</v>
      </c>
      <c r="D1610">
        <v>25.33</v>
      </c>
      <c r="E1610">
        <v>0.36</v>
      </c>
      <c r="F1610">
        <v>25.33</v>
      </c>
      <c r="G1610">
        <v>25.34</v>
      </c>
      <c r="H1610">
        <v>191989</v>
      </c>
      <c r="I1610">
        <v>1588</v>
      </c>
      <c r="J1610">
        <v>-0.03</v>
      </c>
      <c r="K1610">
        <v>2.33</v>
      </c>
      <c r="L1610">
        <v>48730.16</v>
      </c>
      <c r="M1610" t="s">
        <v>3303</v>
      </c>
      <c r="N1610" t="s">
        <v>153</v>
      </c>
      <c r="O1610">
        <v>25</v>
      </c>
      <c r="P1610">
        <v>25.85</v>
      </c>
      <c r="Q1610">
        <v>24.93</v>
      </c>
      <c r="R1610">
        <v>24.97</v>
      </c>
      <c r="S1610">
        <v>38.46</v>
      </c>
      <c r="T1610">
        <v>0.63</v>
      </c>
      <c r="U1610" t="s">
        <v>24</v>
      </c>
    </row>
    <row r="1611" spans="1:21">
      <c r="A1611" t="str">
        <f>"300137"</f>
        <v>300137</v>
      </c>
      <c r="B1611" t="s">
        <v>3304</v>
      </c>
      <c r="C1611">
        <v>0.44</v>
      </c>
      <c r="D1611">
        <v>6.81</v>
      </c>
      <c r="E1611">
        <v>0.03</v>
      </c>
      <c r="F1611">
        <v>6.8</v>
      </c>
      <c r="G1611">
        <v>6.81</v>
      </c>
      <c r="H1611">
        <v>75211</v>
      </c>
      <c r="I1611">
        <v>262</v>
      </c>
      <c r="J1611">
        <v>0.15</v>
      </c>
      <c r="K1611">
        <v>1.6</v>
      </c>
      <c r="L1611">
        <v>5082.15</v>
      </c>
      <c r="M1611" t="s">
        <v>3305</v>
      </c>
      <c r="N1611" t="s">
        <v>33</v>
      </c>
      <c r="O1611">
        <v>6.8</v>
      </c>
      <c r="P1611">
        <v>6.84</v>
      </c>
      <c r="Q1611">
        <v>6.68</v>
      </c>
      <c r="R1611">
        <v>6.78</v>
      </c>
      <c r="S1611">
        <v>39.8</v>
      </c>
      <c r="T1611">
        <v>0.84</v>
      </c>
      <c r="U1611" t="s">
        <v>207</v>
      </c>
    </row>
    <row r="1612" spans="1:21">
      <c r="A1612" t="str">
        <f>"300138"</f>
        <v>300138</v>
      </c>
      <c r="B1612" t="s">
        <v>3306</v>
      </c>
      <c r="C1612">
        <v>0</v>
      </c>
      <c r="D1612">
        <v>14.86</v>
      </c>
      <c r="E1612">
        <v>0</v>
      </c>
      <c r="F1612">
        <v>14.85</v>
      </c>
      <c r="G1612">
        <v>14.86</v>
      </c>
      <c r="H1612">
        <v>31763</v>
      </c>
      <c r="I1612">
        <v>324</v>
      </c>
      <c r="J1612">
        <v>0.07</v>
      </c>
      <c r="K1612">
        <v>0.74</v>
      </c>
      <c r="L1612">
        <v>4732.93</v>
      </c>
      <c r="M1612" t="s">
        <v>3307</v>
      </c>
      <c r="N1612" t="s">
        <v>299</v>
      </c>
      <c r="O1612">
        <v>14.81</v>
      </c>
      <c r="P1612">
        <v>15.1</v>
      </c>
      <c r="Q1612">
        <v>14.6</v>
      </c>
      <c r="R1612">
        <v>14.86</v>
      </c>
      <c r="S1612">
        <v>22.87</v>
      </c>
      <c r="T1612">
        <v>0.79</v>
      </c>
      <c r="U1612" t="s">
        <v>207</v>
      </c>
    </row>
    <row r="1613" spans="1:21">
      <c r="A1613" t="str">
        <f>"300139"</f>
        <v>300139</v>
      </c>
      <c r="B1613" t="s">
        <v>3308</v>
      </c>
      <c r="C1613">
        <v>-2.04</v>
      </c>
      <c r="D1613">
        <v>14.4</v>
      </c>
      <c r="E1613">
        <v>-0.3</v>
      </c>
      <c r="F1613">
        <v>14.39</v>
      </c>
      <c r="G1613">
        <v>14.4</v>
      </c>
      <c r="H1613">
        <v>306324</v>
      </c>
      <c r="I1613">
        <v>5252</v>
      </c>
      <c r="J1613">
        <v>0.07</v>
      </c>
      <c r="K1613">
        <v>13.17</v>
      </c>
      <c r="L1613">
        <v>44146.35</v>
      </c>
      <c r="M1613" t="s">
        <v>3309</v>
      </c>
      <c r="N1613" t="s">
        <v>69</v>
      </c>
      <c r="O1613">
        <v>14.5</v>
      </c>
      <c r="P1613">
        <v>14.74</v>
      </c>
      <c r="Q1613">
        <v>14.23</v>
      </c>
      <c r="R1613">
        <v>14.7</v>
      </c>
      <c r="S1613">
        <v>34.3</v>
      </c>
      <c r="T1613">
        <v>0.53</v>
      </c>
      <c r="U1613" t="s">
        <v>44</v>
      </c>
    </row>
    <row r="1614" spans="1:21">
      <c r="A1614" t="str">
        <f>"300140"</f>
        <v>300140</v>
      </c>
      <c r="B1614" t="s">
        <v>3310</v>
      </c>
      <c r="C1614">
        <v>0.3</v>
      </c>
      <c r="D1614">
        <v>6.72</v>
      </c>
      <c r="E1614">
        <v>0.02</v>
      </c>
      <c r="F1614">
        <v>6.71</v>
      </c>
      <c r="G1614">
        <v>6.72</v>
      </c>
      <c r="H1614">
        <v>66374</v>
      </c>
      <c r="I1614">
        <v>1681</v>
      </c>
      <c r="J1614">
        <v>0.15</v>
      </c>
      <c r="K1614">
        <v>1.72</v>
      </c>
      <c r="L1614">
        <v>4433.76</v>
      </c>
      <c r="M1614" t="s">
        <v>301</v>
      </c>
      <c r="N1614" t="s">
        <v>33</v>
      </c>
      <c r="O1614">
        <v>6.73</v>
      </c>
      <c r="P1614">
        <v>6.76</v>
      </c>
      <c r="Q1614">
        <v>6.61</v>
      </c>
      <c r="R1614">
        <v>6.7</v>
      </c>
      <c r="S1614" t="s">
        <v>40</v>
      </c>
      <c r="T1614">
        <v>0.79</v>
      </c>
      <c r="U1614" t="s">
        <v>317</v>
      </c>
    </row>
    <row r="1615" spans="1:21">
      <c r="A1615" t="str">
        <f>"300141"</f>
        <v>300141</v>
      </c>
      <c r="B1615" t="s">
        <v>3311</v>
      </c>
      <c r="C1615">
        <v>-1.86</v>
      </c>
      <c r="D1615">
        <v>16.35</v>
      </c>
      <c r="E1615">
        <v>-0.31</v>
      </c>
      <c r="F1615">
        <v>16.35</v>
      </c>
      <c r="G1615">
        <v>16.36</v>
      </c>
      <c r="H1615">
        <v>181886</v>
      </c>
      <c r="I1615">
        <v>2876</v>
      </c>
      <c r="J1615">
        <v>-0.17</v>
      </c>
      <c r="K1615">
        <v>9.84</v>
      </c>
      <c r="L1615">
        <v>29611.53</v>
      </c>
      <c r="M1615" t="s">
        <v>912</v>
      </c>
      <c r="N1615" t="s">
        <v>47</v>
      </c>
      <c r="O1615">
        <v>16.42</v>
      </c>
      <c r="P1615">
        <v>16.66</v>
      </c>
      <c r="Q1615">
        <v>15.92</v>
      </c>
      <c r="R1615">
        <v>16.66</v>
      </c>
      <c r="S1615">
        <v>3145.34</v>
      </c>
      <c r="T1615">
        <v>0.66</v>
      </c>
      <c r="U1615" t="s">
        <v>102</v>
      </c>
    </row>
    <row r="1616" spans="1:21">
      <c r="A1616" t="str">
        <f>"300142"</f>
        <v>300142</v>
      </c>
      <c r="B1616" t="s">
        <v>3312</v>
      </c>
      <c r="C1616">
        <v>2.85</v>
      </c>
      <c r="D1616">
        <v>62.39</v>
      </c>
      <c r="E1616">
        <v>1.73</v>
      </c>
      <c r="F1616">
        <v>62.38</v>
      </c>
      <c r="G1616">
        <v>62.39</v>
      </c>
      <c r="H1616">
        <v>368282</v>
      </c>
      <c r="I1616">
        <v>4667</v>
      </c>
      <c r="J1616">
        <v>0.1</v>
      </c>
      <c r="K1616">
        <v>2.41</v>
      </c>
      <c r="L1616">
        <v>226905.5</v>
      </c>
      <c r="M1616" t="s">
        <v>3313</v>
      </c>
      <c r="N1616" t="s">
        <v>231</v>
      </c>
      <c r="O1616">
        <v>61.33</v>
      </c>
      <c r="P1616">
        <v>62.54</v>
      </c>
      <c r="Q1616">
        <v>59.9</v>
      </c>
      <c r="R1616">
        <v>60.66</v>
      </c>
      <c r="S1616">
        <v>203.1</v>
      </c>
      <c r="T1616">
        <v>0.62</v>
      </c>
      <c r="U1616" t="s">
        <v>363</v>
      </c>
    </row>
    <row r="1617" spans="1:21">
      <c r="A1617" t="str">
        <f>"300143"</f>
        <v>300143</v>
      </c>
      <c r="B1617" t="s">
        <v>3314</v>
      </c>
      <c r="C1617">
        <v>-0.95</v>
      </c>
      <c r="D1617">
        <v>15.7</v>
      </c>
      <c r="E1617">
        <v>-0.15</v>
      </c>
      <c r="F1617">
        <v>15.7</v>
      </c>
      <c r="G1617">
        <v>15.71</v>
      </c>
      <c r="H1617">
        <v>62243</v>
      </c>
      <c r="I1617">
        <v>970</v>
      </c>
      <c r="J1617">
        <v>-0.18</v>
      </c>
      <c r="K1617">
        <v>1.14</v>
      </c>
      <c r="L1617">
        <v>9842</v>
      </c>
      <c r="M1617" t="s">
        <v>3315</v>
      </c>
      <c r="N1617" t="s">
        <v>186</v>
      </c>
      <c r="O1617">
        <v>15.78</v>
      </c>
      <c r="P1617">
        <v>16.1</v>
      </c>
      <c r="Q1617">
        <v>15.59</v>
      </c>
      <c r="R1617">
        <v>15.85</v>
      </c>
      <c r="S1617">
        <v>75.36</v>
      </c>
      <c r="T1617">
        <v>0.57</v>
      </c>
      <c r="U1617" t="s">
        <v>221</v>
      </c>
    </row>
    <row r="1618" spans="1:21">
      <c r="A1618" t="str">
        <f>"300144"</f>
        <v>300144</v>
      </c>
      <c r="B1618" t="s">
        <v>3316</v>
      </c>
      <c r="C1618">
        <v>-1.04</v>
      </c>
      <c r="D1618">
        <v>14.32</v>
      </c>
      <c r="E1618">
        <v>-0.15</v>
      </c>
      <c r="F1618">
        <v>14.31</v>
      </c>
      <c r="G1618">
        <v>14.32</v>
      </c>
      <c r="H1618">
        <v>191175</v>
      </c>
      <c r="I1618">
        <v>1903</v>
      </c>
      <c r="J1618">
        <v>0.14</v>
      </c>
      <c r="K1618">
        <v>0.84</v>
      </c>
      <c r="L1618">
        <v>27410.51</v>
      </c>
      <c r="M1618" t="s">
        <v>3317</v>
      </c>
      <c r="N1618" t="s">
        <v>162</v>
      </c>
      <c r="O1618">
        <v>14.5</v>
      </c>
      <c r="P1618">
        <v>14.58</v>
      </c>
      <c r="Q1618">
        <v>14.25</v>
      </c>
      <c r="R1618">
        <v>14.47</v>
      </c>
      <c r="S1618">
        <v>64.93</v>
      </c>
      <c r="T1618">
        <v>0.71</v>
      </c>
      <c r="U1618" t="s">
        <v>200</v>
      </c>
    </row>
    <row r="1619" spans="1:21">
      <c r="A1619" t="str">
        <f>"300145"</f>
        <v>300145</v>
      </c>
      <c r="B1619" t="s">
        <v>3318</v>
      </c>
      <c r="C1619">
        <v>0.32</v>
      </c>
      <c r="D1619">
        <v>3.11</v>
      </c>
      <c r="E1619">
        <v>0.01</v>
      </c>
      <c r="F1619">
        <v>3.11</v>
      </c>
      <c r="G1619">
        <v>3.12</v>
      </c>
      <c r="H1619">
        <v>247731</v>
      </c>
      <c r="I1619">
        <v>2856</v>
      </c>
      <c r="J1619">
        <v>-0.31</v>
      </c>
      <c r="K1619">
        <v>1.43</v>
      </c>
      <c r="L1619">
        <v>7681.94</v>
      </c>
      <c r="M1619" t="s">
        <v>3319</v>
      </c>
      <c r="N1619" t="s">
        <v>324</v>
      </c>
      <c r="O1619">
        <v>3.09</v>
      </c>
      <c r="P1619">
        <v>3.13</v>
      </c>
      <c r="Q1619">
        <v>3.07</v>
      </c>
      <c r="R1619">
        <v>3.1</v>
      </c>
      <c r="S1619">
        <v>28.41</v>
      </c>
      <c r="T1619">
        <v>0.9</v>
      </c>
      <c r="U1619" t="s">
        <v>200</v>
      </c>
    </row>
    <row r="1620" spans="1:21">
      <c r="A1620" t="str">
        <f>"300146"</f>
        <v>300146</v>
      </c>
      <c r="B1620" t="s">
        <v>3320</v>
      </c>
      <c r="C1620">
        <v>0.87</v>
      </c>
      <c r="D1620">
        <v>24.24</v>
      </c>
      <c r="E1620">
        <v>0.21</v>
      </c>
      <c r="F1620">
        <v>24.24</v>
      </c>
      <c r="G1620">
        <v>24.25</v>
      </c>
      <c r="H1620">
        <v>73768</v>
      </c>
      <c r="I1620">
        <v>891</v>
      </c>
      <c r="J1620">
        <v>-0.03</v>
      </c>
      <c r="K1620">
        <v>0.73</v>
      </c>
      <c r="L1620">
        <v>17856.43</v>
      </c>
      <c r="M1620" t="s">
        <v>3321</v>
      </c>
      <c r="N1620" t="s">
        <v>186</v>
      </c>
      <c r="O1620">
        <v>24</v>
      </c>
      <c r="P1620">
        <v>24.5</v>
      </c>
      <c r="Q1620">
        <v>23.68</v>
      </c>
      <c r="R1620">
        <v>24.03</v>
      </c>
      <c r="S1620">
        <v>18.59</v>
      </c>
      <c r="T1620">
        <v>0.9</v>
      </c>
      <c r="U1620" t="s">
        <v>183</v>
      </c>
    </row>
    <row r="1621" spans="1:21">
      <c r="A1621" t="str">
        <f>"300147"</f>
        <v>300147</v>
      </c>
      <c r="B1621" t="s">
        <v>3322</v>
      </c>
      <c r="C1621">
        <v>1.6</v>
      </c>
      <c r="D1621">
        <v>6.35</v>
      </c>
      <c r="E1621">
        <v>0.1</v>
      </c>
      <c r="F1621">
        <v>6.35</v>
      </c>
      <c r="G1621">
        <v>6.36</v>
      </c>
      <c r="H1621">
        <v>63083</v>
      </c>
      <c r="I1621">
        <v>587</v>
      </c>
      <c r="J1621">
        <v>-0.15</v>
      </c>
      <c r="K1621">
        <v>0.97</v>
      </c>
      <c r="L1621">
        <v>3965.78</v>
      </c>
      <c r="M1621" t="s">
        <v>3323</v>
      </c>
      <c r="N1621" t="s">
        <v>270</v>
      </c>
      <c r="O1621">
        <v>6.26</v>
      </c>
      <c r="P1621">
        <v>6.39</v>
      </c>
      <c r="Q1621">
        <v>6.19</v>
      </c>
      <c r="R1621">
        <v>6.25</v>
      </c>
      <c r="S1621">
        <v>186.44</v>
      </c>
      <c r="T1621">
        <v>0.94</v>
      </c>
      <c r="U1621" t="s">
        <v>183</v>
      </c>
    </row>
    <row r="1622" spans="1:21">
      <c r="A1622" t="str">
        <f>"300148"</f>
        <v>300148</v>
      </c>
      <c r="B1622" t="s">
        <v>3324</v>
      </c>
      <c r="C1622">
        <v>1.83</v>
      </c>
      <c r="D1622">
        <v>4.46</v>
      </c>
      <c r="E1622">
        <v>0.08</v>
      </c>
      <c r="F1622">
        <v>4.46</v>
      </c>
      <c r="G1622">
        <v>4.47</v>
      </c>
      <c r="H1622">
        <v>1181397</v>
      </c>
      <c r="I1622">
        <v>29375</v>
      </c>
      <c r="J1622">
        <v>-0.44</v>
      </c>
      <c r="K1622">
        <v>15.51</v>
      </c>
      <c r="L1622">
        <v>52337.5</v>
      </c>
      <c r="M1622" t="s">
        <v>3325</v>
      </c>
      <c r="N1622" t="s">
        <v>479</v>
      </c>
      <c r="O1622">
        <v>4.39</v>
      </c>
      <c r="P1622">
        <v>4.53</v>
      </c>
      <c r="Q1622">
        <v>4.32</v>
      </c>
      <c r="R1622">
        <v>4.38</v>
      </c>
      <c r="S1622">
        <v>72.96</v>
      </c>
      <c r="T1622">
        <v>0.78</v>
      </c>
      <c r="U1622" t="s">
        <v>204</v>
      </c>
    </row>
    <row r="1623" spans="1:21">
      <c r="A1623" t="str">
        <f>"300149"</f>
        <v>300149</v>
      </c>
      <c r="B1623" t="s">
        <v>3326</v>
      </c>
      <c r="C1623">
        <v>0.71</v>
      </c>
      <c r="D1623">
        <v>14.22</v>
      </c>
      <c r="E1623">
        <v>0.1</v>
      </c>
      <c r="F1623">
        <v>14.17</v>
      </c>
      <c r="G1623">
        <v>14.22</v>
      </c>
      <c r="H1623">
        <v>16624</v>
      </c>
      <c r="I1623">
        <v>1050</v>
      </c>
      <c r="J1623">
        <v>0.42</v>
      </c>
      <c r="K1623">
        <v>0.36</v>
      </c>
      <c r="L1623">
        <v>2347.18</v>
      </c>
      <c r="M1623" t="s">
        <v>3327</v>
      </c>
      <c r="N1623" t="s">
        <v>231</v>
      </c>
      <c r="O1623">
        <v>14.1</v>
      </c>
      <c r="P1623">
        <v>14.22</v>
      </c>
      <c r="Q1623">
        <v>14</v>
      </c>
      <c r="R1623">
        <v>14.12</v>
      </c>
      <c r="S1623">
        <v>359.34</v>
      </c>
      <c r="T1623">
        <v>0.49</v>
      </c>
      <c r="U1623" t="s">
        <v>183</v>
      </c>
    </row>
    <row r="1624" spans="1:21">
      <c r="A1624" t="str">
        <f>"300150"</f>
        <v>300150</v>
      </c>
      <c r="B1624" t="s">
        <v>3328</v>
      </c>
      <c r="C1624">
        <v>0.88</v>
      </c>
      <c r="D1624">
        <v>4.56</v>
      </c>
      <c r="E1624">
        <v>0.04</v>
      </c>
      <c r="F1624">
        <v>4.56</v>
      </c>
      <c r="G1624">
        <v>4.57</v>
      </c>
      <c r="H1624">
        <v>73086</v>
      </c>
      <c r="I1624">
        <v>801</v>
      </c>
      <c r="J1624">
        <v>-0.21</v>
      </c>
      <c r="K1624">
        <v>1.43</v>
      </c>
      <c r="L1624">
        <v>3306.51</v>
      </c>
      <c r="M1624" t="s">
        <v>3329</v>
      </c>
      <c r="N1624" t="s">
        <v>30</v>
      </c>
      <c r="O1624">
        <v>4.52</v>
      </c>
      <c r="P1624">
        <v>4.59</v>
      </c>
      <c r="Q1624">
        <v>4.44</v>
      </c>
      <c r="R1624">
        <v>4.52</v>
      </c>
      <c r="S1624" t="s">
        <v>40</v>
      </c>
      <c r="T1624">
        <v>0.78</v>
      </c>
      <c r="U1624" t="s">
        <v>44</v>
      </c>
    </row>
    <row r="1625" spans="1:21">
      <c r="A1625" t="str">
        <f>"300151"</f>
        <v>300151</v>
      </c>
      <c r="B1625" t="s">
        <v>3330</v>
      </c>
      <c r="C1625">
        <v>1.8</v>
      </c>
      <c r="D1625">
        <v>37.8</v>
      </c>
      <c r="E1625">
        <v>0.67</v>
      </c>
      <c r="F1625">
        <v>37.8</v>
      </c>
      <c r="G1625">
        <v>37.81</v>
      </c>
      <c r="H1625">
        <v>25211</v>
      </c>
      <c r="I1625">
        <v>364</v>
      </c>
      <c r="J1625">
        <v>-0.02</v>
      </c>
      <c r="K1625">
        <v>0.8</v>
      </c>
      <c r="L1625">
        <v>9498.02</v>
      </c>
      <c r="M1625" t="s">
        <v>3331</v>
      </c>
      <c r="N1625" t="s">
        <v>347</v>
      </c>
      <c r="O1625">
        <v>36.99</v>
      </c>
      <c r="P1625">
        <v>38.25</v>
      </c>
      <c r="Q1625">
        <v>36.72</v>
      </c>
      <c r="R1625">
        <v>37.13</v>
      </c>
      <c r="S1625">
        <v>155.87</v>
      </c>
      <c r="T1625">
        <v>0.62</v>
      </c>
      <c r="U1625" t="s">
        <v>24</v>
      </c>
    </row>
    <row r="1626" spans="1:21">
      <c r="A1626" t="str">
        <f>"300152"</f>
        <v>300152</v>
      </c>
      <c r="B1626" t="s">
        <v>3332</v>
      </c>
      <c r="C1626">
        <v>4.72</v>
      </c>
      <c r="D1626">
        <v>4.66</v>
      </c>
      <c r="E1626">
        <v>0.21</v>
      </c>
      <c r="F1626">
        <v>4.65</v>
      </c>
      <c r="G1626">
        <v>4.66</v>
      </c>
      <c r="H1626">
        <v>1137549</v>
      </c>
      <c r="I1626">
        <v>10268</v>
      </c>
      <c r="J1626">
        <v>-0.2</v>
      </c>
      <c r="K1626">
        <v>15.97</v>
      </c>
      <c r="L1626">
        <v>51960.52</v>
      </c>
      <c r="M1626" t="s">
        <v>3333</v>
      </c>
      <c r="N1626" t="s">
        <v>33</v>
      </c>
      <c r="O1626">
        <v>4.37</v>
      </c>
      <c r="P1626">
        <v>4.82</v>
      </c>
      <c r="Q1626">
        <v>4.21</v>
      </c>
      <c r="R1626">
        <v>4.45</v>
      </c>
      <c r="S1626" t="s">
        <v>40</v>
      </c>
      <c r="T1626">
        <v>1.73</v>
      </c>
      <c r="U1626" t="s">
        <v>207</v>
      </c>
    </row>
    <row r="1627" spans="1:21">
      <c r="A1627" t="str">
        <f>"300153"</f>
        <v>300153</v>
      </c>
      <c r="B1627" t="s">
        <v>3334</v>
      </c>
      <c r="C1627">
        <v>-0.16</v>
      </c>
      <c r="D1627">
        <v>12.6</v>
      </c>
      <c r="E1627">
        <v>-0.02</v>
      </c>
      <c r="F1627">
        <v>12.6</v>
      </c>
      <c r="G1627">
        <v>12.61</v>
      </c>
      <c r="H1627">
        <v>177164</v>
      </c>
      <c r="I1627">
        <v>3519</v>
      </c>
      <c r="J1627">
        <v>-0.07</v>
      </c>
      <c r="K1627">
        <v>5.58</v>
      </c>
      <c r="L1627">
        <v>22100.47</v>
      </c>
      <c r="M1627" t="s">
        <v>3335</v>
      </c>
      <c r="N1627" t="s">
        <v>47</v>
      </c>
      <c r="O1627">
        <v>12.39</v>
      </c>
      <c r="P1627">
        <v>12.74</v>
      </c>
      <c r="Q1627">
        <v>12.23</v>
      </c>
      <c r="R1627">
        <v>12.62</v>
      </c>
      <c r="S1627">
        <v>242.75</v>
      </c>
      <c r="T1627">
        <v>0.92</v>
      </c>
      <c r="U1627" t="s">
        <v>848</v>
      </c>
    </row>
    <row r="1628" spans="1:21">
      <c r="A1628" t="str">
        <f>"300154"</f>
        <v>300154</v>
      </c>
      <c r="B1628" t="s">
        <v>3336</v>
      </c>
      <c r="C1628">
        <v>1.26</v>
      </c>
      <c r="D1628">
        <v>6.41</v>
      </c>
      <c r="E1628">
        <v>0.08</v>
      </c>
      <c r="F1628">
        <v>6.4</v>
      </c>
      <c r="G1628">
        <v>6.41</v>
      </c>
      <c r="H1628">
        <v>23676</v>
      </c>
      <c r="I1628">
        <v>292</v>
      </c>
      <c r="J1628">
        <v>-0.3</v>
      </c>
      <c r="K1628">
        <v>0.74</v>
      </c>
      <c r="L1628">
        <v>1509.23</v>
      </c>
      <c r="M1628" t="s">
        <v>3337</v>
      </c>
      <c r="N1628" t="s">
        <v>347</v>
      </c>
      <c r="O1628">
        <v>6.3</v>
      </c>
      <c r="P1628">
        <v>6.44</v>
      </c>
      <c r="Q1628">
        <v>6.27</v>
      </c>
      <c r="R1628">
        <v>6.33</v>
      </c>
      <c r="S1628">
        <v>27.56</v>
      </c>
      <c r="T1628">
        <v>0.75</v>
      </c>
      <c r="U1628" t="s">
        <v>24</v>
      </c>
    </row>
    <row r="1629" spans="1:21">
      <c r="A1629" t="str">
        <f>"300155"</f>
        <v>300155</v>
      </c>
      <c r="B1629" t="s">
        <v>3338</v>
      </c>
      <c r="C1629">
        <v>1.22</v>
      </c>
      <c r="D1629">
        <v>6.66</v>
      </c>
      <c r="E1629">
        <v>0.08</v>
      </c>
      <c r="F1629">
        <v>6.65</v>
      </c>
      <c r="G1629">
        <v>6.66</v>
      </c>
      <c r="H1629">
        <v>33245</v>
      </c>
      <c r="I1629">
        <v>425</v>
      </c>
      <c r="J1629">
        <v>-0.14</v>
      </c>
      <c r="K1629">
        <v>1.16</v>
      </c>
      <c r="L1629">
        <v>2209.76</v>
      </c>
      <c r="M1629" t="s">
        <v>3339</v>
      </c>
      <c r="N1629" t="s">
        <v>69</v>
      </c>
      <c r="O1629">
        <v>6.57</v>
      </c>
      <c r="P1629">
        <v>6.71</v>
      </c>
      <c r="Q1629">
        <v>6.53</v>
      </c>
      <c r="R1629">
        <v>6.58</v>
      </c>
      <c r="S1629">
        <v>59.99</v>
      </c>
      <c r="T1629">
        <v>0.75</v>
      </c>
      <c r="U1629" t="s">
        <v>183</v>
      </c>
    </row>
    <row r="1630" spans="1:21">
      <c r="A1630" t="str">
        <f>"300157"</f>
        <v>300157</v>
      </c>
      <c r="B1630" t="s">
        <v>3340</v>
      </c>
      <c r="C1630">
        <v>4.28</v>
      </c>
      <c r="D1630">
        <v>4.63</v>
      </c>
      <c r="E1630">
        <v>0.19</v>
      </c>
      <c r="F1630">
        <v>4.62</v>
      </c>
      <c r="G1630">
        <v>4.63</v>
      </c>
      <c r="H1630">
        <v>298737</v>
      </c>
      <c r="I1630">
        <v>3658</v>
      </c>
      <c r="J1630">
        <v>0.22</v>
      </c>
      <c r="K1630">
        <v>4.22</v>
      </c>
      <c r="L1630">
        <v>13719.01</v>
      </c>
      <c r="M1630" t="s">
        <v>3341</v>
      </c>
      <c r="N1630" t="s">
        <v>996</v>
      </c>
      <c r="O1630">
        <v>4.4</v>
      </c>
      <c r="P1630">
        <v>4.86</v>
      </c>
      <c r="Q1630">
        <v>4.3</v>
      </c>
      <c r="R1630">
        <v>4.44</v>
      </c>
      <c r="S1630" t="s">
        <v>40</v>
      </c>
      <c r="T1630">
        <v>2.12</v>
      </c>
      <c r="U1630" t="s">
        <v>44</v>
      </c>
    </row>
    <row r="1631" spans="1:21">
      <c r="A1631" t="str">
        <f>"300158"</f>
        <v>300158</v>
      </c>
      <c r="B1631" t="s">
        <v>3342</v>
      </c>
      <c r="C1631">
        <v>-0.14</v>
      </c>
      <c r="D1631">
        <v>7.14</v>
      </c>
      <c r="E1631">
        <v>-0.01</v>
      </c>
      <c r="F1631">
        <v>7.14</v>
      </c>
      <c r="G1631">
        <v>7.15</v>
      </c>
      <c r="H1631">
        <v>215072</v>
      </c>
      <c r="I1631">
        <v>2721</v>
      </c>
      <c r="J1631">
        <v>0.14</v>
      </c>
      <c r="K1631">
        <v>2.12</v>
      </c>
      <c r="L1631">
        <v>15371.09</v>
      </c>
      <c r="M1631" t="s">
        <v>3343</v>
      </c>
      <c r="N1631" t="s">
        <v>192</v>
      </c>
      <c r="O1631">
        <v>7.11</v>
      </c>
      <c r="P1631">
        <v>7.23</v>
      </c>
      <c r="Q1631">
        <v>7.06</v>
      </c>
      <c r="R1631">
        <v>7.15</v>
      </c>
      <c r="S1631">
        <v>17.03</v>
      </c>
      <c r="T1631">
        <v>0.71</v>
      </c>
      <c r="U1631" t="s">
        <v>232</v>
      </c>
    </row>
    <row r="1632" spans="1:21">
      <c r="A1632" t="str">
        <f>"300159"</f>
        <v>300159</v>
      </c>
      <c r="B1632" t="s">
        <v>3344</v>
      </c>
      <c r="C1632">
        <v>-1.85</v>
      </c>
      <c r="D1632">
        <v>4.77</v>
      </c>
      <c r="E1632">
        <v>-0.09</v>
      </c>
      <c r="F1632">
        <v>4.77</v>
      </c>
      <c r="G1632">
        <v>4.78</v>
      </c>
      <c r="H1632">
        <v>813016</v>
      </c>
      <c r="I1632">
        <v>12691</v>
      </c>
      <c r="J1632">
        <v>0</v>
      </c>
      <c r="K1632">
        <v>5.72</v>
      </c>
      <c r="L1632">
        <v>38830.63</v>
      </c>
      <c r="M1632" t="s">
        <v>357</v>
      </c>
      <c r="N1632" t="s">
        <v>611</v>
      </c>
      <c r="O1632">
        <v>4.82</v>
      </c>
      <c r="P1632">
        <v>4.84</v>
      </c>
      <c r="Q1632">
        <v>4.73</v>
      </c>
      <c r="R1632">
        <v>4.86</v>
      </c>
      <c r="S1632" t="s">
        <v>40</v>
      </c>
      <c r="T1632">
        <v>0.66</v>
      </c>
      <c r="U1632" t="s">
        <v>210</v>
      </c>
    </row>
    <row r="1633" spans="1:21">
      <c r="A1633" t="str">
        <f>"300160"</f>
        <v>300160</v>
      </c>
      <c r="B1633" t="s">
        <v>3345</v>
      </c>
      <c r="C1633">
        <v>2.34</v>
      </c>
      <c r="D1633">
        <v>8.32</v>
      </c>
      <c r="E1633">
        <v>0.19</v>
      </c>
      <c r="F1633">
        <v>8.31</v>
      </c>
      <c r="G1633">
        <v>8.32</v>
      </c>
      <c r="H1633">
        <v>241199</v>
      </c>
      <c r="I1633">
        <v>3961</v>
      </c>
      <c r="J1633">
        <v>0.12</v>
      </c>
      <c r="K1633">
        <v>4.07</v>
      </c>
      <c r="L1633">
        <v>19895.14</v>
      </c>
      <c r="M1633" t="s">
        <v>3346</v>
      </c>
      <c r="N1633" t="s">
        <v>55</v>
      </c>
      <c r="O1633">
        <v>8.18</v>
      </c>
      <c r="P1633">
        <v>8.47</v>
      </c>
      <c r="Q1633">
        <v>8.04</v>
      </c>
      <c r="R1633">
        <v>8.13</v>
      </c>
      <c r="S1633">
        <v>39.04</v>
      </c>
      <c r="T1633">
        <v>0.61</v>
      </c>
      <c r="U1633" t="s">
        <v>102</v>
      </c>
    </row>
    <row r="1634" spans="1:21">
      <c r="A1634" t="str">
        <f>"300161"</f>
        <v>300161</v>
      </c>
      <c r="B1634" t="s">
        <v>3347</v>
      </c>
      <c r="C1634">
        <v>2.13</v>
      </c>
      <c r="D1634">
        <v>25.91</v>
      </c>
      <c r="E1634">
        <v>0.54</v>
      </c>
      <c r="F1634">
        <v>25.91</v>
      </c>
      <c r="G1634">
        <v>25.92</v>
      </c>
      <c r="H1634">
        <v>83481</v>
      </c>
      <c r="I1634">
        <v>1137</v>
      </c>
      <c r="J1634">
        <v>-0.07</v>
      </c>
      <c r="K1634">
        <v>4.97</v>
      </c>
      <c r="L1634">
        <v>21464.63</v>
      </c>
      <c r="M1634" t="s">
        <v>3348</v>
      </c>
      <c r="N1634" t="s">
        <v>247</v>
      </c>
      <c r="O1634">
        <v>25.18</v>
      </c>
      <c r="P1634">
        <v>26.15</v>
      </c>
      <c r="Q1634">
        <v>24.98</v>
      </c>
      <c r="R1634">
        <v>25.37</v>
      </c>
      <c r="S1634" t="s">
        <v>40</v>
      </c>
      <c r="T1634">
        <v>1.16</v>
      </c>
      <c r="U1634" t="s">
        <v>267</v>
      </c>
    </row>
    <row r="1635" spans="1:21">
      <c r="A1635" t="str">
        <f>"300162"</f>
        <v>300162</v>
      </c>
      <c r="B1635" t="s">
        <v>3349</v>
      </c>
      <c r="C1635">
        <v>-1.04</v>
      </c>
      <c r="D1635">
        <v>12.41</v>
      </c>
      <c r="E1635">
        <v>-0.13</v>
      </c>
      <c r="F1635">
        <v>12.41</v>
      </c>
      <c r="G1635">
        <v>12.42</v>
      </c>
      <c r="H1635">
        <v>268548</v>
      </c>
      <c r="I1635">
        <v>2388</v>
      </c>
      <c r="J1635">
        <v>-0.07</v>
      </c>
      <c r="K1635">
        <v>10.17</v>
      </c>
      <c r="L1635">
        <v>32636.7</v>
      </c>
      <c r="M1635" t="s">
        <v>3350</v>
      </c>
      <c r="N1635" t="s">
        <v>69</v>
      </c>
      <c r="O1635">
        <v>12.17</v>
      </c>
      <c r="P1635">
        <v>12.48</v>
      </c>
      <c r="Q1635">
        <v>11.81</v>
      </c>
      <c r="R1635">
        <v>12.54</v>
      </c>
      <c r="S1635">
        <v>72.12</v>
      </c>
      <c r="T1635">
        <v>0.94</v>
      </c>
      <c r="U1635" t="s">
        <v>24</v>
      </c>
    </row>
    <row r="1636" spans="1:21">
      <c r="A1636" t="str">
        <f>"300163"</f>
        <v>300163</v>
      </c>
      <c r="B1636" t="s">
        <v>3351</v>
      </c>
      <c r="C1636">
        <v>1.11</v>
      </c>
      <c r="D1636">
        <v>3.63</v>
      </c>
      <c r="E1636">
        <v>0.04</v>
      </c>
      <c r="F1636">
        <v>3.62</v>
      </c>
      <c r="G1636">
        <v>3.63</v>
      </c>
      <c r="H1636">
        <v>108940</v>
      </c>
      <c r="I1636">
        <v>1405</v>
      </c>
      <c r="J1636">
        <v>0</v>
      </c>
      <c r="K1636">
        <v>2.3</v>
      </c>
      <c r="L1636">
        <v>3917.83</v>
      </c>
      <c r="M1636" t="s">
        <v>3352</v>
      </c>
      <c r="N1636" t="s">
        <v>131</v>
      </c>
      <c r="O1636">
        <v>3.6</v>
      </c>
      <c r="P1636">
        <v>3.65</v>
      </c>
      <c r="Q1636">
        <v>3.54</v>
      </c>
      <c r="R1636">
        <v>3.59</v>
      </c>
      <c r="S1636">
        <v>222.23</v>
      </c>
      <c r="T1636">
        <v>0.84</v>
      </c>
      <c r="U1636" t="s">
        <v>200</v>
      </c>
    </row>
    <row r="1637" spans="1:21">
      <c r="A1637" t="str">
        <f>"300164"</f>
        <v>300164</v>
      </c>
      <c r="B1637" t="s">
        <v>3353</v>
      </c>
      <c r="C1637">
        <v>3.28</v>
      </c>
      <c r="D1637">
        <v>4.72</v>
      </c>
      <c r="E1637">
        <v>0.15</v>
      </c>
      <c r="F1637">
        <v>4.71</v>
      </c>
      <c r="G1637">
        <v>4.72</v>
      </c>
      <c r="H1637">
        <v>307024</v>
      </c>
      <c r="I1637">
        <v>5144</v>
      </c>
      <c r="J1637">
        <v>-0.2</v>
      </c>
      <c r="K1637">
        <v>6.88</v>
      </c>
      <c r="L1637">
        <v>14356.35</v>
      </c>
      <c r="M1637" t="s">
        <v>3354</v>
      </c>
      <c r="N1637" t="s">
        <v>996</v>
      </c>
      <c r="O1637">
        <v>4.58</v>
      </c>
      <c r="P1637">
        <v>4.74</v>
      </c>
      <c r="Q1637">
        <v>4.52</v>
      </c>
      <c r="R1637">
        <v>4.57</v>
      </c>
      <c r="S1637">
        <v>117.98</v>
      </c>
      <c r="T1637">
        <v>0.98</v>
      </c>
      <c r="U1637" t="s">
        <v>317</v>
      </c>
    </row>
    <row r="1638" spans="1:21">
      <c r="A1638" t="str">
        <f>"300165"</f>
        <v>300165</v>
      </c>
      <c r="B1638" t="s">
        <v>3355</v>
      </c>
      <c r="C1638">
        <v>0.88</v>
      </c>
      <c r="D1638">
        <v>4.58</v>
      </c>
      <c r="E1638">
        <v>0.04</v>
      </c>
      <c r="F1638">
        <v>4.58</v>
      </c>
      <c r="G1638">
        <v>4.59</v>
      </c>
      <c r="H1638">
        <v>42874</v>
      </c>
      <c r="I1638">
        <v>865</v>
      </c>
      <c r="J1638">
        <v>-0.21</v>
      </c>
      <c r="K1638">
        <v>1.23</v>
      </c>
      <c r="L1638">
        <v>1958.46</v>
      </c>
      <c r="M1638" t="s">
        <v>2584</v>
      </c>
      <c r="N1638" t="s">
        <v>1028</v>
      </c>
      <c r="O1638">
        <v>4.54</v>
      </c>
      <c r="P1638">
        <v>4.62</v>
      </c>
      <c r="Q1638">
        <v>4.5</v>
      </c>
      <c r="R1638">
        <v>4.54</v>
      </c>
      <c r="S1638">
        <v>413.15</v>
      </c>
      <c r="T1638">
        <v>0.79</v>
      </c>
      <c r="U1638" t="s">
        <v>102</v>
      </c>
    </row>
    <row r="1639" spans="1:21">
      <c r="A1639" t="str">
        <f>"300166"</f>
        <v>300166</v>
      </c>
      <c r="B1639" t="s">
        <v>3356</v>
      </c>
      <c r="C1639">
        <v>10.27</v>
      </c>
      <c r="D1639">
        <v>10.84</v>
      </c>
      <c r="E1639">
        <v>1.01</v>
      </c>
      <c r="F1639">
        <v>10.83</v>
      </c>
      <c r="G1639">
        <v>10.84</v>
      </c>
      <c r="H1639">
        <v>1062835</v>
      </c>
      <c r="I1639">
        <v>9189</v>
      </c>
      <c r="J1639">
        <v>0.37</v>
      </c>
      <c r="K1639">
        <v>12.99</v>
      </c>
      <c r="L1639">
        <v>117054.21</v>
      </c>
      <c r="M1639" t="s">
        <v>3357</v>
      </c>
      <c r="N1639" t="s">
        <v>30</v>
      </c>
      <c r="O1639">
        <v>10.13</v>
      </c>
      <c r="P1639">
        <v>11.8</v>
      </c>
      <c r="Q1639">
        <v>10.11</v>
      </c>
      <c r="R1639">
        <v>9.83</v>
      </c>
      <c r="S1639">
        <v>44.38</v>
      </c>
      <c r="T1639">
        <v>4.3</v>
      </c>
      <c r="U1639" t="s">
        <v>44</v>
      </c>
    </row>
    <row r="1640" spans="1:21">
      <c r="A1640" t="str">
        <f>"300167"</f>
        <v>300167</v>
      </c>
      <c r="B1640" t="s">
        <v>3358</v>
      </c>
      <c r="C1640">
        <v>0.83</v>
      </c>
      <c r="D1640">
        <v>6.05</v>
      </c>
      <c r="E1640">
        <v>0.05</v>
      </c>
      <c r="F1640">
        <v>6.04</v>
      </c>
      <c r="G1640">
        <v>6.05</v>
      </c>
      <c r="H1640">
        <v>48149</v>
      </c>
      <c r="I1640">
        <v>185</v>
      </c>
      <c r="J1640">
        <v>0.17</v>
      </c>
      <c r="K1640">
        <v>1.6</v>
      </c>
      <c r="L1640">
        <v>2906.54</v>
      </c>
      <c r="M1640" t="s">
        <v>3359</v>
      </c>
      <c r="N1640" t="s">
        <v>30</v>
      </c>
      <c r="O1640">
        <v>6.05</v>
      </c>
      <c r="P1640">
        <v>6.12</v>
      </c>
      <c r="Q1640">
        <v>5.95</v>
      </c>
      <c r="R1640">
        <v>6</v>
      </c>
      <c r="S1640" t="s">
        <v>40</v>
      </c>
      <c r="T1640">
        <v>0.66</v>
      </c>
      <c r="U1640" t="s">
        <v>24</v>
      </c>
    </row>
    <row r="1641" spans="1:21">
      <c r="A1641" t="str">
        <f>"300168"</f>
        <v>300168</v>
      </c>
      <c r="B1641" t="s">
        <v>3360</v>
      </c>
      <c r="C1641">
        <v>0.61</v>
      </c>
      <c r="D1641">
        <v>11.6</v>
      </c>
      <c r="E1641">
        <v>0.07</v>
      </c>
      <c r="F1641">
        <v>11.59</v>
      </c>
      <c r="G1641">
        <v>11.6</v>
      </c>
      <c r="H1641">
        <v>89152</v>
      </c>
      <c r="I1641">
        <v>1646</v>
      </c>
      <c r="J1641">
        <v>0.09</v>
      </c>
      <c r="K1641">
        <v>0.75</v>
      </c>
      <c r="L1641">
        <v>10300.02</v>
      </c>
      <c r="M1641" t="s">
        <v>3361</v>
      </c>
      <c r="N1641" t="s">
        <v>30</v>
      </c>
      <c r="O1641">
        <v>11.42</v>
      </c>
      <c r="P1641">
        <v>11.64</v>
      </c>
      <c r="Q1641">
        <v>11.42</v>
      </c>
      <c r="R1641">
        <v>11.53</v>
      </c>
      <c r="S1641">
        <v>280.87</v>
      </c>
      <c r="T1641">
        <v>0.9</v>
      </c>
      <c r="U1641" t="s">
        <v>848</v>
      </c>
    </row>
    <row r="1642" spans="1:21">
      <c r="A1642" t="str">
        <f>"300169"</f>
        <v>300169</v>
      </c>
      <c r="B1642" t="s">
        <v>3362</v>
      </c>
      <c r="C1642">
        <v>1.4</v>
      </c>
      <c r="D1642">
        <v>7.22</v>
      </c>
      <c r="E1642">
        <v>0.1</v>
      </c>
      <c r="F1642">
        <v>7.21</v>
      </c>
      <c r="G1642">
        <v>7.22</v>
      </c>
      <c r="H1642">
        <v>89948</v>
      </c>
      <c r="I1642">
        <v>472</v>
      </c>
      <c r="J1642">
        <v>0.28</v>
      </c>
      <c r="K1642">
        <v>3</v>
      </c>
      <c r="L1642">
        <v>6540.23</v>
      </c>
      <c r="M1642" t="s">
        <v>3363</v>
      </c>
      <c r="N1642" t="s">
        <v>839</v>
      </c>
      <c r="O1642">
        <v>7.19</v>
      </c>
      <c r="P1642">
        <v>7.45</v>
      </c>
      <c r="Q1642">
        <v>7.08</v>
      </c>
      <c r="R1642">
        <v>7.12</v>
      </c>
      <c r="S1642">
        <v>521.52</v>
      </c>
      <c r="T1642">
        <v>2.22</v>
      </c>
      <c r="U1642" t="s">
        <v>102</v>
      </c>
    </row>
    <row r="1643" spans="1:21">
      <c r="A1643" t="str">
        <f>"300170"</f>
        <v>300170</v>
      </c>
      <c r="B1643" t="s">
        <v>3364</v>
      </c>
      <c r="C1643">
        <v>-1.82</v>
      </c>
      <c r="D1643">
        <v>8.11</v>
      </c>
      <c r="E1643">
        <v>-0.15</v>
      </c>
      <c r="F1643">
        <v>8.1</v>
      </c>
      <c r="G1643">
        <v>8.11</v>
      </c>
      <c r="H1643">
        <v>306311</v>
      </c>
      <c r="I1643">
        <v>3157</v>
      </c>
      <c r="J1643">
        <v>0.25</v>
      </c>
      <c r="K1643">
        <v>3.82</v>
      </c>
      <c r="L1643">
        <v>24924.66</v>
      </c>
      <c r="M1643" t="s">
        <v>3365</v>
      </c>
      <c r="N1643" t="s">
        <v>30</v>
      </c>
      <c r="O1643">
        <v>8.34</v>
      </c>
      <c r="P1643">
        <v>8.37</v>
      </c>
      <c r="Q1643">
        <v>8.03</v>
      </c>
      <c r="R1643">
        <v>8.26</v>
      </c>
      <c r="S1643">
        <v>2661.49</v>
      </c>
      <c r="T1643">
        <v>0.68</v>
      </c>
      <c r="U1643" t="s">
        <v>848</v>
      </c>
    </row>
    <row r="1644" spans="1:21">
      <c r="A1644" t="str">
        <f>"300171"</f>
        <v>300171</v>
      </c>
      <c r="B1644" t="s">
        <v>3366</v>
      </c>
      <c r="C1644">
        <v>-1.9</v>
      </c>
      <c r="D1644">
        <v>51.72</v>
      </c>
      <c r="E1644">
        <v>-1</v>
      </c>
      <c r="F1644">
        <v>51.72</v>
      </c>
      <c r="G1644">
        <v>51.75</v>
      </c>
      <c r="H1644">
        <v>51038</v>
      </c>
      <c r="I1644">
        <v>458</v>
      </c>
      <c r="J1644">
        <v>-0.03</v>
      </c>
      <c r="K1644">
        <v>1.19</v>
      </c>
      <c r="L1644">
        <v>26458.49</v>
      </c>
      <c r="M1644" t="s">
        <v>3367</v>
      </c>
      <c r="N1644" t="s">
        <v>186</v>
      </c>
      <c r="O1644">
        <v>52.69</v>
      </c>
      <c r="P1644">
        <v>53.27</v>
      </c>
      <c r="Q1644">
        <v>51</v>
      </c>
      <c r="R1644">
        <v>52.72</v>
      </c>
      <c r="S1644">
        <v>43.67</v>
      </c>
      <c r="T1644">
        <v>0.89</v>
      </c>
      <c r="U1644" t="s">
        <v>848</v>
      </c>
    </row>
    <row r="1645" spans="1:21">
      <c r="A1645" t="str">
        <f>"300172"</f>
        <v>300172</v>
      </c>
      <c r="B1645" t="s">
        <v>3368</v>
      </c>
      <c r="C1645">
        <v>0.19</v>
      </c>
      <c r="D1645">
        <v>5.2</v>
      </c>
      <c r="E1645">
        <v>0.01</v>
      </c>
      <c r="F1645">
        <v>5.19</v>
      </c>
      <c r="G1645">
        <v>5.2</v>
      </c>
      <c r="H1645">
        <v>238001</v>
      </c>
      <c r="I1645">
        <v>3877</v>
      </c>
      <c r="J1645">
        <v>0</v>
      </c>
      <c r="K1645">
        <v>4.8</v>
      </c>
      <c r="L1645">
        <v>12310.97</v>
      </c>
      <c r="M1645" t="s">
        <v>3369</v>
      </c>
      <c r="N1645" t="s">
        <v>33</v>
      </c>
      <c r="O1645">
        <v>5.15</v>
      </c>
      <c r="P1645">
        <v>5.24</v>
      </c>
      <c r="Q1645">
        <v>5.08</v>
      </c>
      <c r="R1645">
        <v>5.19</v>
      </c>
      <c r="S1645">
        <v>33.27</v>
      </c>
      <c r="T1645">
        <v>1.27</v>
      </c>
      <c r="U1645" t="s">
        <v>102</v>
      </c>
    </row>
    <row r="1646" spans="1:21">
      <c r="A1646" t="str">
        <f>"300173"</f>
        <v>300173</v>
      </c>
      <c r="B1646" t="s">
        <v>3370</v>
      </c>
      <c r="C1646">
        <v>-0.55</v>
      </c>
      <c r="D1646">
        <v>7.28</v>
      </c>
      <c r="E1646">
        <v>-0.04</v>
      </c>
      <c r="F1646">
        <v>7.28</v>
      </c>
      <c r="G1646">
        <v>7.29</v>
      </c>
      <c r="H1646">
        <v>185477</v>
      </c>
      <c r="I1646">
        <v>3226</v>
      </c>
      <c r="J1646">
        <v>0.14</v>
      </c>
      <c r="K1646">
        <v>2.8</v>
      </c>
      <c r="L1646">
        <v>13393.74</v>
      </c>
      <c r="M1646" t="s">
        <v>3371</v>
      </c>
      <c r="N1646" t="s">
        <v>111</v>
      </c>
      <c r="O1646">
        <v>7.24</v>
      </c>
      <c r="P1646">
        <v>7.34</v>
      </c>
      <c r="Q1646">
        <v>7.12</v>
      </c>
      <c r="R1646">
        <v>7.32</v>
      </c>
      <c r="S1646">
        <v>210.33</v>
      </c>
      <c r="T1646">
        <v>0.69</v>
      </c>
      <c r="U1646" t="s">
        <v>183</v>
      </c>
    </row>
    <row r="1647" spans="1:21">
      <c r="A1647" t="str">
        <f>"300174"</f>
        <v>300174</v>
      </c>
      <c r="B1647" t="s">
        <v>3372</v>
      </c>
      <c r="C1647">
        <v>2.02</v>
      </c>
      <c r="D1647">
        <v>17.19</v>
      </c>
      <c r="E1647">
        <v>0.34</v>
      </c>
      <c r="F1647">
        <v>17.19</v>
      </c>
      <c r="G1647">
        <v>17.2</v>
      </c>
      <c r="H1647">
        <v>128186</v>
      </c>
      <c r="I1647">
        <v>1244</v>
      </c>
      <c r="J1647">
        <v>0.12</v>
      </c>
      <c r="K1647">
        <v>4.14</v>
      </c>
      <c r="L1647">
        <v>22135.57</v>
      </c>
      <c r="M1647" t="s">
        <v>3373</v>
      </c>
      <c r="N1647" t="s">
        <v>309</v>
      </c>
      <c r="O1647">
        <v>16.78</v>
      </c>
      <c r="P1647">
        <v>17.59</v>
      </c>
      <c r="Q1647">
        <v>16.75</v>
      </c>
      <c r="R1647">
        <v>16.85</v>
      </c>
      <c r="S1647">
        <v>41.96</v>
      </c>
      <c r="T1647">
        <v>0.95</v>
      </c>
      <c r="U1647" t="s">
        <v>339</v>
      </c>
    </row>
    <row r="1648" spans="1:21">
      <c r="A1648" t="str">
        <f>"300175"</f>
        <v>300175</v>
      </c>
      <c r="B1648" t="s">
        <v>3374</v>
      </c>
      <c r="C1648">
        <v>-0.83</v>
      </c>
      <c r="D1648">
        <v>4.77</v>
      </c>
      <c r="E1648">
        <v>-0.04</v>
      </c>
      <c r="F1648">
        <v>4.76</v>
      </c>
      <c r="G1648">
        <v>4.77</v>
      </c>
      <c r="H1648">
        <v>85206</v>
      </c>
      <c r="I1648">
        <v>862</v>
      </c>
      <c r="J1648">
        <v>0.21</v>
      </c>
      <c r="K1648">
        <v>1.81</v>
      </c>
      <c r="L1648">
        <v>4055.93</v>
      </c>
      <c r="M1648" t="s">
        <v>608</v>
      </c>
      <c r="N1648" t="s">
        <v>299</v>
      </c>
      <c r="O1648">
        <v>4.83</v>
      </c>
      <c r="P1648">
        <v>4.87</v>
      </c>
      <c r="Q1648">
        <v>4.7</v>
      </c>
      <c r="R1648">
        <v>4.81</v>
      </c>
      <c r="S1648" t="s">
        <v>40</v>
      </c>
      <c r="T1648">
        <v>0.71</v>
      </c>
      <c r="U1648" t="s">
        <v>221</v>
      </c>
    </row>
    <row r="1649" spans="1:21">
      <c r="A1649" t="str">
        <f>"300176"</f>
        <v>300176</v>
      </c>
      <c r="B1649" t="s">
        <v>3375</v>
      </c>
      <c r="C1649">
        <v>4.45</v>
      </c>
      <c r="D1649">
        <v>6.57</v>
      </c>
      <c r="E1649">
        <v>0.28</v>
      </c>
      <c r="F1649">
        <v>6.56</v>
      </c>
      <c r="G1649">
        <v>6.57</v>
      </c>
      <c r="H1649">
        <v>71320</v>
      </c>
      <c r="I1649">
        <v>3882</v>
      </c>
      <c r="J1649">
        <v>0.61</v>
      </c>
      <c r="K1649">
        <v>1.9</v>
      </c>
      <c r="L1649">
        <v>4600.73</v>
      </c>
      <c r="M1649" t="s">
        <v>3376</v>
      </c>
      <c r="N1649" t="s">
        <v>91</v>
      </c>
      <c r="O1649">
        <v>6.29</v>
      </c>
      <c r="P1649">
        <v>6.57</v>
      </c>
      <c r="Q1649">
        <v>6.18</v>
      </c>
      <c r="R1649">
        <v>6.29</v>
      </c>
      <c r="S1649" t="s">
        <v>40</v>
      </c>
      <c r="T1649">
        <v>1.4</v>
      </c>
      <c r="U1649" t="s">
        <v>183</v>
      </c>
    </row>
    <row r="1650" spans="1:21">
      <c r="A1650" t="str">
        <f>"300177"</f>
        <v>300177</v>
      </c>
      <c r="B1650" t="s">
        <v>3377</v>
      </c>
      <c r="C1650">
        <v>1.85</v>
      </c>
      <c r="D1650">
        <v>8.8</v>
      </c>
      <c r="E1650">
        <v>0.16</v>
      </c>
      <c r="F1650">
        <v>8.8</v>
      </c>
      <c r="G1650">
        <v>8.81</v>
      </c>
      <c r="H1650">
        <v>209245</v>
      </c>
      <c r="I1650">
        <v>2059</v>
      </c>
      <c r="J1650">
        <v>-0.1</v>
      </c>
      <c r="K1650">
        <v>3.55</v>
      </c>
      <c r="L1650">
        <v>18503.36</v>
      </c>
      <c r="M1650" t="s">
        <v>3378</v>
      </c>
      <c r="N1650" t="s">
        <v>153</v>
      </c>
      <c r="O1650">
        <v>8.68</v>
      </c>
      <c r="P1650">
        <v>8.95</v>
      </c>
      <c r="Q1650">
        <v>8.62</v>
      </c>
      <c r="R1650">
        <v>8.64</v>
      </c>
      <c r="S1650">
        <v>105.02</v>
      </c>
      <c r="T1650">
        <v>0.79</v>
      </c>
      <c r="U1650" t="s">
        <v>183</v>
      </c>
    </row>
    <row r="1651" spans="1:21">
      <c r="A1651" t="str">
        <f>"300178"</f>
        <v>300178</v>
      </c>
      <c r="B1651" t="s">
        <v>3379</v>
      </c>
      <c r="C1651">
        <v>4.28</v>
      </c>
      <c r="D1651">
        <v>2.68</v>
      </c>
      <c r="E1651">
        <v>0.11</v>
      </c>
      <c r="F1651">
        <v>2.67</v>
      </c>
      <c r="G1651">
        <v>2.68</v>
      </c>
      <c r="H1651">
        <v>130546</v>
      </c>
      <c r="I1651">
        <v>2713</v>
      </c>
      <c r="J1651">
        <v>1.52</v>
      </c>
      <c r="K1651">
        <v>2.22</v>
      </c>
      <c r="L1651">
        <v>3438.7</v>
      </c>
      <c r="M1651" t="s">
        <v>3380</v>
      </c>
      <c r="N1651" t="s">
        <v>489</v>
      </c>
      <c r="O1651">
        <v>2.56</v>
      </c>
      <c r="P1651">
        <v>2.74</v>
      </c>
      <c r="Q1651">
        <v>2.53</v>
      </c>
      <c r="R1651">
        <v>2.57</v>
      </c>
      <c r="S1651" t="s">
        <v>40</v>
      </c>
      <c r="T1651">
        <v>1.95</v>
      </c>
      <c r="U1651" t="s">
        <v>24</v>
      </c>
    </row>
    <row r="1652" spans="1:21">
      <c r="A1652" t="str">
        <f>"300179"</f>
        <v>300179</v>
      </c>
      <c r="B1652" t="s">
        <v>3381</v>
      </c>
      <c r="C1652">
        <v>2.67</v>
      </c>
      <c r="D1652">
        <v>12.68</v>
      </c>
      <c r="E1652">
        <v>0.33</v>
      </c>
      <c r="F1652">
        <v>12.67</v>
      </c>
      <c r="G1652">
        <v>12.68</v>
      </c>
      <c r="H1652">
        <v>528194</v>
      </c>
      <c r="I1652">
        <v>8104</v>
      </c>
      <c r="J1652">
        <v>-0.3</v>
      </c>
      <c r="K1652">
        <v>16.04</v>
      </c>
      <c r="L1652">
        <v>66555.78</v>
      </c>
      <c r="M1652" t="s">
        <v>3382</v>
      </c>
      <c r="N1652" t="s">
        <v>750</v>
      </c>
      <c r="O1652">
        <v>12.31</v>
      </c>
      <c r="P1652">
        <v>13.1</v>
      </c>
      <c r="Q1652">
        <v>12.01</v>
      </c>
      <c r="R1652">
        <v>12.35</v>
      </c>
      <c r="S1652">
        <v>65.72</v>
      </c>
      <c r="T1652">
        <v>0.8</v>
      </c>
      <c r="U1652" t="s">
        <v>224</v>
      </c>
    </row>
    <row r="1653" spans="1:21">
      <c r="A1653" t="str">
        <f>"300180"</f>
        <v>300180</v>
      </c>
      <c r="B1653" t="s">
        <v>3383</v>
      </c>
      <c r="C1653">
        <v>1.44</v>
      </c>
      <c r="D1653">
        <v>4.93</v>
      </c>
      <c r="E1653">
        <v>0.07</v>
      </c>
      <c r="F1653">
        <v>4.92</v>
      </c>
      <c r="G1653">
        <v>4.93</v>
      </c>
      <c r="H1653">
        <v>167339</v>
      </c>
      <c r="I1653">
        <v>1291</v>
      </c>
      <c r="J1653">
        <v>0.2</v>
      </c>
      <c r="K1653">
        <v>1.18</v>
      </c>
      <c r="L1653">
        <v>8205.98</v>
      </c>
      <c r="M1653" t="s">
        <v>372</v>
      </c>
      <c r="N1653" t="s">
        <v>216</v>
      </c>
      <c r="O1653">
        <v>4.89</v>
      </c>
      <c r="P1653">
        <v>4.96</v>
      </c>
      <c r="Q1653">
        <v>4.84</v>
      </c>
      <c r="R1653">
        <v>4.86</v>
      </c>
      <c r="S1653">
        <v>41.61</v>
      </c>
      <c r="T1653">
        <v>1.14</v>
      </c>
      <c r="U1653" t="s">
        <v>848</v>
      </c>
    </row>
    <row r="1654" spans="1:21">
      <c r="A1654" t="str">
        <f>"300181"</f>
        <v>300181</v>
      </c>
      <c r="B1654" t="s">
        <v>3384</v>
      </c>
      <c r="C1654">
        <v>2.03</v>
      </c>
      <c r="D1654">
        <v>8.05</v>
      </c>
      <c r="E1654">
        <v>0.16</v>
      </c>
      <c r="F1654">
        <v>8.05</v>
      </c>
      <c r="G1654">
        <v>8.06</v>
      </c>
      <c r="H1654">
        <v>88238</v>
      </c>
      <c r="I1654">
        <v>1383</v>
      </c>
      <c r="J1654">
        <v>0.12</v>
      </c>
      <c r="K1654">
        <v>1.79</v>
      </c>
      <c r="L1654">
        <v>7052.89</v>
      </c>
      <c r="M1654" t="s">
        <v>3385</v>
      </c>
      <c r="N1654" t="s">
        <v>270</v>
      </c>
      <c r="O1654">
        <v>7.89</v>
      </c>
      <c r="P1654">
        <v>8.08</v>
      </c>
      <c r="Q1654">
        <v>7.84</v>
      </c>
      <c r="R1654">
        <v>7.89</v>
      </c>
      <c r="S1654">
        <v>27.94</v>
      </c>
      <c r="T1654">
        <v>1.16</v>
      </c>
      <c r="U1654" t="s">
        <v>200</v>
      </c>
    </row>
    <row r="1655" spans="1:21">
      <c r="A1655" t="str">
        <f>"300182"</f>
        <v>300182</v>
      </c>
      <c r="B1655" t="s">
        <v>3386</v>
      </c>
      <c r="C1655">
        <v>2.21</v>
      </c>
      <c r="D1655">
        <v>5.08</v>
      </c>
      <c r="E1655">
        <v>0.11</v>
      </c>
      <c r="F1655">
        <v>5.08</v>
      </c>
      <c r="G1655">
        <v>5.09</v>
      </c>
      <c r="H1655">
        <v>1951762</v>
      </c>
      <c r="I1655">
        <v>21608</v>
      </c>
      <c r="J1655">
        <v>-0.19</v>
      </c>
      <c r="K1655">
        <v>9.33</v>
      </c>
      <c r="L1655">
        <v>98969.59</v>
      </c>
      <c r="M1655" t="s">
        <v>3387</v>
      </c>
      <c r="N1655" t="s">
        <v>199</v>
      </c>
      <c r="O1655">
        <v>4.9</v>
      </c>
      <c r="P1655">
        <v>5.28</v>
      </c>
      <c r="Q1655">
        <v>4.84</v>
      </c>
      <c r="R1655">
        <v>4.97</v>
      </c>
      <c r="S1655">
        <v>24.91</v>
      </c>
      <c r="T1655">
        <v>1.22</v>
      </c>
      <c r="U1655" t="s">
        <v>44</v>
      </c>
    </row>
    <row r="1656" spans="1:21">
      <c r="A1656" t="str">
        <f>"300183"</f>
        <v>300183</v>
      </c>
      <c r="B1656" t="s">
        <v>3388</v>
      </c>
      <c r="C1656">
        <v>-0.6</v>
      </c>
      <c r="D1656">
        <v>19.78</v>
      </c>
      <c r="E1656">
        <v>-0.12</v>
      </c>
      <c r="F1656">
        <v>19.77</v>
      </c>
      <c r="G1656">
        <v>19.78</v>
      </c>
      <c r="H1656">
        <v>152417</v>
      </c>
      <c r="I1656">
        <v>1876</v>
      </c>
      <c r="J1656">
        <v>-0.09</v>
      </c>
      <c r="K1656">
        <v>5.12</v>
      </c>
      <c r="L1656">
        <v>30761.12</v>
      </c>
      <c r="M1656" t="s">
        <v>3389</v>
      </c>
      <c r="N1656" t="s">
        <v>153</v>
      </c>
      <c r="O1656">
        <v>19.88</v>
      </c>
      <c r="P1656">
        <v>20.64</v>
      </c>
      <c r="Q1656">
        <v>19.78</v>
      </c>
      <c r="R1656">
        <v>19.9</v>
      </c>
      <c r="S1656">
        <v>100.01</v>
      </c>
      <c r="T1656">
        <v>1.25</v>
      </c>
      <c r="U1656" t="s">
        <v>221</v>
      </c>
    </row>
    <row r="1657" spans="1:21">
      <c r="A1657" t="str">
        <f>"300184"</f>
        <v>300184</v>
      </c>
      <c r="B1657" t="s">
        <v>3390</v>
      </c>
      <c r="C1657">
        <v>0.45</v>
      </c>
      <c r="D1657">
        <v>6.71</v>
      </c>
      <c r="E1657">
        <v>0.03</v>
      </c>
      <c r="F1657">
        <v>6.7</v>
      </c>
      <c r="G1657">
        <v>6.71</v>
      </c>
      <c r="H1657">
        <v>794142</v>
      </c>
      <c r="I1657">
        <v>10884</v>
      </c>
      <c r="J1657">
        <v>0.15</v>
      </c>
      <c r="K1657">
        <v>7.99</v>
      </c>
      <c r="L1657">
        <v>52988.85</v>
      </c>
      <c r="M1657" t="s">
        <v>3391</v>
      </c>
      <c r="N1657" t="s">
        <v>189</v>
      </c>
      <c r="O1657">
        <v>6.68</v>
      </c>
      <c r="P1657">
        <v>6.77</v>
      </c>
      <c r="Q1657">
        <v>6.54</v>
      </c>
      <c r="R1657">
        <v>6.68</v>
      </c>
      <c r="S1657">
        <v>22.45</v>
      </c>
      <c r="T1657">
        <v>0.59</v>
      </c>
      <c r="U1657" t="s">
        <v>267</v>
      </c>
    </row>
    <row r="1658" spans="1:21">
      <c r="A1658" t="str">
        <f>"300185"</f>
        <v>300185</v>
      </c>
      <c r="B1658" t="s">
        <v>3392</v>
      </c>
      <c r="C1658">
        <v>5.21</v>
      </c>
      <c r="D1658">
        <v>3.84</v>
      </c>
      <c r="E1658">
        <v>0.19</v>
      </c>
      <c r="F1658">
        <v>3.83</v>
      </c>
      <c r="G1658">
        <v>3.84</v>
      </c>
      <c r="H1658">
        <v>3206244</v>
      </c>
      <c r="I1658">
        <v>36060</v>
      </c>
      <c r="J1658">
        <v>0.52</v>
      </c>
      <c r="K1658">
        <v>10.46</v>
      </c>
      <c r="L1658">
        <v>122018.36</v>
      </c>
      <c r="M1658" t="s">
        <v>3393</v>
      </c>
      <c r="N1658" t="s">
        <v>203</v>
      </c>
      <c r="O1658">
        <v>3.66</v>
      </c>
      <c r="P1658">
        <v>3.88</v>
      </c>
      <c r="Q1658">
        <v>3.65</v>
      </c>
      <c r="R1658">
        <v>3.65</v>
      </c>
      <c r="S1658">
        <v>42.77</v>
      </c>
      <c r="T1658">
        <v>2.41</v>
      </c>
      <c r="U1658" t="s">
        <v>221</v>
      </c>
    </row>
    <row r="1659" spans="1:21">
      <c r="A1659" t="str">
        <f>"300187"</f>
        <v>300187</v>
      </c>
      <c r="B1659" t="s">
        <v>3394</v>
      </c>
      <c r="C1659">
        <v>-0.87</v>
      </c>
      <c r="D1659">
        <v>7.99</v>
      </c>
      <c r="E1659">
        <v>-0.07</v>
      </c>
      <c r="F1659">
        <v>7.98</v>
      </c>
      <c r="G1659">
        <v>7.99</v>
      </c>
      <c r="H1659">
        <v>100722</v>
      </c>
      <c r="I1659">
        <v>2222</v>
      </c>
      <c r="J1659">
        <v>-0.11</v>
      </c>
      <c r="K1659">
        <v>1.56</v>
      </c>
      <c r="L1659">
        <v>7983.69</v>
      </c>
      <c r="M1659" t="s">
        <v>3395</v>
      </c>
      <c r="N1659" t="s">
        <v>33</v>
      </c>
      <c r="O1659">
        <v>8.05</v>
      </c>
      <c r="P1659">
        <v>8.07</v>
      </c>
      <c r="Q1659">
        <v>7.81</v>
      </c>
      <c r="R1659">
        <v>8.06</v>
      </c>
      <c r="S1659">
        <v>73.42</v>
      </c>
      <c r="T1659">
        <v>0.73</v>
      </c>
      <c r="U1659" t="s">
        <v>204</v>
      </c>
    </row>
    <row r="1660" spans="1:21">
      <c r="A1660" t="str">
        <f>"300188"</f>
        <v>300188</v>
      </c>
      <c r="B1660" t="s">
        <v>3396</v>
      </c>
      <c r="C1660">
        <v>0</v>
      </c>
      <c r="D1660">
        <v>16.15</v>
      </c>
      <c r="E1660">
        <v>0</v>
      </c>
      <c r="F1660">
        <v>16.15</v>
      </c>
      <c r="G1660">
        <v>16.16</v>
      </c>
      <c r="H1660">
        <v>58700</v>
      </c>
      <c r="I1660">
        <v>1752</v>
      </c>
      <c r="J1660">
        <v>0</v>
      </c>
      <c r="K1660">
        <v>0.97</v>
      </c>
      <c r="L1660">
        <v>9521.87</v>
      </c>
      <c r="M1660" t="s">
        <v>3397</v>
      </c>
      <c r="N1660" t="s">
        <v>30</v>
      </c>
      <c r="O1660">
        <v>16.32</v>
      </c>
      <c r="P1660">
        <v>16.38</v>
      </c>
      <c r="Q1660">
        <v>16.13</v>
      </c>
      <c r="R1660">
        <v>16.15</v>
      </c>
      <c r="S1660">
        <v>292.83</v>
      </c>
      <c r="T1660">
        <v>0.83</v>
      </c>
      <c r="U1660" t="s">
        <v>339</v>
      </c>
    </row>
    <row r="1661" spans="1:21">
      <c r="A1661" t="str">
        <f>"300189"</f>
        <v>300189</v>
      </c>
      <c r="B1661" t="s">
        <v>3398</v>
      </c>
      <c r="C1661">
        <v>-0.21</v>
      </c>
      <c r="D1661">
        <v>4.69</v>
      </c>
      <c r="E1661">
        <v>-0.01</v>
      </c>
      <c r="F1661">
        <v>4.69</v>
      </c>
      <c r="G1661">
        <v>4.7</v>
      </c>
      <c r="H1661">
        <v>184901</v>
      </c>
      <c r="I1661">
        <v>2474</v>
      </c>
      <c r="J1661">
        <v>0.43</v>
      </c>
      <c r="K1661">
        <v>1.92</v>
      </c>
      <c r="L1661">
        <v>8635.9</v>
      </c>
      <c r="M1661" t="s">
        <v>3399</v>
      </c>
      <c r="N1661" t="s">
        <v>639</v>
      </c>
      <c r="O1661">
        <v>4.68</v>
      </c>
      <c r="P1661">
        <v>4.71</v>
      </c>
      <c r="Q1661">
        <v>4.62</v>
      </c>
      <c r="R1661">
        <v>4.7</v>
      </c>
      <c r="S1661" t="s">
        <v>40</v>
      </c>
      <c r="T1661">
        <v>0.39</v>
      </c>
      <c r="U1661" t="s">
        <v>294</v>
      </c>
    </row>
    <row r="1662" spans="1:21">
      <c r="A1662" t="str">
        <f>"300190"</f>
        <v>300190</v>
      </c>
      <c r="B1662" t="s">
        <v>3400</v>
      </c>
      <c r="C1662">
        <v>0</v>
      </c>
      <c r="D1662">
        <v>5.98</v>
      </c>
      <c r="E1662">
        <v>0</v>
      </c>
      <c r="F1662">
        <v>5.97</v>
      </c>
      <c r="G1662">
        <v>5.98</v>
      </c>
      <c r="H1662">
        <v>79237</v>
      </c>
      <c r="I1662">
        <v>811</v>
      </c>
      <c r="J1662">
        <v>0</v>
      </c>
      <c r="K1662">
        <v>1.04</v>
      </c>
      <c r="L1662">
        <v>4681.87</v>
      </c>
      <c r="M1662" t="s">
        <v>409</v>
      </c>
      <c r="N1662" t="s">
        <v>33</v>
      </c>
      <c r="O1662">
        <v>6.01</v>
      </c>
      <c r="P1662">
        <v>6.01</v>
      </c>
      <c r="Q1662">
        <v>5.84</v>
      </c>
      <c r="R1662">
        <v>5.98</v>
      </c>
      <c r="S1662">
        <v>20.7</v>
      </c>
      <c r="T1662">
        <v>0.72</v>
      </c>
      <c r="U1662" t="s">
        <v>102</v>
      </c>
    </row>
    <row r="1663" spans="1:21">
      <c r="A1663" t="str">
        <f>"300191"</f>
        <v>300191</v>
      </c>
      <c r="B1663" t="s">
        <v>3401</v>
      </c>
      <c r="C1663">
        <v>5.09</v>
      </c>
      <c r="D1663">
        <v>24.34</v>
      </c>
      <c r="E1663">
        <v>1.18</v>
      </c>
      <c r="F1663">
        <v>24.33</v>
      </c>
      <c r="G1663">
        <v>24.34</v>
      </c>
      <c r="H1663">
        <v>130878</v>
      </c>
      <c r="I1663">
        <v>2164</v>
      </c>
      <c r="J1663">
        <v>-0.11</v>
      </c>
      <c r="K1663">
        <v>6.32</v>
      </c>
      <c r="L1663">
        <v>31737.13</v>
      </c>
      <c r="M1663" t="s">
        <v>3402</v>
      </c>
      <c r="N1663" t="s">
        <v>996</v>
      </c>
      <c r="O1663">
        <v>23.1</v>
      </c>
      <c r="P1663">
        <v>24.99</v>
      </c>
      <c r="Q1663">
        <v>22.91</v>
      </c>
      <c r="R1663">
        <v>23.16</v>
      </c>
      <c r="S1663">
        <v>226.7</v>
      </c>
      <c r="T1663">
        <v>1.79</v>
      </c>
      <c r="U1663" t="s">
        <v>44</v>
      </c>
    </row>
    <row r="1664" spans="1:21">
      <c r="A1664" t="str">
        <f>"300192"</f>
        <v>300192</v>
      </c>
      <c r="B1664" t="s">
        <v>3403</v>
      </c>
      <c r="C1664">
        <v>0</v>
      </c>
      <c r="D1664">
        <v>7.44</v>
      </c>
      <c r="E1664">
        <v>0</v>
      </c>
      <c r="F1664">
        <v>7.44</v>
      </c>
      <c r="G1664">
        <v>7.45</v>
      </c>
      <c r="H1664">
        <v>61893</v>
      </c>
      <c r="I1664">
        <v>1334</v>
      </c>
      <c r="J1664">
        <v>-0.12</v>
      </c>
      <c r="K1664">
        <v>2.88</v>
      </c>
      <c r="L1664">
        <v>4596.19</v>
      </c>
      <c r="M1664" t="s">
        <v>3404</v>
      </c>
      <c r="N1664" t="s">
        <v>63</v>
      </c>
      <c r="O1664">
        <v>7.39</v>
      </c>
      <c r="P1664">
        <v>7.5</v>
      </c>
      <c r="Q1664">
        <v>7.36</v>
      </c>
      <c r="R1664">
        <v>7.44</v>
      </c>
      <c r="S1664">
        <v>26.96</v>
      </c>
      <c r="T1664">
        <v>0.55</v>
      </c>
      <c r="U1664" t="s">
        <v>102</v>
      </c>
    </row>
    <row r="1665" spans="1:21">
      <c r="A1665" t="str">
        <f>"300193"</f>
        <v>300193</v>
      </c>
      <c r="B1665" t="s">
        <v>3405</v>
      </c>
      <c r="C1665">
        <v>0.08</v>
      </c>
      <c r="D1665">
        <v>12.96</v>
      </c>
      <c r="E1665">
        <v>0.01</v>
      </c>
      <c r="F1665">
        <v>12.96</v>
      </c>
      <c r="G1665">
        <v>12.97</v>
      </c>
      <c r="H1665">
        <v>59783</v>
      </c>
      <c r="I1665">
        <v>696</v>
      </c>
      <c r="J1665">
        <v>0.54</v>
      </c>
      <c r="K1665">
        <v>1.39</v>
      </c>
      <c r="L1665">
        <v>7773.52</v>
      </c>
      <c r="M1665" t="s">
        <v>77</v>
      </c>
      <c r="N1665" t="s">
        <v>324</v>
      </c>
      <c r="O1665">
        <v>12.95</v>
      </c>
      <c r="P1665">
        <v>13.17</v>
      </c>
      <c r="Q1665">
        <v>12.81</v>
      </c>
      <c r="R1665">
        <v>12.95</v>
      </c>
      <c r="S1665">
        <v>25.44</v>
      </c>
      <c r="T1665">
        <v>0.86</v>
      </c>
      <c r="U1665" t="s">
        <v>24</v>
      </c>
    </row>
    <row r="1666" spans="1:21">
      <c r="A1666" t="str">
        <f>"300194"</f>
        <v>300194</v>
      </c>
      <c r="B1666" t="s">
        <v>3406</v>
      </c>
      <c r="C1666">
        <v>1.22</v>
      </c>
      <c r="D1666">
        <v>4.15</v>
      </c>
      <c r="E1666">
        <v>0.05</v>
      </c>
      <c r="F1666">
        <v>4.14</v>
      </c>
      <c r="G1666">
        <v>4.15</v>
      </c>
      <c r="H1666">
        <v>151098</v>
      </c>
      <c r="I1666">
        <v>1498</v>
      </c>
      <c r="J1666">
        <v>0</v>
      </c>
      <c r="K1666">
        <v>1.6</v>
      </c>
      <c r="L1666">
        <v>6235.77</v>
      </c>
      <c r="M1666" t="s">
        <v>3407</v>
      </c>
      <c r="N1666" t="s">
        <v>192</v>
      </c>
      <c r="O1666">
        <v>4.09</v>
      </c>
      <c r="P1666">
        <v>4.16</v>
      </c>
      <c r="Q1666">
        <v>4.07</v>
      </c>
      <c r="R1666">
        <v>4.1</v>
      </c>
      <c r="S1666">
        <v>20.75</v>
      </c>
      <c r="T1666">
        <v>1.11</v>
      </c>
      <c r="U1666" t="s">
        <v>314</v>
      </c>
    </row>
    <row r="1667" spans="1:21">
      <c r="A1667" t="str">
        <f>"300195"</f>
        <v>300195</v>
      </c>
      <c r="B1667" t="s">
        <v>3408</v>
      </c>
      <c r="C1667">
        <v>-0.45</v>
      </c>
      <c r="D1667">
        <v>6.7</v>
      </c>
      <c r="E1667">
        <v>-0.03</v>
      </c>
      <c r="F1667">
        <v>6.69</v>
      </c>
      <c r="G1667">
        <v>6.7</v>
      </c>
      <c r="H1667">
        <v>190317</v>
      </c>
      <c r="I1667">
        <v>3880</v>
      </c>
      <c r="J1667">
        <v>-0.14</v>
      </c>
      <c r="K1667">
        <v>6.07</v>
      </c>
      <c r="L1667">
        <v>12594.31</v>
      </c>
      <c r="M1667" t="s">
        <v>2586</v>
      </c>
      <c r="N1667" t="s">
        <v>111</v>
      </c>
      <c r="O1667">
        <v>6.63</v>
      </c>
      <c r="P1667">
        <v>6.77</v>
      </c>
      <c r="Q1667">
        <v>6.52</v>
      </c>
      <c r="R1667">
        <v>6.73</v>
      </c>
      <c r="S1667">
        <v>30.89</v>
      </c>
      <c r="T1667">
        <v>1.53</v>
      </c>
      <c r="U1667" t="s">
        <v>360</v>
      </c>
    </row>
    <row r="1668" spans="1:21">
      <c r="A1668" t="str">
        <f>"300196"</f>
        <v>300196</v>
      </c>
      <c r="B1668" t="s">
        <v>3409</v>
      </c>
      <c r="C1668">
        <v>1.2</v>
      </c>
      <c r="D1668">
        <v>18.53</v>
      </c>
      <c r="E1668">
        <v>0.22</v>
      </c>
      <c r="F1668">
        <v>18.52</v>
      </c>
      <c r="G1668">
        <v>18.53</v>
      </c>
      <c r="H1668">
        <v>82223</v>
      </c>
      <c r="I1668">
        <v>922</v>
      </c>
      <c r="J1668">
        <v>0.65</v>
      </c>
      <c r="K1668">
        <v>3.34</v>
      </c>
      <c r="L1668">
        <v>15313.41</v>
      </c>
      <c r="M1668" t="s">
        <v>3410</v>
      </c>
      <c r="N1668" t="s">
        <v>55</v>
      </c>
      <c r="O1668">
        <v>18.3</v>
      </c>
      <c r="P1668">
        <v>19.09</v>
      </c>
      <c r="Q1668">
        <v>18.21</v>
      </c>
      <c r="R1668">
        <v>18.31</v>
      </c>
      <c r="S1668">
        <v>13.5</v>
      </c>
      <c r="T1668">
        <v>1.38</v>
      </c>
      <c r="U1668" t="s">
        <v>102</v>
      </c>
    </row>
    <row r="1669" spans="1:21">
      <c r="A1669" t="str">
        <f>"300197"</f>
        <v>300197</v>
      </c>
      <c r="B1669" t="s">
        <v>3411</v>
      </c>
      <c r="C1669">
        <v>0.36</v>
      </c>
      <c r="D1669">
        <v>2.81</v>
      </c>
      <c r="E1669">
        <v>0.01</v>
      </c>
      <c r="F1669">
        <v>2.81</v>
      </c>
      <c r="G1669">
        <v>2.82</v>
      </c>
      <c r="H1669">
        <v>93302</v>
      </c>
      <c r="I1669">
        <v>360</v>
      </c>
      <c r="J1669">
        <v>-0.34</v>
      </c>
      <c r="K1669">
        <v>0.52</v>
      </c>
      <c r="L1669">
        <v>2619.03</v>
      </c>
      <c r="M1669" t="s">
        <v>3412</v>
      </c>
      <c r="N1669" t="s">
        <v>33</v>
      </c>
      <c r="O1669">
        <v>2.81</v>
      </c>
      <c r="P1669">
        <v>2.82</v>
      </c>
      <c r="Q1669">
        <v>2.79</v>
      </c>
      <c r="R1669">
        <v>2.8</v>
      </c>
      <c r="S1669" t="s">
        <v>40</v>
      </c>
      <c r="T1669">
        <v>0.99</v>
      </c>
      <c r="U1669" t="s">
        <v>24</v>
      </c>
    </row>
    <row r="1670" spans="1:21">
      <c r="A1670" t="str">
        <f>"300198"</f>
        <v>300198</v>
      </c>
      <c r="B1670" t="s">
        <v>3413</v>
      </c>
      <c r="C1670">
        <v>0</v>
      </c>
      <c r="D1670">
        <v>3.54</v>
      </c>
      <c r="E1670">
        <v>0</v>
      </c>
      <c r="F1670">
        <v>3.53</v>
      </c>
      <c r="G1670">
        <v>3.54</v>
      </c>
      <c r="H1670">
        <v>121667</v>
      </c>
      <c r="I1670">
        <v>1982</v>
      </c>
      <c r="J1670">
        <v>0</v>
      </c>
      <c r="K1670">
        <v>1.4</v>
      </c>
      <c r="L1670">
        <v>4290.23</v>
      </c>
      <c r="M1670" t="s">
        <v>1408</v>
      </c>
      <c r="N1670" t="s">
        <v>839</v>
      </c>
      <c r="O1670">
        <v>3.54</v>
      </c>
      <c r="P1670">
        <v>3.55</v>
      </c>
      <c r="Q1670">
        <v>3.49</v>
      </c>
      <c r="R1670">
        <v>3.54</v>
      </c>
      <c r="S1670" t="s">
        <v>40</v>
      </c>
      <c r="T1670">
        <v>1.07</v>
      </c>
      <c r="U1670" t="s">
        <v>339</v>
      </c>
    </row>
    <row r="1671" spans="1:21">
      <c r="A1671" t="str">
        <f>"300199"</f>
        <v>300199</v>
      </c>
      <c r="B1671" t="s">
        <v>3414</v>
      </c>
      <c r="C1671">
        <v>-3.12</v>
      </c>
      <c r="D1671">
        <v>8.39</v>
      </c>
      <c r="E1671">
        <v>-0.27</v>
      </c>
      <c r="F1671">
        <v>8.39</v>
      </c>
      <c r="G1671">
        <v>8.4</v>
      </c>
      <c r="H1671">
        <v>680009</v>
      </c>
      <c r="I1671">
        <v>15804</v>
      </c>
      <c r="J1671">
        <v>0</v>
      </c>
      <c r="K1671">
        <v>10.8</v>
      </c>
      <c r="L1671">
        <v>57914.75</v>
      </c>
      <c r="M1671" t="s">
        <v>3415</v>
      </c>
      <c r="N1671" t="s">
        <v>192</v>
      </c>
      <c r="O1671">
        <v>8.7</v>
      </c>
      <c r="P1671">
        <v>8.82</v>
      </c>
      <c r="Q1671">
        <v>8.36</v>
      </c>
      <c r="R1671">
        <v>8.66</v>
      </c>
      <c r="S1671" t="s">
        <v>40</v>
      </c>
      <c r="T1671">
        <v>0.82</v>
      </c>
      <c r="U1671" t="s">
        <v>24</v>
      </c>
    </row>
    <row r="1672" spans="1:21">
      <c r="A1672" t="str">
        <f>"300200"</f>
        <v>300200</v>
      </c>
      <c r="B1672" t="s">
        <v>3416</v>
      </c>
      <c r="C1672">
        <v>2.27</v>
      </c>
      <c r="D1672">
        <v>9.91</v>
      </c>
      <c r="E1672">
        <v>0.22</v>
      </c>
      <c r="F1672">
        <v>9.91</v>
      </c>
      <c r="G1672">
        <v>9.92</v>
      </c>
      <c r="H1672">
        <v>61517</v>
      </c>
      <c r="I1672">
        <v>1185</v>
      </c>
      <c r="J1672">
        <v>0.2</v>
      </c>
      <c r="K1672">
        <v>1.48</v>
      </c>
      <c r="L1672">
        <v>6045.11</v>
      </c>
      <c r="M1672" t="s">
        <v>3417</v>
      </c>
      <c r="N1672" t="s">
        <v>309</v>
      </c>
      <c r="O1672">
        <v>9.68</v>
      </c>
      <c r="P1672">
        <v>9.96</v>
      </c>
      <c r="Q1672">
        <v>9.64</v>
      </c>
      <c r="R1672">
        <v>9.69</v>
      </c>
      <c r="S1672">
        <v>21.7</v>
      </c>
      <c r="T1672">
        <v>0.69</v>
      </c>
      <c r="U1672" t="s">
        <v>44</v>
      </c>
    </row>
    <row r="1673" spans="1:21">
      <c r="A1673" t="str">
        <f>"300201"</f>
        <v>300201</v>
      </c>
      <c r="B1673" t="s">
        <v>3418</v>
      </c>
      <c r="C1673">
        <v>0.27</v>
      </c>
      <c r="D1673">
        <v>3.65</v>
      </c>
      <c r="E1673">
        <v>0.01</v>
      </c>
      <c r="F1673">
        <v>3.65</v>
      </c>
      <c r="G1673">
        <v>3.66</v>
      </c>
      <c r="H1673">
        <v>190311</v>
      </c>
      <c r="I1673">
        <v>3122</v>
      </c>
      <c r="J1673">
        <v>-0.26</v>
      </c>
      <c r="K1673">
        <v>2.01</v>
      </c>
      <c r="L1673">
        <v>7006.91</v>
      </c>
      <c r="M1673" t="s">
        <v>2023</v>
      </c>
      <c r="N1673" t="s">
        <v>324</v>
      </c>
      <c r="O1673">
        <v>3.67</v>
      </c>
      <c r="P1673">
        <v>3.74</v>
      </c>
      <c r="Q1673">
        <v>3.62</v>
      </c>
      <c r="R1673">
        <v>3.64</v>
      </c>
      <c r="S1673">
        <v>59.58</v>
      </c>
      <c r="T1673">
        <v>0.75</v>
      </c>
      <c r="U1673" t="s">
        <v>102</v>
      </c>
    </row>
    <row r="1674" spans="1:21">
      <c r="A1674" t="str">
        <f>"300202"</f>
        <v>300202</v>
      </c>
      <c r="B1674" t="s">
        <v>3419</v>
      </c>
      <c r="C1674">
        <v>0</v>
      </c>
      <c r="D1674">
        <v>4.37</v>
      </c>
      <c r="E1674">
        <v>0</v>
      </c>
      <c r="F1674">
        <v>4.37</v>
      </c>
      <c r="G1674">
        <v>4.38</v>
      </c>
      <c r="H1674">
        <v>61025</v>
      </c>
      <c r="I1674">
        <v>328</v>
      </c>
      <c r="J1674">
        <v>0</v>
      </c>
      <c r="K1674">
        <v>1.35</v>
      </c>
      <c r="L1674">
        <v>2673.72</v>
      </c>
      <c r="M1674" t="s">
        <v>3420</v>
      </c>
      <c r="N1674" t="s">
        <v>72</v>
      </c>
      <c r="O1674">
        <v>4.35</v>
      </c>
      <c r="P1674">
        <v>4.42</v>
      </c>
      <c r="Q1674">
        <v>4.35</v>
      </c>
      <c r="R1674">
        <v>4.37</v>
      </c>
      <c r="S1674">
        <v>143.58</v>
      </c>
      <c r="T1674">
        <v>0.83</v>
      </c>
      <c r="U1674" t="s">
        <v>141</v>
      </c>
    </row>
    <row r="1675" spans="1:21">
      <c r="A1675" t="str">
        <f>"300203"</f>
        <v>300203</v>
      </c>
      <c r="B1675" t="s">
        <v>3421</v>
      </c>
      <c r="C1675">
        <v>-0.29</v>
      </c>
      <c r="D1675">
        <v>27.9</v>
      </c>
      <c r="E1675">
        <v>-0.08</v>
      </c>
      <c r="F1675">
        <v>27.89</v>
      </c>
      <c r="G1675">
        <v>27.9</v>
      </c>
      <c r="H1675">
        <v>206325</v>
      </c>
      <c r="I1675">
        <v>951</v>
      </c>
      <c r="J1675">
        <v>0.11</v>
      </c>
      <c r="K1675">
        <v>4.56</v>
      </c>
      <c r="L1675">
        <v>56504.03</v>
      </c>
      <c r="M1675" t="s">
        <v>3422</v>
      </c>
      <c r="N1675" t="s">
        <v>33</v>
      </c>
      <c r="O1675">
        <v>27.07</v>
      </c>
      <c r="P1675">
        <v>28.9</v>
      </c>
      <c r="Q1675">
        <v>26.2</v>
      </c>
      <c r="R1675">
        <v>27.98</v>
      </c>
      <c r="S1675" t="s">
        <v>40</v>
      </c>
      <c r="T1675">
        <v>1.7</v>
      </c>
      <c r="U1675" t="s">
        <v>200</v>
      </c>
    </row>
    <row r="1676" spans="1:21">
      <c r="A1676" t="str">
        <f>"300204"</f>
        <v>300204</v>
      </c>
      <c r="B1676" t="s">
        <v>3423</v>
      </c>
      <c r="C1676">
        <v>2.22</v>
      </c>
      <c r="D1676">
        <v>17.47</v>
      </c>
      <c r="E1676">
        <v>0.38</v>
      </c>
      <c r="F1676">
        <v>17.46</v>
      </c>
      <c r="G1676">
        <v>17.47</v>
      </c>
      <c r="H1676">
        <v>197210</v>
      </c>
      <c r="I1676">
        <v>5588</v>
      </c>
      <c r="J1676">
        <v>-0.22</v>
      </c>
      <c r="K1676">
        <v>4.23</v>
      </c>
      <c r="L1676">
        <v>34092.36</v>
      </c>
      <c r="M1676" t="s">
        <v>3424</v>
      </c>
      <c r="N1676" t="s">
        <v>231</v>
      </c>
      <c r="O1676">
        <v>17.21</v>
      </c>
      <c r="P1676">
        <v>17.77</v>
      </c>
      <c r="Q1676">
        <v>16.81</v>
      </c>
      <c r="R1676">
        <v>17.09</v>
      </c>
      <c r="S1676" t="s">
        <v>40</v>
      </c>
      <c r="T1676">
        <v>0.74</v>
      </c>
      <c r="U1676" t="s">
        <v>44</v>
      </c>
    </row>
    <row r="1677" spans="1:21">
      <c r="A1677" t="str">
        <f>"300205"</f>
        <v>300205</v>
      </c>
      <c r="B1677" t="s">
        <v>3425</v>
      </c>
      <c r="C1677">
        <v>-0.79</v>
      </c>
      <c r="D1677">
        <v>12.62</v>
      </c>
      <c r="E1677">
        <v>-0.1</v>
      </c>
      <c r="F1677">
        <v>12.61</v>
      </c>
      <c r="G1677">
        <v>12.62</v>
      </c>
      <c r="H1677">
        <v>40431</v>
      </c>
      <c r="I1677">
        <v>793</v>
      </c>
      <c r="J1677">
        <v>0.32</v>
      </c>
      <c r="K1677">
        <v>0.95</v>
      </c>
      <c r="L1677">
        <v>5140.67</v>
      </c>
      <c r="M1677" t="s">
        <v>3426</v>
      </c>
      <c r="N1677" t="s">
        <v>153</v>
      </c>
      <c r="O1677">
        <v>12.69</v>
      </c>
      <c r="P1677">
        <v>12.85</v>
      </c>
      <c r="Q1677">
        <v>12.58</v>
      </c>
      <c r="R1677">
        <v>12.72</v>
      </c>
      <c r="S1677" t="s">
        <v>40</v>
      </c>
      <c r="T1677">
        <v>0.92</v>
      </c>
      <c r="U1677" t="s">
        <v>267</v>
      </c>
    </row>
    <row r="1678" spans="1:21">
      <c r="A1678" t="str">
        <f>"300206"</f>
        <v>300206</v>
      </c>
      <c r="B1678" t="s">
        <v>3427</v>
      </c>
      <c r="C1678">
        <v>0.49</v>
      </c>
      <c r="D1678">
        <v>12.24</v>
      </c>
      <c r="E1678">
        <v>0.06</v>
      </c>
      <c r="F1678">
        <v>12.24</v>
      </c>
      <c r="G1678">
        <v>12.25</v>
      </c>
      <c r="H1678">
        <v>54992</v>
      </c>
      <c r="I1678">
        <v>1438</v>
      </c>
      <c r="J1678">
        <v>-0.23</v>
      </c>
      <c r="K1678">
        <v>1.63</v>
      </c>
      <c r="L1678">
        <v>6721.42</v>
      </c>
      <c r="M1678" t="s">
        <v>3428</v>
      </c>
      <c r="N1678" t="s">
        <v>186</v>
      </c>
      <c r="O1678">
        <v>12.15</v>
      </c>
      <c r="P1678">
        <v>12.38</v>
      </c>
      <c r="Q1678">
        <v>12.06</v>
      </c>
      <c r="R1678">
        <v>12.18</v>
      </c>
      <c r="S1678">
        <v>21.29</v>
      </c>
      <c r="T1678">
        <v>0.75</v>
      </c>
      <c r="U1678" t="s">
        <v>24</v>
      </c>
    </row>
    <row r="1679" spans="1:21">
      <c r="A1679" t="str">
        <f>"300207"</f>
        <v>300207</v>
      </c>
      <c r="B1679" t="s">
        <v>3429</v>
      </c>
      <c r="C1679">
        <v>0.41</v>
      </c>
      <c r="D1679">
        <v>51.11</v>
      </c>
      <c r="E1679">
        <v>0.21</v>
      </c>
      <c r="F1679">
        <v>51.11</v>
      </c>
      <c r="G1679">
        <v>51.12</v>
      </c>
      <c r="H1679">
        <v>253124</v>
      </c>
      <c r="I1679">
        <v>2840</v>
      </c>
      <c r="J1679">
        <v>-0.15</v>
      </c>
      <c r="K1679">
        <v>1.73</v>
      </c>
      <c r="L1679">
        <v>130689.45</v>
      </c>
      <c r="M1679" t="s">
        <v>3430</v>
      </c>
      <c r="N1679" t="s">
        <v>69</v>
      </c>
      <c r="O1679">
        <v>51.8</v>
      </c>
      <c r="P1679">
        <v>53.66</v>
      </c>
      <c r="Q1679">
        <v>50.5</v>
      </c>
      <c r="R1679">
        <v>50.9</v>
      </c>
      <c r="S1679">
        <v>93.1</v>
      </c>
      <c r="T1679">
        <v>0.78</v>
      </c>
      <c r="U1679" t="s">
        <v>24</v>
      </c>
    </row>
    <row r="1680" spans="1:21">
      <c r="A1680" t="str">
        <f>"300208"</f>
        <v>300208</v>
      </c>
      <c r="B1680" t="s">
        <v>3431</v>
      </c>
      <c r="C1680">
        <v>1.84</v>
      </c>
      <c r="D1680">
        <v>12.75</v>
      </c>
      <c r="E1680">
        <v>0.23</v>
      </c>
      <c r="F1680">
        <v>12.74</v>
      </c>
      <c r="G1680">
        <v>12.75</v>
      </c>
      <c r="H1680">
        <v>300605</v>
      </c>
      <c r="I1680">
        <v>3646</v>
      </c>
      <c r="J1680">
        <v>0.39</v>
      </c>
      <c r="K1680">
        <v>4.37</v>
      </c>
      <c r="L1680">
        <v>37840.55</v>
      </c>
      <c r="M1680" t="s">
        <v>3432</v>
      </c>
      <c r="N1680" t="s">
        <v>47</v>
      </c>
      <c r="O1680">
        <v>12.69</v>
      </c>
      <c r="P1680">
        <v>12.85</v>
      </c>
      <c r="Q1680">
        <v>12.3</v>
      </c>
      <c r="R1680">
        <v>12.52</v>
      </c>
      <c r="S1680" t="s">
        <v>40</v>
      </c>
      <c r="T1680">
        <v>1.56</v>
      </c>
      <c r="U1680" t="s">
        <v>221</v>
      </c>
    </row>
    <row r="1681" spans="1:21">
      <c r="A1681" t="str">
        <f>"300209"</f>
        <v>300209</v>
      </c>
      <c r="B1681" t="s">
        <v>3433</v>
      </c>
      <c r="C1681">
        <v>-1.88</v>
      </c>
      <c r="D1681">
        <v>8.88</v>
      </c>
      <c r="E1681">
        <v>-0.17</v>
      </c>
      <c r="F1681">
        <v>8.88</v>
      </c>
      <c r="G1681">
        <v>8.89</v>
      </c>
      <c r="H1681">
        <v>236538</v>
      </c>
      <c r="I1681">
        <v>4708</v>
      </c>
      <c r="J1681">
        <v>0.45</v>
      </c>
      <c r="K1681">
        <v>6.3</v>
      </c>
      <c r="L1681">
        <v>20963.33</v>
      </c>
      <c r="M1681" t="s">
        <v>3003</v>
      </c>
      <c r="N1681" t="s">
        <v>479</v>
      </c>
      <c r="O1681">
        <v>9.24</v>
      </c>
      <c r="P1681">
        <v>9.24</v>
      </c>
      <c r="Q1681">
        <v>8.7</v>
      </c>
      <c r="R1681">
        <v>9.05</v>
      </c>
      <c r="S1681" t="s">
        <v>40</v>
      </c>
      <c r="T1681">
        <v>0.66</v>
      </c>
      <c r="U1681" t="s">
        <v>204</v>
      </c>
    </row>
    <row r="1682" spans="1:21">
      <c r="A1682" t="str">
        <f>"300210"</f>
        <v>300210</v>
      </c>
      <c r="B1682" t="s">
        <v>3434</v>
      </c>
      <c r="C1682">
        <v>0.28</v>
      </c>
      <c r="D1682">
        <v>3.6</v>
      </c>
      <c r="E1682">
        <v>0.01</v>
      </c>
      <c r="F1682">
        <v>3.6</v>
      </c>
      <c r="G1682">
        <v>3.61</v>
      </c>
      <c r="H1682">
        <v>115985</v>
      </c>
      <c r="I1682">
        <v>2345</v>
      </c>
      <c r="J1682">
        <v>-0.27</v>
      </c>
      <c r="K1682">
        <v>2.8</v>
      </c>
      <c r="L1682">
        <v>4184.23</v>
      </c>
      <c r="M1682" t="s">
        <v>3435</v>
      </c>
      <c r="N1682" t="s">
        <v>324</v>
      </c>
      <c r="O1682">
        <v>3.56</v>
      </c>
      <c r="P1682">
        <v>3.68</v>
      </c>
      <c r="Q1682">
        <v>3.53</v>
      </c>
      <c r="R1682">
        <v>3.59</v>
      </c>
      <c r="S1682" t="s">
        <v>40</v>
      </c>
      <c r="T1682">
        <v>1.13</v>
      </c>
      <c r="U1682" t="s">
        <v>141</v>
      </c>
    </row>
    <row r="1683" spans="1:21">
      <c r="A1683" t="str">
        <f>"300211"</f>
        <v>300211</v>
      </c>
      <c r="B1683" t="s">
        <v>3436</v>
      </c>
      <c r="C1683">
        <v>-1.07</v>
      </c>
      <c r="D1683">
        <v>13.84</v>
      </c>
      <c r="E1683">
        <v>-0.15</v>
      </c>
      <c r="F1683">
        <v>13.84</v>
      </c>
      <c r="G1683">
        <v>13.85</v>
      </c>
      <c r="H1683">
        <v>38797</v>
      </c>
      <c r="I1683">
        <v>383</v>
      </c>
      <c r="J1683">
        <v>0.36</v>
      </c>
      <c r="K1683">
        <v>1.31</v>
      </c>
      <c r="L1683">
        <v>5403.21</v>
      </c>
      <c r="M1683" t="s">
        <v>3437</v>
      </c>
      <c r="N1683" t="s">
        <v>153</v>
      </c>
      <c r="O1683">
        <v>14.02</v>
      </c>
      <c r="P1683">
        <v>14.25</v>
      </c>
      <c r="Q1683">
        <v>13.77</v>
      </c>
      <c r="R1683">
        <v>13.99</v>
      </c>
      <c r="S1683">
        <v>193.44</v>
      </c>
      <c r="T1683">
        <v>0.51</v>
      </c>
      <c r="U1683" t="s">
        <v>102</v>
      </c>
    </row>
    <row r="1684" spans="1:21">
      <c r="A1684" t="str">
        <f>"300212"</f>
        <v>300212</v>
      </c>
      <c r="B1684" t="s">
        <v>3438</v>
      </c>
      <c r="C1684">
        <v>-0.65</v>
      </c>
      <c r="D1684">
        <v>33.38</v>
      </c>
      <c r="E1684">
        <v>-0.22</v>
      </c>
      <c r="F1684">
        <v>33.38</v>
      </c>
      <c r="G1684">
        <v>33.39</v>
      </c>
      <c r="H1684">
        <v>125713</v>
      </c>
      <c r="I1684">
        <v>1846</v>
      </c>
      <c r="J1684">
        <v>-0.05</v>
      </c>
      <c r="K1684">
        <v>2.03</v>
      </c>
      <c r="L1684">
        <v>42487.79</v>
      </c>
      <c r="M1684" t="s">
        <v>3439</v>
      </c>
      <c r="N1684" t="s">
        <v>30</v>
      </c>
      <c r="O1684">
        <v>33.5</v>
      </c>
      <c r="P1684">
        <v>34.38</v>
      </c>
      <c r="Q1684">
        <v>33.18</v>
      </c>
      <c r="R1684">
        <v>33.6</v>
      </c>
      <c r="S1684">
        <v>112.79</v>
      </c>
      <c r="T1684">
        <v>0.73</v>
      </c>
      <c r="U1684" t="s">
        <v>44</v>
      </c>
    </row>
    <row r="1685" spans="1:21">
      <c r="A1685" t="str">
        <f>"300213"</f>
        <v>300213</v>
      </c>
      <c r="B1685" t="s">
        <v>3440</v>
      </c>
      <c r="C1685">
        <v>-1.33</v>
      </c>
      <c r="D1685">
        <v>6.69</v>
      </c>
      <c r="E1685">
        <v>-0.09</v>
      </c>
      <c r="F1685">
        <v>6.68</v>
      </c>
      <c r="G1685">
        <v>6.69</v>
      </c>
      <c r="H1685">
        <v>334757</v>
      </c>
      <c r="I1685">
        <v>10874</v>
      </c>
      <c r="J1685">
        <v>-0.73</v>
      </c>
      <c r="K1685">
        <v>6.08</v>
      </c>
      <c r="L1685">
        <v>22590.04</v>
      </c>
      <c r="M1685" t="s">
        <v>3441</v>
      </c>
      <c r="N1685" t="s">
        <v>153</v>
      </c>
      <c r="O1685">
        <v>6.7</v>
      </c>
      <c r="P1685">
        <v>6.87</v>
      </c>
      <c r="Q1685">
        <v>6.65</v>
      </c>
      <c r="R1685">
        <v>6.78</v>
      </c>
      <c r="S1685">
        <v>49.89</v>
      </c>
      <c r="T1685">
        <v>0.99</v>
      </c>
      <c r="U1685" t="s">
        <v>44</v>
      </c>
    </row>
    <row r="1686" spans="1:21">
      <c r="A1686" t="str">
        <f>"300214"</f>
        <v>300214</v>
      </c>
      <c r="B1686" t="s">
        <v>3442</v>
      </c>
      <c r="C1686">
        <v>1.92</v>
      </c>
      <c r="D1686">
        <v>7.44</v>
      </c>
      <c r="E1686">
        <v>0.14</v>
      </c>
      <c r="F1686">
        <v>7.43</v>
      </c>
      <c r="G1686">
        <v>7.44</v>
      </c>
      <c r="H1686">
        <v>32287</v>
      </c>
      <c r="I1686">
        <v>1226</v>
      </c>
      <c r="J1686">
        <v>0.4</v>
      </c>
      <c r="K1686">
        <v>0.89</v>
      </c>
      <c r="L1686">
        <v>2385.41</v>
      </c>
      <c r="M1686" t="s">
        <v>3443</v>
      </c>
      <c r="N1686" t="s">
        <v>309</v>
      </c>
      <c r="O1686">
        <v>7.3</v>
      </c>
      <c r="P1686">
        <v>7.44</v>
      </c>
      <c r="Q1686">
        <v>7.25</v>
      </c>
      <c r="R1686">
        <v>7.3</v>
      </c>
      <c r="S1686">
        <v>19.7</v>
      </c>
      <c r="T1686">
        <v>0.69</v>
      </c>
      <c r="U1686" t="s">
        <v>221</v>
      </c>
    </row>
    <row r="1687" spans="1:21">
      <c r="A1687" t="str">
        <f>"300215"</f>
        <v>300215</v>
      </c>
      <c r="B1687" t="s">
        <v>3444</v>
      </c>
      <c r="C1687">
        <v>-2.27</v>
      </c>
      <c r="D1687">
        <v>11.2</v>
      </c>
      <c r="E1687">
        <v>-0.26</v>
      </c>
      <c r="F1687">
        <v>11.2</v>
      </c>
      <c r="G1687">
        <v>11.21</v>
      </c>
      <c r="H1687">
        <v>223022</v>
      </c>
      <c r="I1687">
        <v>2099</v>
      </c>
      <c r="J1687">
        <v>0.27</v>
      </c>
      <c r="K1687">
        <v>3.98</v>
      </c>
      <c r="L1687">
        <v>25011.35</v>
      </c>
      <c r="M1687" t="s">
        <v>3445</v>
      </c>
      <c r="N1687" t="s">
        <v>47</v>
      </c>
      <c r="O1687">
        <v>11.61</v>
      </c>
      <c r="P1687">
        <v>11.68</v>
      </c>
      <c r="Q1687">
        <v>11.06</v>
      </c>
      <c r="R1687">
        <v>11.46</v>
      </c>
      <c r="S1687">
        <v>43.82</v>
      </c>
      <c r="T1687">
        <v>0.81</v>
      </c>
      <c r="U1687" t="s">
        <v>102</v>
      </c>
    </row>
    <row r="1688" spans="1:21">
      <c r="A1688" t="str">
        <f>"300217"</f>
        <v>300217</v>
      </c>
      <c r="B1688" t="s">
        <v>3446</v>
      </c>
      <c r="C1688">
        <v>0.52</v>
      </c>
      <c r="D1688">
        <v>5.8</v>
      </c>
      <c r="E1688">
        <v>0.03</v>
      </c>
      <c r="F1688">
        <v>5.8</v>
      </c>
      <c r="G1688">
        <v>5.81</v>
      </c>
      <c r="H1688">
        <v>1061445</v>
      </c>
      <c r="I1688">
        <v>17857</v>
      </c>
      <c r="J1688">
        <v>0.35</v>
      </c>
      <c r="K1688">
        <v>11.84</v>
      </c>
      <c r="L1688">
        <v>61397.26</v>
      </c>
      <c r="M1688" t="s">
        <v>3447</v>
      </c>
      <c r="N1688" t="s">
        <v>60</v>
      </c>
      <c r="O1688">
        <v>5.78</v>
      </c>
      <c r="P1688">
        <v>5.9</v>
      </c>
      <c r="Q1688">
        <v>5.61</v>
      </c>
      <c r="R1688">
        <v>5.77</v>
      </c>
      <c r="S1688">
        <v>76.98</v>
      </c>
      <c r="T1688">
        <v>0.52</v>
      </c>
      <c r="U1688" t="s">
        <v>102</v>
      </c>
    </row>
    <row r="1689" spans="1:21">
      <c r="A1689" t="str">
        <f>"300218"</f>
        <v>300218</v>
      </c>
      <c r="B1689" t="s">
        <v>3448</v>
      </c>
      <c r="C1689">
        <v>1.44</v>
      </c>
      <c r="D1689">
        <v>16.91</v>
      </c>
      <c r="E1689">
        <v>0.24</v>
      </c>
      <c r="F1689">
        <v>16.91</v>
      </c>
      <c r="G1689">
        <v>16.92</v>
      </c>
      <c r="H1689">
        <v>17126</v>
      </c>
      <c r="I1689">
        <v>146</v>
      </c>
      <c r="J1689">
        <v>0.42</v>
      </c>
      <c r="K1689">
        <v>0.79</v>
      </c>
      <c r="L1689">
        <v>2884.32</v>
      </c>
      <c r="M1689" t="s">
        <v>1734</v>
      </c>
      <c r="N1689" t="s">
        <v>839</v>
      </c>
      <c r="O1689">
        <v>16.76</v>
      </c>
      <c r="P1689">
        <v>16.99</v>
      </c>
      <c r="Q1689">
        <v>16.55</v>
      </c>
      <c r="R1689">
        <v>16.67</v>
      </c>
      <c r="S1689">
        <v>27.9</v>
      </c>
      <c r="T1689">
        <v>0.44</v>
      </c>
      <c r="U1689" t="s">
        <v>193</v>
      </c>
    </row>
    <row r="1690" spans="1:21">
      <c r="A1690" t="str">
        <f>"300219"</f>
        <v>300219</v>
      </c>
      <c r="B1690" t="s">
        <v>3449</v>
      </c>
      <c r="C1690">
        <v>1.61</v>
      </c>
      <c r="D1690">
        <v>14.52</v>
      </c>
      <c r="E1690">
        <v>0.23</v>
      </c>
      <c r="F1690">
        <v>14.52</v>
      </c>
      <c r="G1690">
        <v>14.53</v>
      </c>
      <c r="H1690">
        <v>281926</v>
      </c>
      <c r="I1690">
        <v>2977</v>
      </c>
      <c r="J1690">
        <v>-0.06</v>
      </c>
      <c r="K1690">
        <v>4.49</v>
      </c>
      <c r="L1690">
        <v>41344.1</v>
      </c>
      <c r="M1690" t="s">
        <v>3450</v>
      </c>
      <c r="N1690" t="s">
        <v>69</v>
      </c>
      <c r="O1690">
        <v>14.24</v>
      </c>
      <c r="P1690">
        <v>15</v>
      </c>
      <c r="Q1690">
        <v>14.22</v>
      </c>
      <c r="R1690">
        <v>14.29</v>
      </c>
      <c r="S1690">
        <v>35.61</v>
      </c>
      <c r="T1690">
        <v>1.32</v>
      </c>
      <c r="U1690" t="s">
        <v>183</v>
      </c>
    </row>
    <row r="1691" spans="1:21">
      <c r="A1691" t="str">
        <f>"300220"</f>
        <v>300220</v>
      </c>
      <c r="B1691" t="s">
        <v>3451</v>
      </c>
      <c r="C1691">
        <v>-1.01</v>
      </c>
      <c r="D1691">
        <v>15.69</v>
      </c>
      <c r="E1691">
        <v>-0.16</v>
      </c>
      <c r="F1691">
        <v>15.69</v>
      </c>
      <c r="G1691">
        <v>15.7</v>
      </c>
      <c r="H1691">
        <v>80983</v>
      </c>
      <c r="I1691">
        <v>1054</v>
      </c>
      <c r="J1691">
        <v>-0.12</v>
      </c>
      <c r="K1691">
        <v>5.38</v>
      </c>
      <c r="L1691">
        <v>12856.01</v>
      </c>
      <c r="M1691" t="s">
        <v>3452</v>
      </c>
      <c r="N1691" t="s">
        <v>69</v>
      </c>
      <c r="O1691">
        <v>15.62</v>
      </c>
      <c r="P1691">
        <v>16.22</v>
      </c>
      <c r="Q1691">
        <v>15.6</v>
      </c>
      <c r="R1691">
        <v>15.85</v>
      </c>
      <c r="S1691" t="s">
        <v>40</v>
      </c>
      <c r="T1691">
        <v>0.52</v>
      </c>
      <c r="U1691" t="s">
        <v>267</v>
      </c>
    </row>
    <row r="1692" spans="1:21">
      <c r="A1692" t="str">
        <f>"300221"</f>
        <v>300221</v>
      </c>
      <c r="B1692" t="s">
        <v>3453</v>
      </c>
      <c r="C1692">
        <v>1.46</v>
      </c>
      <c r="D1692">
        <v>7.62</v>
      </c>
      <c r="E1692">
        <v>0.11</v>
      </c>
      <c r="F1692">
        <v>7.62</v>
      </c>
      <c r="G1692">
        <v>7.63</v>
      </c>
      <c r="H1692">
        <v>170770</v>
      </c>
      <c r="I1692">
        <v>2993</v>
      </c>
      <c r="J1692">
        <v>0</v>
      </c>
      <c r="K1692">
        <v>3.9</v>
      </c>
      <c r="L1692">
        <v>12957.69</v>
      </c>
      <c r="M1692" t="s">
        <v>3454</v>
      </c>
      <c r="N1692" t="s">
        <v>839</v>
      </c>
      <c r="O1692">
        <v>7.48</v>
      </c>
      <c r="P1692">
        <v>7.66</v>
      </c>
      <c r="Q1692">
        <v>7.45</v>
      </c>
      <c r="R1692">
        <v>7.51</v>
      </c>
      <c r="S1692">
        <v>39.45</v>
      </c>
      <c r="T1692">
        <v>0.84</v>
      </c>
      <c r="U1692" t="s">
        <v>183</v>
      </c>
    </row>
    <row r="1693" spans="1:21">
      <c r="A1693" t="str">
        <f>"300222"</f>
        <v>300222</v>
      </c>
      <c r="B1693" t="s">
        <v>3455</v>
      </c>
      <c r="C1693">
        <v>0.22</v>
      </c>
      <c r="D1693">
        <v>13.71</v>
      </c>
      <c r="E1693">
        <v>0.03</v>
      </c>
      <c r="F1693">
        <v>13.7</v>
      </c>
      <c r="G1693">
        <v>13.71</v>
      </c>
      <c r="H1693">
        <v>295996</v>
      </c>
      <c r="I1693">
        <v>4668</v>
      </c>
      <c r="J1693">
        <v>0.22</v>
      </c>
      <c r="K1693">
        <v>5.32</v>
      </c>
      <c r="L1693">
        <v>40467.17</v>
      </c>
      <c r="M1693" t="s">
        <v>3456</v>
      </c>
      <c r="N1693" t="s">
        <v>47</v>
      </c>
      <c r="O1693">
        <v>13.66</v>
      </c>
      <c r="P1693">
        <v>13.78</v>
      </c>
      <c r="Q1693">
        <v>13.52</v>
      </c>
      <c r="R1693">
        <v>13.68</v>
      </c>
      <c r="S1693">
        <v>61.17</v>
      </c>
      <c r="T1693">
        <v>0.61</v>
      </c>
      <c r="U1693" t="s">
        <v>848</v>
      </c>
    </row>
    <row r="1694" spans="1:21">
      <c r="A1694" t="str">
        <f>"300223"</f>
        <v>300223</v>
      </c>
      <c r="B1694" t="s">
        <v>3457</v>
      </c>
      <c r="C1694">
        <v>1.78</v>
      </c>
      <c r="D1694">
        <v>131.9</v>
      </c>
      <c r="E1694">
        <v>2.31</v>
      </c>
      <c r="F1694">
        <v>131.86</v>
      </c>
      <c r="G1694">
        <v>131.9</v>
      </c>
      <c r="H1694">
        <v>68798</v>
      </c>
      <c r="I1694">
        <v>479</v>
      </c>
      <c r="J1694">
        <v>-0.07</v>
      </c>
      <c r="K1694">
        <v>2.12</v>
      </c>
      <c r="L1694">
        <v>90051.3</v>
      </c>
      <c r="M1694" t="s">
        <v>3458</v>
      </c>
      <c r="N1694" t="s">
        <v>1246</v>
      </c>
      <c r="O1694">
        <v>129.99</v>
      </c>
      <c r="P1694">
        <v>132.33</v>
      </c>
      <c r="Q1694">
        <v>128.5</v>
      </c>
      <c r="R1694">
        <v>129.59</v>
      </c>
      <c r="S1694">
        <v>74.99</v>
      </c>
      <c r="T1694">
        <v>0.79</v>
      </c>
      <c r="U1694" t="s">
        <v>44</v>
      </c>
    </row>
    <row r="1695" spans="1:21">
      <c r="A1695" t="str">
        <f>"300224"</f>
        <v>300224</v>
      </c>
      <c r="B1695" t="s">
        <v>3459</v>
      </c>
      <c r="C1695">
        <v>-2.12</v>
      </c>
      <c r="D1695">
        <v>13.42</v>
      </c>
      <c r="E1695">
        <v>-0.29</v>
      </c>
      <c r="F1695">
        <v>13.41</v>
      </c>
      <c r="G1695">
        <v>13.42</v>
      </c>
      <c r="H1695">
        <v>268823</v>
      </c>
      <c r="I1695">
        <v>3239</v>
      </c>
      <c r="J1695">
        <v>0.15</v>
      </c>
      <c r="K1695">
        <v>3.31</v>
      </c>
      <c r="L1695">
        <v>35959.64</v>
      </c>
      <c r="M1695" t="s">
        <v>3460</v>
      </c>
      <c r="N1695" t="s">
        <v>69</v>
      </c>
      <c r="O1695">
        <v>13.59</v>
      </c>
      <c r="P1695">
        <v>13.76</v>
      </c>
      <c r="Q1695">
        <v>13.13</v>
      </c>
      <c r="R1695">
        <v>13.71</v>
      </c>
      <c r="S1695">
        <v>44.97</v>
      </c>
      <c r="T1695">
        <v>0.7</v>
      </c>
      <c r="U1695" t="s">
        <v>221</v>
      </c>
    </row>
    <row r="1696" spans="1:21">
      <c r="A1696" t="str">
        <f>"300225"</f>
        <v>300225</v>
      </c>
      <c r="B1696" t="s">
        <v>3461</v>
      </c>
      <c r="C1696">
        <v>1.09</v>
      </c>
      <c r="D1696">
        <v>15.81</v>
      </c>
      <c r="E1696">
        <v>0.17</v>
      </c>
      <c r="F1696">
        <v>15.81</v>
      </c>
      <c r="G1696">
        <v>15.82</v>
      </c>
      <c r="H1696">
        <v>183592</v>
      </c>
      <c r="I1696">
        <v>5838</v>
      </c>
      <c r="J1696">
        <v>0.06</v>
      </c>
      <c r="K1696">
        <v>3.88</v>
      </c>
      <c r="L1696">
        <v>29217.03</v>
      </c>
      <c r="M1696" t="s">
        <v>3462</v>
      </c>
      <c r="N1696" t="s">
        <v>416</v>
      </c>
      <c r="O1696">
        <v>15.57</v>
      </c>
      <c r="P1696">
        <v>16.28</v>
      </c>
      <c r="Q1696">
        <v>15.46</v>
      </c>
      <c r="R1696">
        <v>15.64</v>
      </c>
      <c r="S1696" t="s">
        <v>40</v>
      </c>
      <c r="T1696">
        <v>0.76</v>
      </c>
      <c r="U1696" t="s">
        <v>848</v>
      </c>
    </row>
    <row r="1697" spans="1:21">
      <c r="A1697" t="str">
        <f>"300226"</f>
        <v>300226</v>
      </c>
      <c r="B1697" t="s">
        <v>3463</v>
      </c>
      <c r="C1697">
        <v>-0.65</v>
      </c>
      <c r="D1697">
        <v>40.03</v>
      </c>
      <c r="E1697">
        <v>-0.26</v>
      </c>
      <c r="F1697">
        <v>40.02</v>
      </c>
      <c r="G1697">
        <v>40.03</v>
      </c>
      <c r="H1697">
        <v>24993</v>
      </c>
      <c r="I1697">
        <v>252</v>
      </c>
      <c r="J1697">
        <v>-0.01</v>
      </c>
      <c r="K1697">
        <v>1.36</v>
      </c>
      <c r="L1697">
        <v>9958.32</v>
      </c>
      <c r="M1697" t="s">
        <v>3464</v>
      </c>
      <c r="N1697" t="s">
        <v>479</v>
      </c>
      <c r="O1697">
        <v>40.2</v>
      </c>
      <c r="P1697">
        <v>40.24</v>
      </c>
      <c r="Q1697">
        <v>39.55</v>
      </c>
      <c r="R1697">
        <v>40.29</v>
      </c>
      <c r="S1697">
        <v>36.37</v>
      </c>
      <c r="T1697">
        <v>0.76</v>
      </c>
      <c r="U1697" t="s">
        <v>848</v>
      </c>
    </row>
    <row r="1698" spans="1:21">
      <c r="A1698" t="str">
        <f>"300227"</f>
        <v>300227</v>
      </c>
      <c r="B1698" t="s">
        <v>3465</v>
      </c>
      <c r="C1698">
        <v>1.44</v>
      </c>
      <c r="D1698">
        <v>9.86</v>
      </c>
      <c r="E1698">
        <v>0.14</v>
      </c>
      <c r="F1698">
        <v>9.86</v>
      </c>
      <c r="G1698">
        <v>9.87</v>
      </c>
      <c r="H1698">
        <v>92846</v>
      </c>
      <c r="I1698">
        <v>1797</v>
      </c>
      <c r="J1698">
        <v>0</v>
      </c>
      <c r="K1698">
        <v>2.37</v>
      </c>
      <c r="L1698">
        <v>9101.39</v>
      </c>
      <c r="M1698" t="s">
        <v>3466</v>
      </c>
      <c r="N1698" t="s">
        <v>69</v>
      </c>
      <c r="O1698">
        <v>9.68</v>
      </c>
      <c r="P1698">
        <v>9.93</v>
      </c>
      <c r="Q1698">
        <v>9.64</v>
      </c>
      <c r="R1698">
        <v>9.72</v>
      </c>
      <c r="S1698">
        <v>41.82</v>
      </c>
      <c r="T1698">
        <v>0.91</v>
      </c>
      <c r="U1698" t="s">
        <v>24</v>
      </c>
    </row>
    <row r="1699" spans="1:21">
      <c r="A1699" t="str">
        <f>"300228"</f>
        <v>300228</v>
      </c>
      <c r="B1699" t="s">
        <v>3467</v>
      </c>
      <c r="C1699">
        <v>11.57</v>
      </c>
      <c r="D1699">
        <v>9.26</v>
      </c>
      <c r="E1699">
        <v>0.96</v>
      </c>
      <c r="F1699">
        <v>9.25</v>
      </c>
      <c r="G1699">
        <v>9.26</v>
      </c>
      <c r="H1699">
        <v>1284106</v>
      </c>
      <c r="I1699">
        <v>11552</v>
      </c>
      <c r="J1699">
        <v>0.11</v>
      </c>
      <c r="K1699">
        <v>23.65</v>
      </c>
      <c r="L1699">
        <v>116118.69</v>
      </c>
      <c r="M1699" t="s">
        <v>3468</v>
      </c>
      <c r="N1699" t="s">
        <v>832</v>
      </c>
      <c r="O1699">
        <v>8.16</v>
      </c>
      <c r="P1699">
        <v>9.72</v>
      </c>
      <c r="Q1699">
        <v>8.12</v>
      </c>
      <c r="R1699">
        <v>8.3</v>
      </c>
      <c r="S1699">
        <v>103.26</v>
      </c>
      <c r="T1699">
        <v>2.66</v>
      </c>
      <c r="U1699" t="s">
        <v>102</v>
      </c>
    </row>
    <row r="1700" spans="1:21">
      <c r="A1700" t="str">
        <f>"300229"</f>
        <v>300229</v>
      </c>
      <c r="B1700" t="s">
        <v>3469</v>
      </c>
      <c r="C1700">
        <v>0.96</v>
      </c>
      <c r="D1700">
        <v>9.46</v>
      </c>
      <c r="E1700">
        <v>0.09</v>
      </c>
      <c r="F1700">
        <v>9.45</v>
      </c>
      <c r="G1700">
        <v>9.46</v>
      </c>
      <c r="H1700">
        <v>117054</v>
      </c>
      <c r="I1700">
        <v>1559</v>
      </c>
      <c r="J1700">
        <v>0</v>
      </c>
      <c r="K1700">
        <v>1.65</v>
      </c>
      <c r="L1700">
        <v>11131.12</v>
      </c>
      <c r="M1700" t="s">
        <v>3470</v>
      </c>
      <c r="N1700" t="s">
        <v>30</v>
      </c>
      <c r="O1700">
        <v>9.44</v>
      </c>
      <c r="P1700">
        <v>9.62</v>
      </c>
      <c r="Q1700">
        <v>9.35</v>
      </c>
      <c r="R1700">
        <v>9.37</v>
      </c>
      <c r="S1700">
        <v>51.07</v>
      </c>
      <c r="T1700">
        <v>0.91</v>
      </c>
      <c r="U1700" t="s">
        <v>44</v>
      </c>
    </row>
    <row r="1701" spans="1:21">
      <c r="A1701" t="str">
        <f>"300230"</f>
        <v>300230</v>
      </c>
      <c r="B1701" t="s">
        <v>3471</v>
      </c>
      <c r="C1701">
        <v>1.6</v>
      </c>
      <c r="D1701">
        <v>4.45</v>
      </c>
      <c r="E1701">
        <v>0.07</v>
      </c>
      <c r="F1701">
        <v>4.45</v>
      </c>
      <c r="G1701">
        <v>4.46</v>
      </c>
      <c r="H1701">
        <v>60648</v>
      </c>
      <c r="I1701">
        <v>556</v>
      </c>
      <c r="J1701">
        <v>-0.21</v>
      </c>
      <c r="K1701">
        <v>1.1</v>
      </c>
      <c r="L1701">
        <v>2684.12</v>
      </c>
      <c r="M1701" t="s">
        <v>3472</v>
      </c>
      <c r="N1701" t="s">
        <v>839</v>
      </c>
      <c r="O1701">
        <v>4.41</v>
      </c>
      <c r="P1701">
        <v>4.46</v>
      </c>
      <c r="Q1701">
        <v>4.36</v>
      </c>
      <c r="R1701">
        <v>4.38</v>
      </c>
      <c r="S1701">
        <v>17.16</v>
      </c>
      <c r="T1701">
        <v>0.82</v>
      </c>
      <c r="U1701" t="s">
        <v>848</v>
      </c>
    </row>
    <row r="1702" spans="1:21">
      <c r="A1702" t="str">
        <f>"300231"</f>
        <v>300231</v>
      </c>
      <c r="B1702" t="s">
        <v>3473</v>
      </c>
      <c r="C1702">
        <v>1.22</v>
      </c>
      <c r="D1702">
        <v>8.33</v>
      </c>
      <c r="E1702">
        <v>0.1</v>
      </c>
      <c r="F1702">
        <v>8.33</v>
      </c>
      <c r="G1702">
        <v>8.34</v>
      </c>
      <c r="H1702">
        <v>47764</v>
      </c>
      <c r="I1702">
        <v>820</v>
      </c>
      <c r="J1702">
        <v>0</v>
      </c>
      <c r="K1702">
        <v>1.3</v>
      </c>
      <c r="L1702">
        <v>3965.8</v>
      </c>
      <c r="M1702" t="s">
        <v>3474</v>
      </c>
      <c r="N1702" t="s">
        <v>30</v>
      </c>
      <c r="O1702">
        <v>8.28</v>
      </c>
      <c r="P1702">
        <v>8.36</v>
      </c>
      <c r="Q1702">
        <v>8.22</v>
      </c>
      <c r="R1702">
        <v>8.23</v>
      </c>
      <c r="S1702">
        <v>19.2</v>
      </c>
      <c r="T1702">
        <v>0.76</v>
      </c>
      <c r="U1702" t="s">
        <v>44</v>
      </c>
    </row>
    <row r="1703" spans="1:21">
      <c r="A1703" t="str">
        <f>"300232"</f>
        <v>300232</v>
      </c>
      <c r="B1703" t="s">
        <v>3475</v>
      </c>
      <c r="C1703">
        <v>1.21</v>
      </c>
      <c r="D1703">
        <v>9.2</v>
      </c>
      <c r="E1703">
        <v>0.11</v>
      </c>
      <c r="F1703">
        <v>9.2</v>
      </c>
      <c r="G1703">
        <v>9.21</v>
      </c>
      <c r="H1703">
        <v>171745</v>
      </c>
      <c r="I1703">
        <v>2731</v>
      </c>
      <c r="J1703">
        <v>-0.1</v>
      </c>
      <c r="K1703">
        <v>2.04</v>
      </c>
      <c r="L1703">
        <v>15787.16</v>
      </c>
      <c r="M1703" t="s">
        <v>3476</v>
      </c>
      <c r="N1703" t="s">
        <v>1246</v>
      </c>
      <c r="O1703">
        <v>9.07</v>
      </c>
      <c r="P1703">
        <v>9.33</v>
      </c>
      <c r="Q1703">
        <v>9.04</v>
      </c>
      <c r="R1703">
        <v>9.09</v>
      </c>
      <c r="S1703">
        <v>36.42</v>
      </c>
      <c r="T1703">
        <v>0.63</v>
      </c>
      <c r="U1703" t="s">
        <v>24</v>
      </c>
    </row>
    <row r="1704" spans="1:21">
      <c r="A1704" t="str">
        <f>"300233"</f>
        <v>300233</v>
      </c>
      <c r="B1704" t="s">
        <v>3477</v>
      </c>
      <c r="C1704">
        <v>-0.6</v>
      </c>
      <c r="D1704">
        <v>34.74</v>
      </c>
      <c r="E1704">
        <v>-0.21</v>
      </c>
      <c r="F1704">
        <v>34.73</v>
      </c>
      <c r="G1704">
        <v>34.74</v>
      </c>
      <c r="H1704">
        <v>97565</v>
      </c>
      <c r="I1704">
        <v>1238</v>
      </c>
      <c r="J1704">
        <v>0.06</v>
      </c>
      <c r="K1704">
        <v>2.66</v>
      </c>
      <c r="L1704">
        <v>33531.13</v>
      </c>
      <c r="M1704" t="s">
        <v>3478</v>
      </c>
      <c r="N1704" t="s">
        <v>192</v>
      </c>
      <c r="O1704">
        <v>34.8</v>
      </c>
      <c r="P1704">
        <v>34.9</v>
      </c>
      <c r="Q1704">
        <v>33.79</v>
      </c>
      <c r="R1704">
        <v>34.95</v>
      </c>
      <c r="S1704">
        <v>84.5</v>
      </c>
      <c r="T1704">
        <v>0.6</v>
      </c>
      <c r="U1704" t="s">
        <v>221</v>
      </c>
    </row>
    <row r="1705" spans="1:21">
      <c r="A1705" t="str">
        <f>"300234"</f>
        <v>300234</v>
      </c>
      <c r="B1705" t="s">
        <v>3479</v>
      </c>
      <c r="C1705">
        <v>2.4</v>
      </c>
      <c r="D1705">
        <v>8.54</v>
      </c>
      <c r="E1705">
        <v>0.2</v>
      </c>
      <c r="F1705">
        <v>8.54</v>
      </c>
      <c r="G1705">
        <v>8.55</v>
      </c>
      <c r="H1705">
        <v>404189</v>
      </c>
      <c r="I1705">
        <v>5297</v>
      </c>
      <c r="J1705">
        <v>-0.11</v>
      </c>
      <c r="K1705">
        <v>12.2</v>
      </c>
      <c r="L1705">
        <v>34102.05</v>
      </c>
      <c r="M1705" t="s">
        <v>3480</v>
      </c>
      <c r="N1705" t="s">
        <v>1413</v>
      </c>
      <c r="O1705">
        <v>8.21</v>
      </c>
      <c r="P1705">
        <v>8.65</v>
      </c>
      <c r="Q1705">
        <v>8.12</v>
      </c>
      <c r="R1705">
        <v>8.34</v>
      </c>
      <c r="S1705">
        <v>67.48</v>
      </c>
      <c r="T1705">
        <v>2</v>
      </c>
      <c r="U1705" t="s">
        <v>200</v>
      </c>
    </row>
    <row r="1706" spans="1:21">
      <c r="A1706" t="str">
        <f>"300235"</f>
        <v>300235</v>
      </c>
      <c r="B1706" t="s">
        <v>3481</v>
      </c>
      <c r="C1706">
        <v>-0.76</v>
      </c>
      <c r="D1706">
        <v>10.47</v>
      </c>
      <c r="E1706">
        <v>-0.08</v>
      </c>
      <c r="F1706">
        <v>10.47</v>
      </c>
      <c r="G1706">
        <v>10.48</v>
      </c>
      <c r="H1706">
        <v>40757</v>
      </c>
      <c r="I1706">
        <v>484</v>
      </c>
      <c r="J1706">
        <v>0</v>
      </c>
      <c r="K1706">
        <v>3.54</v>
      </c>
      <c r="L1706">
        <v>4279.09</v>
      </c>
      <c r="M1706" t="s">
        <v>2475</v>
      </c>
      <c r="N1706" t="s">
        <v>30</v>
      </c>
      <c r="O1706">
        <v>10.52</v>
      </c>
      <c r="P1706">
        <v>10.69</v>
      </c>
      <c r="Q1706">
        <v>10.34</v>
      </c>
      <c r="R1706">
        <v>10.55</v>
      </c>
      <c r="S1706">
        <v>51.93</v>
      </c>
      <c r="T1706">
        <v>0.57</v>
      </c>
      <c r="U1706" t="s">
        <v>24</v>
      </c>
    </row>
    <row r="1707" spans="1:21">
      <c r="A1707" t="str">
        <f>"300236"</f>
        <v>300236</v>
      </c>
      <c r="B1707" t="s">
        <v>3482</v>
      </c>
      <c r="C1707">
        <v>2.11</v>
      </c>
      <c r="D1707">
        <v>43.13</v>
      </c>
      <c r="E1707">
        <v>0.89</v>
      </c>
      <c r="F1707">
        <v>43.13</v>
      </c>
      <c r="G1707">
        <v>43.14</v>
      </c>
      <c r="H1707">
        <v>47644</v>
      </c>
      <c r="I1707">
        <v>504</v>
      </c>
      <c r="J1707">
        <v>0.19</v>
      </c>
      <c r="K1707">
        <v>1.54</v>
      </c>
      <c r="L1707">
        <v>20490.04</v>
      </c>
      <c r="M1707" t="s">
        <v>3483</v>
      </c>
      <c r="N1707" t="s">
        <v>1246</v>
      </c>
      <c r="O1707">
        <v>42.59</v>
      </c>
      <c r="P1707">
        <v>43.56</v>
      </c>
      <c r="Q1707">
        <v>42.12</v>
      </c>
      <c r="R1707">
        <v>42.24</v>
      </c>
      <c r="S1707">
        <v>119.37</v>
      </c>
      <c r="T1707">
        <v>0.91</v>
      </c>
      <c r="U1707" t="s">
        <v>848</v>
      </c>
    </row>
    <row r="1708" spans="1:21">
      <c r="A1708" t="str">
        <f>"300237"</f>
        <v>300237</v>
      </c>
      <c r="B1708" t="s">
        <v>3484</v>
      </c>
      <c r="C1708">
        <v>0.4</v>
      </c>
      <c r="D1708">
        <v>2.5</v>
      </c>
      <c r="E1708">
        <v>0.01</v>
      </c>
      <c r="F1708">
        <v>2.49</v>
      </c>
      <c r="G1708">
        <v>2.5</v>
      </c>
      <c r="H1708">
        <v>258506</v>
      </c>
      <c r="I1708">
        <v>810</v>
      </c>
      <c r="J1708">
        <v>0.4</v>
      </c>
      <c r="K1708">
        <v>1.8</v>
      </c>
      <c r="L1708">
        <v>6441.06</v>
      </c>
      <c r="M1708" t="s">
        <v>3485</v>
      </c>
      <c r="N1708" t="s">
        <v>50</v>
      </c>
      <c r="O1708">
        <v>2.5</v>
      </c>
      <c r="P1708">
        <v>2.52</v>
      </c>
      <c r="Q1708">
        <v>2.46</v>
      </c>
      <c r="R1708">
        <v>2.49</v>
      </c>
      <c r="S1708" t="s">
        <v>40</v>
      </c>
      <c r="T1708">
        <v>0.98</v>
      </c>
      <c r="U1708" t="s">
        <v>221</v>
      </c>
    </row>
    <row r="1709" spans="1:21">
      <c r="A1709" t="str">
        <f>"300238"</f>
        <v>300238</v>
      </c>
      <c r="B1709" t="s">
        <v>3486</v>
      </c>
      <c r="C1709">
        <v>1.19</v>
      </c>
      <c r="D1709">
        <v>16.97</v>
      </c>
      <c r="E1709">
        <v>0.2</v>
      </c>
      <c r="F1709">
        <v>16.96</v>
      </c>
      <c r="G1709">
        <v>16.97</v>
      </c>
      <c r="H1709">
        <v>22935</v>
      </c>
      <c r="I1709">
        <v>253</v>
      </c>
      <c r="J1709">
        <v>0.12</v>
      </c>
      <c r="K1709">
        <v>0.87</v>
      </c>
      <c r="L1709">
        <v>3878.01</v>
      </c>
      <c r="M1709" t="s">
        <v>3487</v>
      </c>
      <c r="N1709" t="s">
        <v>186</v>
      </c>
      <c r="O1709">
        <v>16.79</v>
      </c>
      <c r="P1709">
        <v>17.01</v>
      </c>
      <c r="Q1709">
        <v>16.75</v>
      </c>
      <c r="R1709">
        <v>16.77</v>
      </c>
      <c r="S1709">
        <v>56.45</v>
      </c>
      <c r="T1709">
        <v>0.7</v>
      </c>
      <c r="U1709" t="s">
        <v>183</v>
      </c>
    </row>
    <row r="1710" spans="1:21">
      <c r="A1710" t="str">
        <f>"300239"</f>
        <v>300239</v>
      </c>
      <c r="B1710" t="s">
        <v>3488</v>
      </c>
      <c r="C1710">
        <v>-1.42</v>
      </c>
      <c r="D1710">
        <v>6.26</v>
      </c>
      <c r="E1710">
        <v>-0.09</v>
      </c>
      <c r="F1710">
        <v>6.26</v>
      </c>
      <c r="G1710">
        <v>6.27</v>
      </c>
      <c r="H1710">
        <v>117104</v>
      </c>
      <c r="I1710">
        <v>1597</v>
      </c>
      <c r="J1710">
        <v>-0.31</v>
      </c>
      <c r="K1710">
        <v>2.31</v>
      </c>
      <c r="L1710">
        <v>7340.68</v>
      </c>
      <c r="M1710" t="s">
        <v>3489</v>
      </c>
      <c r="N1710" t="s">
        <v>231</v>
      </c>
      <c r="O1710">
        <v>6.38</v>
      </c>
      <c r="P1710">
        <v>6.38</v>
      </c>
      <c r="Q1710">
        <v>6.19</v>
      </c>
      <c r="R1710">
        <v>6.35</v>
      </c>
      <c r="S1710">
        <v>202.77</v>
      </c>
      <c r="T1710">
        <v>1.26</v>
      </c>
      <c r="U1710" t="s">
        <v>275</v>
      </c>
    </row>
    <row r="1711" spans="1:21">
      <c r="A1711" t="str">
        <f>"300240"</f>
        <v>300240</v>
      </c>
      <c r="B1711" t="s">
        <v>3490</v>
      </c>
      <c r="C1711">
        <v>8.34</v>
      </c>
      <c r="D1711">
        <v>7.92</v>
      </c>
      <c r="E1711">
        <v>0.61</v>
      </c>
      <c r="F1711">
        <v>7.92</v>
      </c>
      <c r="G1711">
        <v>7.93</v>
      </c>
      <c r="H1711">
        <v>274422</v>
      </c>
      <c r="I1711">
        <v>2491</v>
      </c>
      <c r="J1711">
        <v>0</v>
      </c>
      <c r="K1711">
        <v>7.74</v>
      </c>
      <c r="L1711">
        <v>22053.65</v>
      </c>
      <c r="M1711" t="s">
        <v>3491</v>
      </c>
      <c r="N1711" t="s">
        <v>1049</v>
      </c>
      <c r="O1711">
        <v>7.37</v>
      </c>
      <c r="P1711">
        <v>8.65</v>
      </c>
      <c r="Q1711">
        <v>7.34</v>
      </c>
      <c r="R1711">
        <v>7.31</v>
      </c>
      <c r="S1711">
        <v>13.44</v>
      </c>
      <c r="T1711">
        <v>2.84</v>
      </c>
      <c r="U1711" t="s">
        <v>102</v>
      </c>
    </row>
    <row r="1712" spans="1:21">
      <c r="A1712" t="str">
        <f>"300241"</f>
        <v>300241</v>
      </c>
      <c r="B1712" t="s">
        <v>3492</v>
      </c>
      <c r="C1712">
        <v>0.76</v>
      </c>
      <c r="D1712">
        <v>7.93</v>
      </c>
      <c r="E1712">
        <v>0.06</v>
      </c>
      <c r="F1712">
        <v>7.93</v>
      </c>
      <c r="G1712">
        <v>7.94</v>
      </c>
      <c r="H1712">
        <v>335086</v>
      </c>
      <c r="I1712">
        <v>4626</v>
      </c>
      <c r="J1712">
        <v>-0.24</v>
      </c>
      <c r="K1712">
        <v>5.93</v>
      </c>
      <c r="L1712">
        <v>26422.37</v>
      </c>
      <c r="M1712" t="s">
        <v>3426</v>
      </c>
      <c r="N1712" t="s">
        <v>1246</v>
      </c>
      <c r="O1712">
        <v>7.88</v>
      </c>
      <c r="P1712">
        <v>8.06</v>
      </c>
      <c r="Q1712">
        <v>7.75</v>
      </c>
      <c r="R1712">
        <v>7.87</v>
      </c>
      <c r="S1712">
        <v>80.44</v>
      </c>
      <c r="T1712">
        <v>1.23</v>
      </c>
      <c r="U1712" t="s">
        <v>24</v>
      </c>
    </row>
    <row r="1713" spans="1:21">
      <c r="A1713" t="str">
        <f>"300242"</f>
        <v>300242</v>
      </c>
      <c r="B1713" t="s">
        <v>3493</v>
      </c>
      <c r="C1713">
        <v>2.39</v>
      </c>
      <c r="D1713">
        <v>4.28</v>
      </c>
      <c r="E1713">
        <v>0.1</v>
      </c>
      <c r="F1713">
        <v>4.27</v>
      </c>
      <c r="G1713">
        <v>4.28</v>
      </c>
      <c r="H1713">
        <v>128713</v>
      </c>
      <c r="I1713">
        <v>1412</v>
      </c>
      <c r="J1713">
        <v>0.47</v>
      </c>
      <c r="K1713">
        <v>2.12</v>
      </c>
      <c r="L1713">
        <v>5497.05</v>
      </c>
      <c r="M1713" t="s">
        <v>3494</v>
      </c>
      <c r="N1713" t="s">
        <v>479</v>
      </c>
      <c r="O1713">
        <v>4.18</v>
      </c>
      <c r="P1713">
        <v>4.33</v>
      </c>
      <c r="Q1713">
        <v>4.18</v>
      </c>
      <c r="R1713">
        <v>4.18</v>
      </c>
      <c r="S1713">
        <v>60</v>
      </c>
      <c r="T1713">
        <v>0.93</v>
      </c>
      <c r="U1713" t="s">
        <v>183</v>
      </c>
    </row>
    <row r="1714" spans="1:21">
      <c r="A1714" t="str">
        <f>"300243"</f>
        <v>300243</v>
      </c>
      <c r="B1714" t="s">
        <v>3495</v>
      </c>
      <c r="C1714">
        <v>1.35</v>
      </c>
      <c r="D1714">
        <v>14.31</v>
      </c>
      <c r="E1714">
        <v>0.19</v>
      </c>
      <c r="F1714">
        <v>14.31</v>
      </c>
      <c r="G1714">
        <v>14.32</v>
      </c>
      <c r="H1714">
        <v>26641</v>
      </c>
      <c r="I1714">
        <v>277</v>
      </c>
      <c r="J1714">
        <v>0.07</v>
      </c>
      <c r="K1714">
        <v>1.41</v>
      </c>
      <c r="L1714">
        <v>3785.88</v>
      </c>
      <c r="M1714" t="s">
        <v>3496</v>
      </c>
      <c r="N1714" t="s">
        <v>309</v>
      </c>
      <c r="O1714">
        <v>14.01</v>
      </c>
      <c r="P1714">
        <v>14.44</v>
      </c>
      <c r="Q1714">
        <v>13.98</v>
      </c>
      <c r="R1714">
        <v>14.12</v>
      </c>
      <c r="S1714">
        <v>28.5</v>
      </c>
      <c r="T1714">
        <v>0.86</v>
      </c>
      <c r="U1714" t="s">
        <v>221</v>
      </c>
    </row>
    <row r="1715" spans="1:21">
      <c r="A1715" t="str">
        <f>"300244"</f>
        <v>300244</v>
      </c>
      <c r="B1715" t="s">
        <v>3497</v>
      </c>
      <c r="C1715">
        <v>2.34</v>
      </c>
      <c r="D1715">
        <v>32.8</v>
      </c>
      <c r="E1715">
        <v>0.75</v>
      </c>
      <c r="F1715">
        <v>32.79</v>
      </c>
      <c r="G1715">
        <v>32.8</v>
      </c>
      <c r="H1715">
        <v>45263</v>
      </c>
      <c r="I1715">
        <v>607</v>
      </c>
      <c r="J1715">
        <v>0.03</v>
      </c>
      <c r="K1715">
        <v>0.94</v>
      </c>
      <c r="L1715">
        <v>14771.29</v>
      </c>
      <c r="M1715" t="s">
        <v>3498</v>
      </c>
      <c r="N1715" t="s">
        <v>186</v>
      </c>
      <c r="O1715">
        <v>32.01</v>
      </c>
      <c r="P1715">
        <v>32.94</v>
      </c>
      <c r="Q1715">
        <v>31.85</v>
      </c>
      <c r="R1715">
        <v>32.05</v>
      </c>
      <c r="S1715">
        <v>12.38</v>
      </c>
      <c r="T1715">
        <v>0.65</v>
      </c>
      <c r="U1715" t="s">
        <v>200</v>
      </c>
    </row>
    <row r="1716" spans="1:21">
      <c r="A1716" t="str">
        <f>"300245"</f>
        <v>300245</v>
      </c>
      <c r="B1716" t="s">
        <v>3499</v>
      </c>
      <c r="C1716">
        <v>1.5</v>
      </c>
      <c r="D1716">
        <v>8.79</v>
      </c>
      <c r="E1716">
        <v>0.13</v>
      </c>
      <c r="F1716">
        <v>8.78</v>
      </c>
      <c r="G1716">
        <v>8.79</v>
      </c>
      <c r="H1716">
        <v>32172</v>
      </c>
      <c r="I1716">
        <v>257</v>
      </c>
      <c r="J1716">
        <v>0.23</v>
      </c>
      <c r="K1716">
        <v>1.04</v>
      </c>
      <c r="L1716">
        <v>2815.14</v>
      </c>
      <c r="M1716" t="s">
        <v>3500</v>
      </c>
      <c r="N1716" t="s">
        <v>30</v>
      </c>
      <c r="O1716">
        <v>8.7</v>
      </c>
      <c r="P1716">
        <v>8.83</v>
      </c>
      <c r="Q1716">
        <v>8.61</v>
      </c>
      <c r="R1716">
        <v>8.66</v>
      </c>
      <c r="S1716">
        <v>111.53</v>
      </c>
      <c r="T1716">
        <v>1.15</v>
      </c>
      <c r="U1716" t="s">
        <v>848</v>
      </c>
    </row>
    <row r="1717" spans="1:21">
      <c r="A1717" t="str">
        <f>"300246"</f>
        <v>300246</v>
      </c>
      <c r="B1717" t="s">
        <v>3501</v>
      </c>
      <c r="C1717">
        <v>1.52</v>
      </c>
      <c r="D1717">
        <v>17.33</v>
      </c>
      <c r="E1717">
        <v>0.26</v>
      </c>
      <c r="F1717">
        <v>17.31</v>
      </c>
      <c r="G1717">
        <v>17.33</v>
      </c>
      <c r="H1717">
        <v>14010</v>
      </c>
      <c r="I1717">
        <v>232</v>
      </c>
      <c r="J1717">
        <v>0.12</v>
      </c>
      <c r="K1717">
        <v>1.28</v>
      </c>
      <c r="L1717">
        <v>2410.06</v>
      </c>
      <c r="M1717" t="s">
        <v>3502</v>
      </c>
      <c r="N1717" t="s">
        <v>186</v>
      </c>
      <c r="O1717">
        <v>17.01</v>
      </c>
      <c r="P1717">
        <v>17.37</v>
      </c>
      <c r="Q1717">
        <v>16.93</v>
      </c>
      <c r="R1717">
        <v>17.07</v>
      </c>
      <c r="S1717">
        <v>27.36</v>
      </c>
      <c r="T1717">
        <v>0.75</v>
      </c>
      <c r="U1717" t="s">
        <v>183</v>
      </c>
    </row>
    <row r="1718" spans="1:21">
      <c r="A1718" t="str">
        <f>"300247"</f>
        <v>300247</v>
      </c>
      <c r="B1718" t="s">
        <v>3503</v>
      </c>
      <c r="C1718">
        <v>0.89</v>
      </c>
      <c r="D1718">
        <v>3.41</v>
      </c>
      <c r="E1718">
        <v>0.03</v>
      </c>
      <c r="F1718">
        <v>3.41</v>
      </c>
      <c r="G1718">
        <v>3.42</v>
      </c>
      <c r="H1718">
        <v>191143</v>
      </c>
      <c r="I1718">
        <v>2548</v>
      </c>
      <c r="J1718">
        <v>0</v>
      </c>
      <c r="K1718">
        <v>2.38</v>
      </c>
      <c r="L1718">
        <v>6461.88</v>
      </c>
      <c r="M1718" t="s">
        <v>3504</v>
      </c>
      <c r="N1718" t="s">
        <v>186</v>
      </c>
      <c r="O1718">
        <v>3.38</v>
      </c>
      <c r="P1718">
        <v>3.42</v>
      </c>
      <c r="Q1718">
        <v>3.31</v>
      </c>
      <c r="R1718">
        <v>3.38</v>
      </c>
      <c r="S1718">
        <v>67.97</v>
      </c>
      <c r="T1718">
        <v>1.03</v>
      </c>
      <c r="U1718" t="s">
        <v>193</v>
      </c>
    </row>
    <row r="1719" spans="1:21">
      <c r="A1719" t="str">
        <f>"300248"</f>
        <v>300248</v>
      </c>
      <c r="B1719" t="s">
        <v>3505</v>
      </c>
      <c r="C1719">
        <v>-0.83</v>
      </c>
      <c r="D1719">
        <v>9.58</v>
      </c>
      <c r="E1719">
        <v>-0.08</v>
      </c>
      <c r="F1719">
        <v>9.57</v>
      </c>
      <c r="G1719">
        <v>9.58</v>
      </c>
      <c r="H1719">
        <v>234438</v>
      </c>
      <c r="I1719">
        <v>3703</v>
      </c>
      <c r="J1719">
        <v>0.42</v>
      </c>
      <c r="K1719">
        <v>5.79</v>
      </c>
      <c r="L1719">
        <v>22625.91</v>
      </c>
      <c r="M1719" t="s">
        <v>1229</v>
      </c>
      <c r="N1719" t="s">
        <v>30</v>
      </c>
      <c r="O1719">
        <v>9.66</v>
      </c>
      <c r="P1719">
        <v>9.84</v>
      </c>
      <c r="Q1719">
        <v>9.48</v>
      </c>
      <c r="R1719">
        <v>9.66</v>
      </c>
      <c r="S1719">
        <v>106.7</v>
      </c>
      <c r="T1719">
        <v>0.52</v>
      </c>
      <c r="U1719" t="s">
        <v>224</v>
      </c>
    </row>
    <row r="1720" spans="1:21">
      <c r="A1720" t="str">
        <f>"300249"</f>
        <v>300249</v>
      </c>
      <c r="B1720" t="s">
        <v>3506</v>
      </c>
      <c r="C1720">
        <v>0</v>
      </c>
      <c r="D1720">
        <v>6.74</v>
      </c>
      <c r="E1720">
        <v>0</v>
      </c>
      <c r="F1720">
        <v>6.73</v>
      </c>
      <c r="G1720">
        <v>6.74</v>
      </c>
      <c r="H1720">
        <v>69781</v>
      </c>
      <c r="I1720">
        <v>598</v>
      </c>
      <c r="J1720">
        <v>0</v>
      </c>
      <c r="K1720">
        <v>2.18</v>
      </c>
      <c r="L1720">
        <v>4697.4</v>
      </c>
      <c r="M1720" t="s">
        <v>3507</v>
      </c>
      <c r="N1720" t="s">
        <v>30</v>
      </c>
      <c r="O1720">
        <v>6.73</v>
      </c>
      <c r="P1720">
        <v>6.87</v>
      </c>
      <c r="Q1720">
        <v>6.63</v>
      </c>
      <c r="R1720">
        <v>6.74</v>
      </c>
      <c r="S1720">
        <v>70.78</v>
      </c>
      <c r="T1720">
        <v>1.03</v>
      </c>
      <c r="U1720" t="s">
        <v>196</v>
      </c>
    </row>
    <row r="1721" spans="1:21">
      <c r="A1721" t="str">
        <f>"300250"</f>
        <v>300250</v>
      </c>
      <c r="B1721" t="s">
        <v>3508</v>
      </c>
      <c r="C1721">
        <v>0.98</v>
      </c>
      <c r="D1721">
        <v>12.35</v>
      </c>
      <c r="E1721">
        <v>0.12</v>
      </c>
      <c r="F1721">
        <v>12.34</v>
      </c>
      <c r="G1721">
        <v>12.35</v>
      </c>
      <c r="H1721">
        <v>84542</v>
      </c>
      <c r="I1721">
        <v>1359</v>
      </c>
      <c r="J1721">
        <v>0.16</v>
      </c>
      <c r="K1721">
        <v>5.31</v>
      </c>
      <c r="L1721">
        <v>10369.43</v>
      </c>
      <c r="M1721" t="s">
        <v>3509</v>
      </c>
      <c r="N1721" t="s">
        <v>30</v>
      </c>
      <c r="O1721">
        <v>12.06</v>
      </c>
      <c r="P1721">
        <v>12.43</v>
      </c>
      <c r="Q1721">
        <v>12.06</v>
      </c>
      <c r="R1721">
        <v>12.23</v>
      </c>
      <c r="S1721">
        <v>52.94</v>
      </c>
      <c r="T1721">
        <v>0.67</v>
      </c>
      <c r="U1721" t="s">
        <v>200</v>
      </c>
    </row>
    <row r="1722" spans="1:21">
      <c r="A1722" t="str">
        <f>"300251"</f>
        <v>300251</v>
      </c>
      <c r="B1722" t="s">
        <v>3510</v>
      </c>
      <c r="C1722">
        <v>0.8</v>
      </c>
      <c r="D1722">
        <v>10.04</v>
      </c>
      <c r="E1722">
        <v>0.08</v>
      </c>
      <c r="F1722">
        <v>10.03</v>
      </c>
      <c r="G1722">
        <v>10.04</v>
      </c>
      <c r="H1722">
        <v>115803</v>
      </c>
      <c r="I1722">
        <v>1708</v>
      </c>
      <c r="J1722">
        <v>0.1</v>
      </c>
      <c r="K1722">
        <v>0.42</v>
      </c>
      <c r="L1722">
        <v>11659.52</v>
      </c>
      <c r="M1722" t="s">
        <v>3511</v>
      </c>
      <c r="N1722" t="s">
        <v>199</v>
      </c>
      <c r="O1722">
        <v>9.94</v>
      </c>
      <c r="P1722">
        <v>10.18</v>
      </c>
      <c r="Q1722">
        <v>9.91</v>
      </c>
      <c r="R1722">
        <v>9.96</v>
      </c>
      <c r="S1722">
        <v>39.95</v>
      </c>
      <c r="T1722">
        <v>0.72</v>
      </c>
      <c r="U1722" t="s">
        <v>44</v>
      </c>
    </row>
    <row r="1723" spans="1:21">
      <c r="A1723" t="str">
        <f>"300252"</f>
        <v>300252</v>
      </c>
      <c r="B1723" t="s">
        <v>3512</v>
      </c>
      <c r="C1723">
        <v>0.1</v>
      </c>
      <c r="D1723">
        <v>10.18</v>
      </c>
      <c r="E1723">
        <v>0.01</v>
      </c>
      <c r="F1723">
        <v>10.17</v>
      </c>
      <c r="G1723">
        <v>10.18</v>
      </c>
      <c r="H1723">
        <v>118812</v>
      </c>
      <c r="I1723">
        <v>2462</v>
      </c>
      <c r="J1723">
        <v>-0.19</v>
      </c>
      <c r="K1723">
        <v>2.89</v>
      </c>
      <c r="L1723">
        <v>12046.71</v>
      </c>
      <c r="M1723" t="s">
        <v>3513</v>
      </c>
      <c r="N1723" t="s">
        <v>153</v>
      </c>
      <c r="O1723">
        <v>9.88</v>
      </c>
      <c r="P1723">
        <v>10.33</v>
      </c>
      <c r="Q1723">
        <v>9.88</v>
      </c>
      <c r="R1723">
        <v>10.17</v>
      </c>
      <c r="S1723">
        <v>121.36</v>
      </c>
      <c r="T1723">
        <v>0.64</v>
      </c>
      <c r="U1723" t="s">
        <v>24</v>
      </c>
    </row>
    <row r="1724" spans="1:21">
      <c r="A1724" t="str">
        <f>"300253"</f>
        <v>300253</v>
      </c>
      <c r="B1724" t="s">
        <v>3514</v>
      </c>
      <c r="C1724">
        <v>6.25</v>
      </c>
      <c r="D1724">
        <v>14.96</v>
      </c>
      <c r="E1724">
        <v>0.88</v>
      </c>
      <c r="F1724">
        <v>14.96</v>
      </c>
      <c r="G1724">
        <v>14.97</v>
      </c>
      <c r="H1724">
        <v>447904</v>
      </c>
      <c r="I1724">
        <v>4805</v>
      </c>
      <c r="J1724">
        <v>0.27</v>
      </c>
      <c r="K1724">
        <v>2.48</v>
      </c>
      <c r="L1724">
        <v>66104.91</v>
      </c>
      <c r="M1724" t="s">
        <v>3515</v>
      </c>
      <c r="N1724" t="s">
        <v>30</v>
      </c>
      <c r="O1724">
        <v>13.97</v>
      </c>
      <c r="P1724">
        <v>15.25</v>
      </c>
      <c r="Q1724">
        <v>13.97</v>
      </c>
      <c r="R1724">
        <v>14.08</v>
      </c>
      <c r="S1724">
        <v>92.55</v>
      </c>
      <c r="T1724">
        <v>2.76</v>
      </c>
      <c r="U1724" t="s">
        <v>848</v>
      </c>
    </row>
    <row r="1725" spans="1:21">
      <c r="A1725" t="str">
        <f>"300254"</f>
        <v>300254</v>
      </c>
      <c r="B1725" t="s">
        <v>3516</v>
      </c>
      <c r="C1725">
        <v>0.61</v>
      </c>
      <c r="D1725">
        <v>6.62</v>
      </c>
      <c r="E1725">
        <v>0.04</v>
      </c>
      <c r="F1725">
        <v>6.62</v>
      </c>
      <c r="G1725">
        <v>6.63</v>
      </c>
      <c r="H1725">
        <v>30756</v>
      </c>
      <c r="I1725">
        <v>555</v>
      </c>
      <c r="J1725">
        <v>-0.14</v>
      </c>
      <c r="K1725">
        <v>1.45</v>
      </c>
      <c r="L1725">
        <v>2049.14</v>
      </c>
      <c r="M1725" t="s">
        <v>3517</v>
      </c>
      <c r="N1725" t="s">
        <v>192</v>
      </c>
      <c r="O1725">
        <v>6.58</v>
      </c>
      <c r="P1725">
        <v>6.71</v>
      </c>
      <c r="Q1725">
        <v>6.53</v>
      </c>
      <c r="R1725">
        <v>6.58</v>
      </c>
      <c r="S1725" t="s">
        <v>40</v>
      </c>
      <c r="T1725">
        <v>0.42</v>
      </c>
      <c r="U1725" t="s">
        <v>232</v>
      </c>
    </row>
    <row r="1726" spans="1:21">
      <c r="A1726" t="str">
        <f>"300255"</f>
        <v>300255</v>
      </c>
      <c r="B1726" t="s">
        <v>3518</v>
      </c>
      <c r="C1726">
        <v>0.84</v>
      </c>
      <c r="D1726">
        <v>7.18</v>
      </c>
      <c r="E1726">
        <v>0.06</v>
      </c>
      <c r="F1726">
        <v>7.17</v>
      </c>
      <c r="G1726">
        <v>7.18</v>
      </c>
      <c r="H1726">
        <v>107386</v>
      </c>
      <c r="I1726">
        <v>1042</v>
      </c>
      <c r="J1726">
        <v>0</v>
      </c>
      <c r="K1726">
        <v>1.58</v>
      </c>
      <c r="L1726">
        <v>7676.15</v>
      </c>
      <c r="M1726" t="s">
        <v>3519</v>
      </c>
      <c r="N1726" t="s">
        <v>231</v>
      </c>
      <c r="O1726">
        <v>7.1</v>
      </c>
      <c r="P1726">
        <v>7.22</v>
      </c>
      <c r="Q1726">
        <v>7.06</v>
      </c>
      <c r="R1726">
        <v>7.12</v>
      </c>
      <c r="S1726">
        <v>24.31</v>
      </c>
      <c r="T1726">
        <v>0.64</v>
      </c>
      <c r="U1726" t="s">
        <v>207</v>
      </c>
    </row>
    <row r="1727" spans="1:21">
      <c r="A1727" t="str">
        <f>"300256"</f>
        <v>300256</v>
      </c>
      <c r="B1727" t="s">
        <v>3520</v>
      </c>
      <c r="C1727">
        <v>1.2</v>
      </c>
      <c r="D1727">
        <v>3.38</v>
      </c>
      <c r="E1727">
        <v>0.04</v>
      </c>
      <c r="F1727">
        <v>3.38</v>
      </c>
      <c r="G1727">
        <v>3.39</v>
      </c>
      <c r="H1727">
        <v>186551</v>
      </c>
      <c r="I1727">
        <v>2000</v>
      </c>
      <c r="J1727">
        <v>-0.28</v>
      </c>
      <c r="K1727">
        <v>1.95</v>
      </c>
      <c r="L1727">
        <v>6273.2</v>
      </c>
      <c r="M1727" t="s">
        <v>3521</v>
      </c>
      <c r="N1727" t="s">
        <v>69</v>
      </c>
      <c r="O1727">
        <v>3.31</v>
      </c>
      <c r="P1727">
        <v>3.4</v>
      </c>
      <c r="Q1727">
        <v>3.31</v>
      </c>
      <c r="R1727">
        <v>3.34</v>
      </c>
      <c r="S1727" t="s">
        <v>40</v>
      </c>
      <c r="T1727">
        <v>0.53</v>
      </c>
      <c r="U1727" t="s">
        <v>235</v>
      </c>
    </row>
    <row r="1728" spans="1:21">
      <c r="A1728" t="str">
        <f>"300257"</f>
        <v>300257</v>
      </c>
      <c r="B1728" t="s">
        <v>3522</v>
      </c>
      <c r="C1728">
        <v>0.73</v>
      </c>
      <c r="D1728">
        <v>16.64</v>
      </c>
      <c r="E1728">
        <v>0.12</v>
      </c>
      <c r="F1728">
        <v>16.64</v>
      </c>
      <c r="G1728">
        <v>16.65</v>
      </c>
      <c r="H1728">
        <v>34321</v>
      </c>
      <c r="I1728">
        <v>208</v>
      </c>
      <c r="J1728">
        <v>0.24</v>
      </c>
      <c r="K1728">
        <v>0.42</v>
      </c>
      <c r="L1728">
        <v>5726.1</v>
      </c>
      <c r="M1728" t="s">
        <v>1040</v>
      </c>
      <c r="N1728" t="s">
        <v>347</v>
      </c>
      <c r="O1728">
        <v>16.52</v>
      </c>
      <c r="P1728">
        <v>16.85</v>
      </c>
      <c r="Q1728">
        <v>16.39</v>
      </c>
      <c r="R1728">
        <v>16.52</v>
      </c>
      <c r="S1728">
        <v>53.93</v>
      </c>
      <c r="T1728">
        <v>0.99</v>
      </c>
      <c r="U1728" t="s">
        <v>200</v>
      </c>
    </row>
    <row r="1729" spans="1:21">
      <c r="A1729" t="str">
        <f>"300258"</f>
        <v>300258</v>
      </c>
      <c r="B1729" t="s">
        <v>3523</v>
      </c>
      <c r="C1729">
        <v>-0.63</v>
      </c>
      <c r="D1729">
        <v>15.8</v>
      </c>
      <c r="E1729">
        <v>-0.1</v>
      </c>
      <c r="F1729">
        <v>15.79</v>
      </c>
      <c r="G1729">
        <v>15.8</v>
      </c>
      <c r="H1729">
        <v>51084</v>
      </c>
      <c r="I1729">
        <v>1065</v>
      </c>
      <c r="J1729">
        <v>0</v>
      </c>
      <c r="K1729">
        <v>1.15</v>
      </c>
      <c r="L1729">
        <v>8137.45</v>
      </c>
      <c r="M1729" t="s">
        <v>3524</v>
      </c>
      <c r="N1729" t="s">
        <v>91</v>
      </c>
      <c r="O1729">
        <v>15.8</v>
      </c>
      <c r="P1729">
        <v>16.1</v>
      </c>
      <c r="Q1729">
        <v>15.73</v>
      </c>
      <c r="R1729">
        <v>15.9</v>
      </c>
      <c r="S1729">
        <v>42.97</v>
      </c>
      <c r="T1729">
        <v>0.36</v>
      </c>
      <c r="U1729" t="s">
        <v>102</v>
      </c>
    </row>
    <row r="1730" spans="1:21">
      <c r="A1730" t="str">
        <f>"300259"</f>
        <v>300259</v>
      </c>
      <c r="B1730" t="s">
        <v>3525</v>
      </c>
      <c r="C1730">
        <v>0.2</v>
      </c>
      <c r="D1730">
        <v>4.99</v>
      </c>
      <c r="E1730">
        <v>0.01</v>
      </c>
      <c r="F1730">
        <v>4.98</v>
      </c>
      <c r="G1730">
        <v>4.99</v>
      </c>
      <c r="H1730">
        <v>146550</v>
      </c>
      <c r="I1730">
        <v>2342</v>
      </c>
      <c r="J1730">
        <v>0.2</v>
      </c>
      <c r="K1730">
        <v>1.79</v>
      </c>
      <c r="L1730">
        <v>7307.8</v>
      </c>
      <c r="M1730" t="s">
        <v>3526</v>
      </c>
      <c r="N1730" t="s">
        <v>1028</v>
      </c>
      <c r="O1730">
        <v>4.98</v>
      </c>
      <c r="P1730">
        <v>5.04</v>
      </c>
      <c r="Q1730">
        <v>4.94</v>
      </c>
      <c r="R1730">
        <v>4.98</v>
      </c>
      <c r="S1730">
        <v>14.56</v>
      </c>
      <c r="T1730">
        <v>0.69</v>
      </c>
      <c r="U1730" t="s">
        <v>224</v>
      </c>
    </row>
    <row r="1731" spans="1:21">
      <c r="A1731" t="str">
        <f>"300260"</f>
        <v>300260</v>
      </c>
      <c r="B1731" t="s">
        <v>3527</v>
      </c>
      <c r="C1731">
        <v>5.38</v>
      </c>
      <c r="D1731">
        <v>46.64</v>
      </c>
      <c r="E1731">
        <v>2.38</v>
      </c>
      <c r="F1731">
        <v>46.6</v>
      </c>
      <c r="G1731">
        <v>46.64</v>
      </c>
      <c r="H1731">
        <v>42728</v>
      </c>
      <c r="I1731">
        <v>691</v>
      </c>
      <c r="J1731">
        <v>-0.01</v>
      </c>
      <c r="K1731">
        <v>2.83</v>
      </c>
      <c r="L1731">
        <v>19796.01</v>
      </c>
      <c r="M1731" t="s">
        <v>3528</v>
      </c>
      <c r="N1731" t="s">
        <v>347</v>
      </c>
      <c r="O1731">
        <v>44.15</v>
      </c>
      <c r="P1731">
        <v>47.72</v>
      </c>
      <c r="Q1731">
        <v>43.85</v>
      </c>
      <c r="R1731">
        <v>44.26</v>
      </c>
      <c r="S1731">
        <v>65.72</v>
      </c>
      <c r="T1731">
        <v>0.75</v>
      </c>
      <c r="U1731" t="s">
        <v>102</v>
      </c>
    </row>
    <row r="1732" spans="1:21">
      <c r="A1732" t="str">
        <f>"300261"</f>
        <v>300261</v>
      </c>
      <c r="B1732" t="s">
        <v>3529</v>
      </c>
      <c r="C1732">
        <v>-3.17</v>
      </c>
      <c r="D1732">
        <v>6.73</v>
      </c>
      <c r="E1732">
        <v>-0.22</v>
      </c>
      <c r="F1732">
        <v>6.73</v>
      </c>
      <c r="G1732">
        <v>6.74</v>
      </c>
      <c r="H1732">
        <v>634636</v>
      </c>
      <c r="I1732">
        <v>13107</v>
      </c>
      <c r="J1732">
        <v>0.45</v>
      </c>
      <c r="K1732">
        <v>6.7</v>
      </c>
      <c r="L1732">
        <v>43006.83</v>
      </c>
      <c r="M1732" t="s">
        <v>3530</v>
      </c>
      <c r="N1732" t="s">
        <v>241</v>
      </c>
      <c r="O1732">
        <v>6.95</v>
      </c>
      <c r="P1732">
        <v>7.08</v>
      </c>
      <c r="Q1732">
        <v>6.67</v>
      </c>
      <c r="R1732">
        <v>6.95</v>
      </c>
      <c r="S1732">
        <v>32.25</v>
      </c>
      <c r="T1732">
        <v>0.63</v>
      </c>
      <c r="U1732" t="s">
        <v>102</v>
      </c>
    </row>
    <row r="1733" spans="1:21">
      <c r="A1733" t="str">
        <f>"300262"</f>
        <v>300262</v>
      </c>
      <c r="B1733" t="s">
        <v>3531</v>
      </c>
      <c r="C1733">
        <v>0.29</v>
      </c>
      <c r="D1733">
        <v>3.51</v>
      </c>
      <c r="E1733">
        <v>0.01</v>
      </c>
      <c r="F1733">
        <v>3.51</v>
      </c>
      <c r="G1733">
        <v>3.52</v>
      </c>
      <c r="H1733">
        <v>106220</v>
      </c>
      <c r="I1733">
        <v>2618</v>
      </c>
      <c r="J1733">
        <v>0.29</v>
      </c>
      <c r="K1733">
        <v>2.26</v>
      </c>
      <c r="L1733">
        <v>3701.16</v>
      </c>
      <c r="M1733" t="s">
        <v>3249</v>
      </c>
      <c r="N1733" t="s">
        <v>465</v>
      </c>
      <c r="O1733">
        <v>3.51</v>
      </c>
      <c r="P1733">
        <v>3.52</v>
      </c>
      <c r="Q1733">
        <v>3.45</v>
      </c>
      <c r="R1733">
        <v>3.5</v>
      </c>
      <c r="S1733" t="s">
        <v>40</v>
      </c>
      <c r="T1733">
        <v>0.87</v>
      </c>
      <c r="U1733" t="s">
        <v>848</v>
      </c>
    </row>
    <row r="1734" spans="1:21">
      <c r="A1734" t="str">
        <f>"300263"</f>
        <v>300263</v>
      </c>
      <c r="B1734" t="s">
        <v>3532</v>
      </c>
      <c r="C1734">
        <v>-0.41</v>
      </c>
      <c r="D1734">
        <v>12.17</v>
      </c>
      <c r="E1734">
        <v>-0.05</v>
      </c>
      <c r="F1734">
        <v>12.17</v>
      </c>
      <c r="G1734">
        <v>12.18</v>
      </c>
      <c r="H1734">
        <v>232329</v>
      </c>
      <c r="I1734">
        <v>2621</v>
      </c>
      <c r="J1734">
        <v>0.33</v>
      </c>
      <c r="K1734">
        <v>3.03</v>
      </c>
      <c r="L1734">
        <v>28308.11</v>
      </c>
      <c r="M1734" t="s">
        <v>3533</v>
      </c>
      <c r="N1734" t="s">
        <v>324</v>
      </c>
      <c r="O1734">
        <v>12.11</v>
      </c>
      <c r="P1734">
        <v>12.34</v>
      </c>
      <c r="Q1734">
        <v>12.01</v>
      </c>
      <c r="R1734">
        <v>12.22</v>
      </c>
      <c r="S1734">
        <v>41.15</v>
      </c>
      <c r="T1734">
        <v>0.44</v>
      </c>
      <c r="U1734" t="s">
        <v>224</v>
      </c>
    </row>
    <row r="1735" spans="1:21">
      <c r="A1735" t="str">
        <f>"300264"</f>
        <v>300264</v>
      </c>
      <c r="B1735" t="s">
        <v>3534</v>
      </c>
      <c r="C1735">
        <v>4.26</v>
      </c>
      <c r="D1735">
        <v>10.78</v>
      </c>
      <c r="E1735">
        <v>0.44</v>
      </c>
      <c r="F1735">
        <v>10.78</v>
      </c>
      <c r="G1735">
        <v>10.79</v>
      </c>
      <c r="H1735">
        <v>1310381</v>
      </c>
      <c r="I1735">
        <v>11286</v>
      </c>
      <c r="J1735">
        <v>0.09</v>
      </c>
      <c r="K1735">
        <v>38.82</v>
      </c>
      <c r="L1735">
        <v>145783.17</v>
      </c>
      <c r="M1735" t="s">
        <v>3535</v>
      </c>
      <c r="N1735" t="s">
        <v>153</v>
      </c>
      <c r="O1735">
        <v>10.38</v>
      </c>
      <c r="P1735">
        <v>11.87</v>
      </c>
      <c r="Q1735">
        <v>10.38</v>
      </c>
      <c r="R1735">
        <v>10.34</v>
      </c>
      <c r="S1735" t="s">
        <v>40</v>
      </c>
      <c r="T1735">
        <v>0.98</v>
      </c>
      <c r="U1735" t="s">
        <v>24</v>
      </c>
    </row>
    <row r="1736" spans="1:21">
      <c r="A1736" t="str">
        <f>"300265"</f>
        <v>300265</v>
      </c>
      <c r="B1736" t="s">
        <v>3536</v>
      </c>
      <c r="C1736">
        <v>0.26</v>
      </c>
      <c r="D1736">
        <v>11.37</v>
      </c>
      <c r="E1736">
        <v>0.03</v>
      </c>
      <c r="F1736">
        <v>11.36</v>
      </c>
      <c r="G1736">
        <v>11.37</v>
      </c>
      <c r="H1736">
        <v>173243</v>
      </c>
      <c r="I1736">
        <v>4937</v>
      </c>
      <c r="J1736">
        <v>0.26</v>
      </c>
      <c r="K1736">
        <v>4.75</v>
      </c>
      <c r="L1736">
        <v>19671.35</v>
      </c>
      <c r="M1736" t="s">
        <v>3537</v>
      </c>
      <c r="N1736" t="s">
        <v>47</v>
      </c>
      <c r="O1736">
        <v>11.34</v>
      </c>
      <c r="P1736">
        <v>11.63</v>
      </c>
      <c r="Q1736">
        <v>11.11</v>
      </c>
      <c r="R1736">
        <v>11.34</v>
      </c>
      <c r="S1736">
        <v>83.16</v>
      </c>
      <c r="T1736">
        <v>0.84</v>
      </c>
      <c r="U1736" t="s">
        <v>102</v>
      </c>
    </row>
    <row r="1737" spans="1:21">
      <c r="A1737" t="str">
        <f>"300266"</f>
        <v>300266</v>
      </c>
      <c r="B1737" t="s">
        <v>3538</v>
      </c>
      <c r="C1737">
        <v>1.39</v>
      </c>
      <c r="D1737">
        <v>3.65</v>
      </c>
      <c r="E1737">
        <v>0.05</v>
      </c>
      <c r="F1737">
        <v>3.64</v>
      </c>
      <c r="G1737">
        <v>3.65</v>
      </c>
      <c r="H1737">
        <v>413502</v>
      </c>
      <c r="I1737">
        <v>10519</v>
      </c>
      <c r="J1737">
        <v>0.27</v>
      </c>
      <c r="K1737">
        <v>2.66</v>
      </c>
      <c r="L1737">
        <v>14785.61</v>
      </c>
      <c r="M1737" t="s">
        <v>3539</v>
      </c>
      <c r="N1737" t="s">
        <v>33</v>
      </c>
      <c r="O1737">
        <v>3.58</v>
      </c>
      <c r="P1737">
        <v>3.65</v>
      </c>
      <c r="Q1737">
        <v>3.51</v>
      </c>
      <c r="R1737">
        <v>3.6</v>
      </c>
      <c r="S1737">
        <v>1949.04</v>
      </c>
      <c r="T1737">
        <v>0.86</v>
      </c>
      <c r="U1737" t="s">
        <v>200</v>
      </c>
    </row>
    <row r="1738" spans="1:21">
      <c r="A1738" t="str">
        <f>"300267"</f>
        <v>300267</v>
      </c>
      <c r="B1738" t="s">
        <v>3540</v>
      </c>
      <c r="C1738">
        <v>0.24</v>
      </c>
      <c r="D1738">
        <v>4.22</v>
      </c>
      <c r="E1738">
        <v>0.01</v>
      </c>
      <c r="F1738">
        <v>4.22</v>
      </c>
      <c r="G1738">
        <v>4.23</v>
      </c>
      <c r="H1738">
        <v>289746</v>
      </c>
      <c r="I1738">
        <v>3717</v>
      </c>
      <c r="J1738">
        <v>-0.23</v>
      </c>
      <c r="K1738">
        <v>2.04</v>
      </c>
      <c r="L1738">
        <v>12191.98</v>
      </c>
      <c r="M1738" t="s">
        <v>3541</v>
      </c>
      <c r="N1738" t="s">
        <v>192</v>
      </c>
      <c r="O1738">
        <v>4.21</v>
      </c>
      <c r="P1738">
        <v>4.26</v>
      </c>
      <c r="Q1738">
        <v>4.16</v>
      </c>
      <c r="R1738">
        <v>4.21</v>
      </c>
      <c r="S1738">
        <v>41.72</v>
      </c>
      <c r="T1738">
        <v>0.48</v>
      </c>
      <c r="U1738" t="s">
        <v>204</v>
      </c>
    </row>
    <row r="1739" spans="1:21">
      <c r="A1739" t="str">
        <f>"300268"</f>
        <v>300268</v>
      </c>
      <c r="B1739" t="s">
        <v>3542</v>
      </c>
      <c r="C1739">
        <v>-0.81</v>
      </c>
      <c r="D1739">
        <v>20.69</v>
      </c>
      <c r="E1739">
        <v>-0.17</v>
      </c>
      <c r="F1739">
        <v>20.69</v>
      </c>
      <c r="G1739">
        <v>20.7</v>
      </c>
      <c r="H1739">
        <v>34673</v>
      </c>
      <c r="I1739">
        <v>243</v>
      </c>
      <c r="J1739">
        <v>0.05</v>
      </c>
      <c r="K1739">
        <v>2.59</v>
      </c>
      <c r="L1739">
        <v>7098.68</v>
      </c>
      <c r="M1739" t="s">
        <v>3543</v>
      </c>
      <c r="N1739" t="s">
        <v>147</v>
      </c>
      <c r="O1739">
        <v>20.75</v>
      </c>
      <c r="P1739">
        <v>20.9</v>
      </c>
      <c r="Q1739">
        <v>20.08</v>
      </c>
      <c r="R1739">
        <v>20.86</v>
      </c>
      <c r="S1739" t="s">
        <v>40</v>
      </c>
      <c r="T1739">
        <v>0.84</v>
      </c>
      <c r="U1739" t="s">
        <v>204</v>
      </c>
    </row>
    <row r="1740" spans="1:21">
      <c r="A1740" t="str">
        <f>"300269"</f>
        <v>300269</v>
      </c>
      <c r="B1740" t="s">
        <v>3544</v>
      </c>
      <c r="C1740">
        <v>-4.18</v>
      </c>
      <c r="D1740">
        <v>4.36</v>
      </c>
      <c r="E1740">
        <v>-0.19</v>
      </c>
      <c r="F1740">
        <v>4.36</v>
      </c>
      <c r="G1740">
        <v>4.37</v>
      </c>
      <c r="H1740">
        <v>264296</v>
      </c>
      <c r="I1740">
        <v>2824</v>
      </c>
      <c r="J1740">
        <v>-0.22</v>
      </c>
      <c r="K1740">
        <v>6.78</v>
      </c>
      <c r="L1740">
        <v>11758.74</v>
      </c>
      <c r="M1740" t="s">
        <v>3545</v>
      </c>
      <c r="N1740" t="s">
        <v>1246</v>
      </c>
      <c r="O1740">
        <v>4.55</v>
      </c>
      <c r="P1740">
        <v>4.68</v>
      </c>
      <c r="Q1740">
        <v>4.31</v>
      </c>
      <c r="R1740">
        <v>4.55</v>
      </c>
      <c r="S1740">
        <v>21.27</v>
      </c>
      <c r="T1740">
        <v>1.25</v>
      </c>
      <c r="U1740" t="s">
        <v>24</v>
      </c>
    </row>
    <row r="1741" spans="1:21">
      <c r="A1741" t="str">
        <f>"300270"</f>
        <v>300270</v>
      </c>
      <c r="B1741" t="s">
        <v>3546</v>
      </c>
      <c r="C1741">
        <v>1.5</v>
      </c>
      <c r="D1741">
        <v>6.75</v>
      </c>
      <c r="E1741">
        <v>0.1</v>
      </c>
      <c r="F1741">
        <v>6.75</v>
      </c>
      <c r="G1741">
        <v>6.76</v>
      </c>
      <c r="H1741">
        <v>46982</v>
      </c>
      <c r="I1741">
        <v>1169</v>
      </c>
      <c r="J1741">
        <v>0.3</v>
      </c>
      <c r="K1741">
        <v>2.29</v>
      </c>
      <c r="L1741">
        <v>3170.39</v>
      </c>
      <c r="M1741" t="s">
        <v>3547</v>
      </c>
      <c r="N1741" t="s">
        <v>153</v>
      </c>
      <c r="O1741">
        <v>6.62</v>
      </c>
      <c r="P1741">
        <v>6.82</v>
      </c>
      <c r="Q1741">
        <v>6.62</v>
      </c>
      <c r="R1741">
        <v>6.65</v>
      </c>
      <c r="S1741" t="s">
        <v>40</v>
      </c>
      <c r="T1741">
        <v>0.68</v>
      </c>
      <c r="U1741" t="s">
        <v>200</v>
      </c>
    </row>
    <row r="1742" spans="1:21">
      <c r="A1742" t="str">
        <f>"300271"</f>
        <v>300271</v>
      </c>
      <c r="B1742" t="s">
        <v>3548</v>
      </c>
      <c r="C1742">
        <v>0.43</v>
      </c>
      <c r="D1742">
        <v>11.57</v>
      </c>
      <c r="E1742">
        <v>0.05</v>
      </c>
      <c r="F1742">
        <v>11.56</v>
      </c>
      <c r="G1742">
        <v>11.57</v>
      </c>
      <c r="H1742">
        <v>220913</v>
      </c>
      <c r="I1742">
        <v>1670</v>
      </c>
      <c r="J1742">
        <v>0.09</v>
      </c>
      <c r="K1742">
        <v>3.07</v>
      </c>
      <c r="L1742">
        <v>25465.85</v>
      </c>
      <c r="M1742" t="s">
        <v>3549</v>
      </c>
      <c r="N1742" t="s">
        <v>30</v>
      </c>
      <c r="O1742">
        <v>11.51</v>
      </c>
      <c r="P1742">
        <v>11.66</v>
      </c>
      <c r="Q1742">
        <v>11.4</v>
      </c>
      <c r="R1742">
        <v>11.52</v>
      </c>
      <c r="S1742">
        <v>29.88</v>
      </c>
      <c r="T1742">
        <v>0.68</v>
      </c>
      <c r="U1742" t="s">
        <v>44</v>
      </c>
    </row>
    <row r="1743" spans="1:21">
      <c r="A1743" t="str">
        <f>"300272"</f>
        <v>300272</v>
      </c>
      <c r="B1743" t="s">
        <v>3550</v>
      </c>
      <c r="C1743">
        <v>0.3</v>
      </c>
      <c r="D1743">
        <v>6.59</v>
      </c>
      <c r="E1743">
        <v>0.02</v>
      </c>
      <c r="F1743">
        <v>6.59</v>
      </c>
      <c r="G1743">
        <v>6.6</v>
      </c>
      <c r="H1743">
        <v>88056</v>
      </c>
      <c r="I1743">
        <v>1102</v>
      </c>
      <c r="J1743">
        <v>0</v>
      </c>
      <c r="K1743">
        <v>2.14</v>
      </c>
      <c r="L1743">
        <v>5762.97</v>
      </c>
      <c r="M1743" t="s">
        <v>3551</v>
      </c>
      <c r="N1743" t="s">
        <v>60</v>
      </c>
      <c r="O1743">
        <v>6.55</v>
      </c>
      <c r="P1743">
        <v>6.61</v>
      </c>
      <c r="Q1743">
        <v>6.47</v>
      </c>
      <c r="R1743">
        <v>6.57</v>
      </c>
      <c r="S1743">
        <v>33.53</v>
      </c>
      <c r="T1743">
        <v>0.52</v>
      </c>
      <c r="U1743" t="s">
        <v>848</v>
      </c>
    </row>
    <row r="1744" spans="1:21">
      <c r="A1744" t="str">
        <f>"300273"</f>
        <v>300273</v>
      </c>
      <c r="B1744" t="s">
        <v>3552</v>
      </c>
      <c r="C1744">
        <v>0.42</v>
      </c>
      <c r="D1744">
        <v>4.77</v>
      </c>
      <c r="E1744">
        <v>0.02</v>
      </c>
      <c r="F1744">
        <v>4.77</v>
      </c>
      <c r="G1744">
        <v>4.78</v>
      </c>
      <c r="H1744">
        <v>73210</v>
      </c>
      <c r="I1744">
        <v>1627</v>
      </c>
      <c r="J1744">
        <v>0.21</v>
      </c>
      <c r="K1744">
        <v>1.17</v>
      </c>
      <c r="L1744">
        <v>3489.31</v>
      </c>
      <c r="M1744" t="s">
        <v>3553</v>
      </c>
      <c r="N1744" t="s">
        <v>186</v>
      </c>
      <c r="O1744">
        <v>4.71</v>
      </c>
      <c r="P1744">
        <v>4.8</v>
      </c>
      <c r="Q1744">
        <v>4.71</v>
      </c>
      <c r="R1744">
        <v>4.75</v>
      </c>
      <c r="S1744">
        <v>694.87</v>
      </c>
      <c r="T1744">
        <v>0.78</v>
      </c>
      <c r="U1744" t="s">
        <v>183</v>
      </c>
    </row>
    <row r="1745" spans="1:21">
      <c r="A1745" t="str">
        <f>"300274"</f>
        <v>300274</v>
      </c>
      <c r="B1745" t="s">
        <v>3554</v>
      </c>
      <c r="C1745">
        <v>1.28</v>
      </c>
      <c r="D1745">
        <v>151.52</v>
      </c>
      <c r="E1745">
        <v>1.91</v>
      </c>
      <c r="F1745">
        <v>151.52</v>
      </c>
      <c r="G1745">
        <v>151.55</v>
      </c>
      <c r="H1745">
        <v>168637</v>
      </c>
      <c r="I1745">
        <v>4408</v>
      </c>
      <c r="J1745">
        <v>-0.14</v>
      </c>
      <c r="K1745">
        <v>1.54</v>
      </c>
      <c r="L1745">
        <v>253565.88</v>
      </c>
      <c r="M1745" t="s">
        <v>3555</v>
      </c>
      <c r="N1745" t="s">
        <v>47</v>
      </c>
      <c r="O1745">
        <v>149.95</v>
      </c>
      <c r="P1745">
        <v>153.1</v>
      </c>
      <c r="Q1745">
        <v>147.58</v>
      </c>
      <c r="R1745">
        <v>149.61</v>
      </c>
      <c r="S1745">
        <v>112.16</v>
      </c>
      <c r="T1745">
        <v>0.94</v>
      </c>
      <c r="U1745" t="s">
        <v>193</v>
      </c>
    </row>
    <row r="1746" spans="1:21">
      <c r="A1746" t="str">
        <f>"300275"</f>
        <v>300275</v>
      </c>
      <c r="B1746" t="s">
        <v>3556</v>
      </c>
      <c r="C1746">
        <v>-3.1</v>
      </c>
      <c r="D1746">
        <v>11.58</v>
      </c>
      <c r="E1746">
        <v>-0.37</v>
      </c>
      <c r="F1746">
        <v>11.57</v>
      </c>
      <c r="G1746">
        <v>11.58</v>
      </c>
      <c r="H1746">
        <v>174383</v>
      </c>
      <c r="I1746">
        <v>5049</v>
      </c>
      <c r="J1746">
        <v>-0.08</v>
      </c>
      <c r="K1746">
        <v>11.95</v>
      </c>
      <c r="L1746">
        <v>20281.07</v>
      </c>
      <c r="M1746" t="s">
        <v>3557</v>
      </c>
      <c r="N1746" t="s">
        <v>30</v>
      </c>
      <c r="O1746">
        <v>11.58</v>
      </c>
      <c r="P1746">
        <v>11.87</v>
      </c>
      <c r="Q1746">
        <v>11.43</v>
      </c>
      <c r="R1746">
        <v>11.95</v>
      </c>
      <c r="S1746">
        <v>86</v>
      </c>
      <c r="T1746">
        <v>0.9</v>
      </c>
      <c r="U1746" t="s">
        <v>314</v>
      </c>
    </row>
    <row r="1747" spans="1:21">
      <c r="A1747" t="str">
        <f>"300276"</f>
        <v>300276</v>
      </c>
      <c r="B1747" t="s">
        <v>3558</v>
      </c>
      <c r="C1747">
        <v>2.96</v>
      </c>
      <c r="D1747">
        <v>4.17</v>
      </c>
      <c r="E1747">
        <v>0.12</v>
      </c>
      <c r="F1747">
        <v>4.17</v>
      </c>
      <c r="G1747">
        <v>4.18</v>
      </c>
      <c r="H1747">
        <v>269994</v>
      </c>
      <c r="I1747">
        <v>1955</v>
      </c>
      <c r="J1747">
        <v>-0.23</v>
      </c>
      <c r="K1747">
        <v>2.86</v>
      </c>
      <c r="L1747">
        <v>11188.34</v>
      </c>
      <c r="M1747" t="s">
        <v>3559</v>
      </c>
      <c r="N1747" t="s">
        <v>324</v>
      </c>
      <c r="O1747">
        <v>4.09</v>
      </c>
      <c r="P1747">
        <v>4.22</v>
      </c>
      <c r="Q1747">
        <v>4.06</v>
      </c>
      <c r="R1747">
        <v>4.05</v>
      </c>
      <c r="S1747">
        <v>41.62</v>
      </c>
      <c r="T1747">
        <v>1.15</v>
      </c>
      <c r="U1747" t="s">
        <v>267</v>
      </c>
    </row>
    <row r="1748" spans="1:21">
      <c r="A1748" t="str">
        <f>"300277"</f>
        <v>300277</v>
      </c>
      <c r="B1748" t="s">
        <v>3560</v>
      </c>
      <c r="C1748">
        <v>-0.57</v>
      </c>
      <c r="D1748">
        <v>8.75</v>
      </c>
      <c r="E1748">
        <v>-0.05</v>
      </c>
      <c r="F1748">
        <v>8.74</v>
      </c>
      <c r="G1748">
        <v>8.75</v>
      </c>
      <c r="H1748">
        <v>68027</v>
      </c>
      <c r="I1748">
        <v>889</v>
      </c>
      <c r="J1748">
        <v>0.23</v>
      </c>
      <c r="K1748">
        <v>2.03</v>
      </c>
      <c r="L1748">
        <v>5941.59</v>
      </c>
      <c r="M1748" t="s">
        <v>3561</v>
      </c>
      <c r="N1748" t="s">
        <v>30</v>
      </c>
      <c r="O1748">
        <v>8.8</v>
      </c>
      <c r="P1748">
        <v>8.88</v>
      </c>
      <c r="Q1748">
        <v>8.65</v>
      </c>
      <c r="R1748">
        <v>8.8</v>
      </c>
      <c r="S1748">
        <v>235.44</v>
      </c>
      <c r="T1748">
        <v>0.91</v>
      </c>
      <c r="U1748" t="s">
        <v>24</v>
      </c>
    </row>
    <row r="1749" spans="1:21">
      <c r="A1749" t="str">
        <f>"300278"</f>
        <v>300278</v>
      </c>
      <c r="B1749" t="s">
        <v>3562</v>
      </c>
      <c r="C1749">
        <v>-4.92</v>
      </c>
      <c r="D1749">
        <v>5.02</v>
      </c>
      <c r="E1749">
        <v>-0.26</v>
      </c>
      <c r="F1749">
        <v>5.02</v>
      </c>
      <c r="G1749">
        <v>5.04</v>
      </c>
      <c r="H1749">
        <v>184790</v>
      </c>
      <c r="I1749">
        <v>4648</v>
      </c>
      <c r="J1749">
        <v>-0.39</v>
      </c>
      <c r="K1749">
        <v>4.21</v>
      </c>
      <c r="L1749">
        <v>9546.96</v>
      </c>
      <c r="M1749" t="s">
        <v>3563</v>
      </c>
      <c r="N1749" t="s">
        <v>324</v>
      </c>
      <c r="O1749">
        <v>5.47</v>
      </c>
      <c r="P1749">
        <v>5.48</v>
      </c>
      <c r="Q1749">
        <v>5.01</v>
      </c>
      <c r="R1749">
        <v>5.28</v>
      </c>
      <c r="S1749" t="s">
        <v>40</v>
      </c>
      <c r="T1749">
        <v>2.09</v>
      </c>
      <c r="U1749" t="s">
        <v>267</v>
      </c>
    </row>
    <row r="1750" spans="1:21">
      <c r="A1750" t="str">
        <f>"300279"</f>
        <v>300279</v>
      </c>
      <c r="B1750" t="s">
        <v>3564</v>
      </c>
      <c r="C1750">
        <v>2.68</v>
      </c>
      <c r="D1750">
        <v>6.52</v>
      </c>
      <c r="E1750">
        <v>0.17</v>
      </c>
      <c r="F1750">
        <v>6.51</v>
      </c>
      <c r="G1750">
        <v>6.52</v>
      </c>
      <c r="H1750">
        <v>77872</v>
      </c>
      <c r="I1750">
        <v>1125</v>
      </c>
      <c r="J1750">
        <v>0.15</v>
      </c>
      <c r="K1750">
        <v>1.77</v>
      </c>
      <c r="L1750">
        <v>5042.7</v>
      </c>
      <c r="M1750" t="s">
        <v>29</v>
      </c>
      <c r="N1750" t="s">
        <v>69</v>
      </c>
      <c r="O1750">
        <v>6.36</v>
      </c>
      <c r="P1750">
        <v>6.54</v>
      </c>
      <c r="Q1750">
        <v>6.31</v>
      </c>
      <c r="R1750">
        <v>6.35</v>
      </c>
      <c r="S1750">
        <v>84.19</v>
      </c>
      <c r="T1750">
        <v>0.99</v>
      </c>
      <c r="U1750" t="s">
        <v>102</v>
      </c>
    </row>
    <row r="1751" spans="1:21">
      <c r="A1751" t="str">
        <f>"300280"</f>
        <v>300280</v>
      </c>
      <c r="B1751" t="s">
        <v>3565</v>
      </c>
      <c r="C1751">
        <v>0.18</v>
      </c>
      <c r="D1751">
        <v>32.83</v>
      </c>
      <c r="E1751">
        <v>0.06</v>
      </c>
      <c r="F1751">
        <v>32.82</v>
      </c>
      <c r="G1751">
        <v>32.83</v>
      </c>
      <c r="H1751">
        <v>39284</v>
      </c>
      <c r="I1751">
        <v>338</v>
      </c>
      <c r="J1751">
        <v>-0.08</v>
      </c>
      <c r="K1751">
        <v>2.45</v>
      </c>
      <c r="L1751">
        <v>12945.06</v>
      </c>
      <c r="M1751" t="s">
        <v>3566</v>
      </c>
      <c r="N1751" t="s">
        <v>482</v>
      </c>
      <c r="O1751">
        <v>32.63</v>
      </c>
      <c r="P1751">
        <v>33.5</v>
      </c>
      <c r="Q1751">
        <v>32.6</v>
      </c>
      <c r="R1751">
        <v>32.77</v>
      </c>
      <c r="S1751">
        <v>12.69</v>
      </c>
      <c r="T1751">
        <v>0.47</v>
      </c>
      <c r="U1751" t="s">
        <v>102</v>
      </c>
    </row>
    <row r="1752" spans="1:21">
      <c r="A1752" t="str">
        <f>"300281"</f>
        <v>300281</v>
      </c>
      <c r="B1752" t="s">
        <v>3567</v>
      </c>
      <c r="C1752">
        <v>1.05</v>
      </c>
      <c r="D1752">
        <v>5.78</v>
      </c>
      <c r="E1752">
        <v>0.06</v>
      </c>
      <c r="F1752">
        <v>5.78</v>
      </c>
      <c r="G1752">
        <v>5.79</v>
      </c>
      <c r="H1752">
        <v>56815</v>
      </c>
      <c r="I1752">
        <v>1574</v>
      </c>
      <c r="J1752">
        <v>0</v>
      </c>
      <c r="K1752">
        <v>1.43</v>
      </c>
      <c r="L1752">
        <v>3270.76</v>
      </c>
      <c r="M1752" t="s">
        <v>3354</v>
      </c>
      <c r="N1752" t="s">
        <v>324</v>
      </c>
      <c r="O1752">
        <v>5.68</v>
      </c>
      <c r="P1752">
        <v>5.81</v>
      </c>
      <c r="Q1752">
        <v>5.66</v>
      </c>
      <c r="R1752">
        <v>5.72</v>
      </c>
      <c r="S1752">
        <v>53.7</v>
      </c>
      <c r="T1752">
        <v>0.72</v>
      </c>
      <c r="U1752" t="s">
        <v>183</v>
      </c>
    </row>
    <row r="1753" spans="1:21">
      <c r="A1753" t="str">
        <f>"300282"</f>
        <v>300282</v>
      </c>
      <c r="B1753" t="s">
        <v>3568</v>
      </c>
      <c r="C1753">
        <v>1</v>
      </c>
      <c r="D1753">
        <v>4.05</v>
      </c>
      <c r="E1753">
        <v>0.04</v>
      </c>
      <c r="F1753">
        <v>4.04</v>
      </c>
      <c r="G1753">
        <v>4.05</v>
      </c>
      <c r="H1753">
        <v>48172</v>
      </c>
      <c r="I1753">
        <v>399</v>
      </c>
      <c r="J1753">
        <v>0.25</v>
      </c>
      <c r="K1753">
        <v>1.29</v>
      </c>
      <c r="L1753">
        <v>1943.99</v>
      </c>
      <c r="M1753" t="s">
        <v>3569</v>
      </c>
      <c r="N1753" t="s">
        <v>63</v>
      </c>
      <c r="O1753">
        <v>4</v>
      </c>
      <c r="P1753">
        <v>4.07</v>
      </c>
      <c r="Q1753">
        <v>4</v>
      </c>
      <c r="R1753">
        <v>4.01</v>
      </c>
      <c r="S1753" t="s">
        <v>40</v>
      </c>
      <c r="T1753">
        <v>0.53</v>
      </c>
      <c r="U1753" t="s">
        <v>44</v>
      </c>
    </row>
    <row r="1754" spans="1:21">
      <c r="A1754" t="str">
        <f>"300283"</f>
        <v>300283</v>
      </c>
      <c r="B1754" t="s">
        <v>3570</v>
      </c>
      <c r="C1754">
        <v>0.4</v>
      </c>
      <c r="D1754">
        <v>7.46</v>
      </c>
      <c r="E1754">
        <v>0.03</v>
      </c>
      <c r="F1754">
        <v>7.45</v>
      </c>
      <c r="G1754">
        <v>7.46</v>
      </c>
      <c r="H1754">
        <v>133322</v>
      </c>
      <c r="I1754">
        <v>1285</v>
      </c>
      <c r="J1754">
        <v>0.13</v>
      </c>
      <c r="K1754">
        <v>4.46</v>
      </c>
      <c r="L1754">
        <v>9984.07</v>
      </c>
      <c r="M1754" t="s">
        <v>3571</v>
      </c>
      <c r="N1754" t="s">
        <v>47</v>
      </c>
      <c r="O1754">
        <v>7.39</v>
      </c>
      <c r="P1754">
        <v>7.6</v>
      </c>
      <c r="Q1754">
        <v>7.39</v>
      </c>
      <c r="R1754">
        <v>7.43</v>
      </c>
      <c r="S1754">
        <v>50.35</v>
      </c>
      <c r="T1754">
        <v>0.67</v>
      </c>
      <c r="U1754" t="s">
        <v>200</v>
      </c>
    </row>
    <row r="1755" spans="1:21">
      <c r="A1755" t="str">
        <f>"300284"</f>
        <v>300284</v>
      </c>
      <c r="B1755" t="s">
        <v>3572</v>
      </c>
      <c r="C1755">
        <v>2.1</v>
      </c>
      <c r="D1755">
        <v>6.31</v>
      </c>
      <c r="E1755">
        <v>0.13</v>
      </c>
      <c r="F1755">
        <v>6.31</v>
      </c>
      <c r="G1755">
        <v>6.32</v>
      </c>
      <c r="H1755">
        <v>86000</v>
      </c>
      <c r="I1755">
        <v>2685</v>
      </c>
      <c r="J1755">
        <v>0</v>
      </c>
      <c r="K1755">
        <v>1.34</v>
      </c>
      <c r="L1755">
        <v>5393.98</v>
      </c>
      <c r="M1755" t="s">
        <v>3573</v>
      </c>
      <c r="N1755" t="s">
        <v>50</v>
      </c>
      <c r="O1755">
        <v>6.15</v>
      </c>
      <c r="P1755">
        <v>6.42</v>
      </c>
      <c r="Q1755">
        <v>6.15</v>
      </c>
      <c r="R1755">
        <v>6.18</v>
      </c>
      <c r="S1755">
        <v>23.01</v>
      </c>
      <c r="T1755">
        <v>0.78</v>
      </c>
      <c r="U1755" t="s">
        <v>102</v>
      </c>
    </row>
    <row r="1756" spans="1:21">
      <c r="A1756" t="str">
        <f>"300285"</f>
        <v>300285</v>
      </c>
      <c r="B1756" t="s">
        <v>3574</v>
      </c>
      <c r="C1756">
        <v>0</v>
      </c>
      <c r="D1756">
        <v>44.41</v>
      </c>
      <c r="E1756">
        <v>0</v>
      </c>
      <c r="F1756">
        <v>44.41</v>
      </c>
      <c r="G1756">
        <v>44.42</v>
      </c>
      <c r="H1756">
        <v>38686</v>
      </c>
      <c r="I1756">
        <v>503</v>
      </c>
      <c r="J1756">
        <v>0.7</v>
      </c>
      <c r="K1756">
        <v>0.49</v>
      </c>
      <c r="L1756">
        <v>17185.62</v>
      </c>
      <c r="M1756" t="s">
        <v>3575</v>
      </c>
      <c r="N1756" t="s">
        <v>1413</v>
      </c>
      <c r="O1756">
        <v>44.41</v>
      </c>
      <c r="P1756">
        <v>45.03</v>
      </c>
      <c r="Q1756">
        <v>43.5</v>
      </c>
      <c r="R1756">
        <v>44.41</v>
      </c>
      <c r="S1756">
        <v>55.59</v>
      </c>
      <c r="T1756">
        <v>1.04</v>
      </c>
      <c r="U1756" t="s">
        <v>221</v>
      </c>
    </row>
    <row r="1757" spans="1:21">
      <c r="A1757" t="str">
        <f>"300286"</f>
        <v>300286</v>
      </c>
      <c r="B1757" t="s">
        <v>3576</v>
      </c>
      <c r="C1757">
        <v>10.53</v>
      </c>
      <c r="D1757">
        <v>33.9</v>
      </c>
      <c r="E1757">
        <v>3.23</v>
      </c>
      <c r="F1757">
        <v>33.9</v>
      </c>
      <c r="G1757">
        <v>33.95</v>
      </c>
      <c r="H1757">
        <v>141269</v>
      </c>
      <c r="I1757">
        <v>1588</v>
      </c>
      <c r="J1757">
        <v>0.74</v>
      </c>
      <c r="K1757">
        <v>8.14</v>
      </c>
      <c r="L1757">
        <v>46844.81</v>
      </c>
      <c r="M1757" t="s">
        <v>3577</v>
      </c>
      <c r="N1757" t="s">
        <v>1028</v>
      </c>
      <c r="O1757">
        <v>30.28</v>
      </c>
      <c r="P1757">
        <v>35.38</v>
      </c>
      <c r="Q1757">
        <v>29.82</v>
      </c>
      <c r="R1757">
        <v>30.67</v>
      </c>
      <c r="S1757">
        <v>40.2</v>
      </c>
      <c r="T1757">
        <v>1.47</v>
      </c>
      <c r="U1757" t="s">
        <v>848</v>
      </c>
    </row>
    <row r="1758" spans="1:21">
      <c r="A1758" t="str">
        <f>"300287"</f>
        <v>300287</v>
      </c>
      <c r="B1758" t="s">
        <v>3578</v>
      </c>
      <c r="C1758">
        <v>-1.15</v>
      </c>
      <c r="D1758">
        <v>5.15</v>
      </c>
      <c r="E1758">
        <v>-0.06</v>
      </c>
      <c r="F1758">
        <v>5.14</v>
      </c>
      <c r="G1758">
        <v>5.15</v>
      </c>
      <c r="H1758">
        <v>1190086</v>
      </c>
      <c r="I1758">
        <v>13800</v>
      </c>
      <c r="J1758">
        <v>0.19</v>
      </c>
      <c r="K1758">
        <v>9.99</v>
      </c>
      <c r="L1758">
        <v>61721.08</v>
      </c>
      <c r="M1758" t="s">
        <v>3579</v>
      </c>
      <c r="N1758" t="s">
        <v>30</v>
      </c>
      <c r="O1758">
        <v>5.22</v>
      </c>
      <c r="P1758">
        <v>5.3</v>
      </c>
      <c r="Q1758">
        <v>5.11</v>
      </c>
      <c r="R1758">
        <v>5.21</v>
      </c>
      <c r="S1758">
        <v>80.26</v>
      </c>
      <c r="T1758">
        <v>0.62</v>
      </c>
      <c r="U1758" t="s">
        <v>44</v>
      </c>
    </row>
    <row r="1759" spans="1:21">
      <c r="A1759" t="str">
        <f>"300288"</f>
        <v>300288</v>
      </c>
      <c r="B1759" t="s">
        <v>3580</v>
      </c>
      <c r="C1759">
        <v>-0.17</v>
      </c>
      <c r="D1759">
        <v>11.98</v>
      </c>
      <c r="E1759">
        <v>-0.02</v>
      </c>
      <c r="F1759">
        <v>11.97</v>
      </c>
      <c r="G1759">
        <v>11.98</v>
      </c>
      <c r="H1759">
        <v>87771</v>
      </c>
      <c r="I1759">
        <v>2765</v>
      </c>
      <c r="J1759">
        <v>-0.07</v>
      </c>
      <c r="K1759">
        <v>3.53</v>
      </c>
      <c r="L1759">
        <v>10595.41</v>
      </c>
      <c r="M1759" t="s">
        <v>3581</v>
      </c>
      <c r="N1759" t="s">
        <v>30</v>
      </c>
      <c r="O1759">
        <v>11.96</v>
      </c>
      <c r="P1759">
        <v>12.19</v>
      </c>
      <c r="Q1759">
        <v>11.96</v>
      </c>
      <c r="R1759">
        <v>12</v>
      </c>
      <c r="S1759">
        <v>50.13</v>
      </c>
      <c r="T1759">
        <v>0.61</v>
      </c>
      <c r="U1759" t="s">
        <v>368</v>
      </c>
    </row>
    <row r="1760" spans="1:21">
      <c r="A1760" t="str">
        <f>"300289"</f>
        <v>300289</v>
      </c>
      <c r="B1760" t="s">
        <v>3582</v>
      </c>
      <c r="C1760">
        <v>0.58</v>
      </c>
      <c r="D1760">
        <v>6.89</v>
      </c>
      <c r="E1760">
        <v>0.04</v>
      </c>
      <c r="F1760">
        <v>6.88</v>
      </c>
      <c r="G1760">
        <v>6.89</v>
      </c>
      <c r="H1760">
        <v>51300</v>
      </c>
      <c r="I1760">
        <v>476</v>
      </c>
      <c r="J1760">
        <v>-0.13</v>
      </c>
      <c r="K1760">
        <v>1.24</v>
      </c>
      <c r="L1760">
        <v>3536.18</v>
      </c>
      <c r="M1760" t="s">
        <v>3003</v>
      </c>
      <c r="N1760" t="s">
        <v>231</v>
      </c>
      <c r="O1760">
        <v>6.89</v>
      </c>
      <c r="P1760">
        <v>6.95</v>
      </c>
      <c r="Q1760">
        <v>6.82</v>
      </c>
      <c r="R1760">
        <v>6.85</v>
      </c>
      <c r="S1760">
        <v>96.74</v>
      </c>
      <c r="T1760">
        <v>0.5</v>
      </c>
      <c r="U1760" t="s">
        <v>44</v>
      </c>
    </row>
    <row r="1761" spans="1:21">
      <c r="A1761" t="str">
        <f>"300290"</f>
        <v>300290</v>
      </c>
      <c r="B1761" t="s">
        <v>3583</v>
      </c>
      <c r="C1761">
        <v>3.97</v>
      </c>
      <c r="D1761">
        <v>6.28</v>
      </c>
      <c r="E1761">
        <v>0.24</v>
      </c>
      <c r="F1761">
        <v>6.28</v>
      </c>
      <c r="G1761">
        <v>6.29</v>
      </c>
      <c r="H1761">
        <v>301534</v>
      </c>
      <c r="I1761">
        <v>7300</v>
      </c>
      <c r="J1761">
        <v>0</v>
      </c>
      <c r="K1761">
        <v>4.96</v>
      </c>
      <c r="L1761">
        <v>18818.38</v>
      </c>
      <c r="M1761" t="s">
        <v>3584</v>
      </c>
      <c r="N1761" t="s">
        <v>30</v>
      </c>
      <c r="O1761">
        <v>6.11</v>
      </c>
      <c r="P1761">
        <v>6.38</v>
      </c>
      <c r="Q1761">
        <v>6.06</v>
      </c>
      <c r="R1761">
        <v>6.04</v>
      </c>
      <c r="S1761">
        <v>182.4</v>
      </c>
      <c r="T1761">
        <v>0.8</v>
      </c>
      <c r="U1761" t="s">
        <v>141</v>
      </c>
    </row>
    <row r="1762" spans="1:21">
      <c r="A1762" t="str">
        <f>"300291"</f>
        <v>300291</v>
      </c>
      <c r="B1762" t="s">
        <v>3585</v>
      </c>
      <c r="C1762">
        <v>-0.75</v>
      </c>
      <c r="D1762">
        <v>5.32</v>
      </c>
      <c r="E1762">
        <v>-0.04</v>
      </c>
      <c r="F1762">
        <v>5.31</v>
      </c>
      <c r="G1762">
        <v>5.32</v>
      </c>
      <c r="H1762">
        <v>156827</v>
      </c>
      <c r="I1762">
        <v>3383</v>
      </c>
      <c r="J1762">
        <v>0.38</v>
      </c>
      <c r="K1762">
        <v>2.05</v>
      </c>
      <c r="L1762">
        <v>8417.99</v>
      </c>
      <c r="M1762" t="s">
        <v>3586</v>
      </c>
      <c r="N1762" t="s">
        <v>199</v>
      </c>
      <c r="O1762">
        <v>5.36</v>
      </c>
      <c r="P1762">
        <v>5.47</v>
      </c>
      <c r="Q1762">
        <v>5.29</v>
      </c>
      <c r="R1762">
        <v>5.36</v>
      </c>
      <c r="S1762">
        <v>61.73</v>
      </c>
      <c r="T1762">
        <v>0.67</v>
      </c>
      <c r="U1762" t="s">
        <v>44</v>
      </c>
    </row>
    <row r="1763" spans="1:21">
      <c r="A1763" t="str">
        <f>"300292"</f>
        <v>300292</v>
      </c>
      <c r="B1763" t="s">
        <v>3587</v>
      </c>
      <c r="C1763">
        <v>-3.47</v>
      </c>
      <c r="D1763">
        <v>3.9</v>
      </c>
      <c r="E1763">
        <v>-0.14</v>
      </c>
      <c r="F1763">
        <v>3.9</v>
      </c>
      <c r="G1763">
        <v>3.91</v>
      </c>
      <c r="H1763">
        <v>630744</v>
      </c>
      <c r="I1763">
        <v>8580</v>
      </c>
      <c r="J1763">
        <v>0</v>
      </c>
      <c r="K1763">
        <v>6.01</v>
      </c>
      <c r="L1763">
        <v>24736.47</v>
      </c>
      <c r="M1763" t="s">
        <v>557</v>
      </c>
      <c r="N1763" t="s">
        <v>30</v>
      </c>
      <c r="O1763">
        <v>4.05</v>
      </c>
      <c r="P1763">
        <v>4.08</v>
      </c>
      <c r="Q1763">
        <v>3.87</v>
      </c>
      <c r="R1763">
        <v>4.04</v>
      </c>
      <c r="S1763">
        <v>62.34</v>
      </c>
      <c r="T1763">
        <v>1</v>
      </c>
      <c r="U1763" t="s">
        <v>102</v>
      </c>
    </row>
    <row r="1764" spans="1:21">
      <c r="A1764" t="str">
        <f>"300293"</f>
        <v>300293</v>
      </c>
      <c r="B1764" t="s">
        <v>3588</v>
      </c>
      <c r="C1764">
        <v>1.46</v>
      </c>
      <c r="D1764">
        <v>13.9</v>
      </c>
      <c r="E1764">
        <v>0.2</v>
      </c>
      <c r="F1764">
        <v>13.89</v>
      </c>
      <c r="G1764">
        <v>13.9</v>
      </c>
      <c r="H1764">
        <v>69520</v>
      </c>
      <c r="I1764">
        <v>914</v>
      </c>
      <c r="J1764">
        <v>0.07</v>
      </c>
      <c r="K1764">
        <v>2.57</v>
      </c>
      <c r="L1764">
        <v>9636.71</v>
      </c>
      <c r="M1764" t="s">
        <v>3589</v>
      </c>
      <c r="N1764" t="s">
        <v>324</v>
      </c>
      <c r="O1764">
        <v>13.68</v>
      </c>
      <c r="P1764">
        <v>14</v>
      </c>
      <c r="Q1764">
        <v>13.62</v>
      </c>
      <c r="R1764">
        <v>13.7</v>
      </c>
      <c r="S1764" t="s">
        <v>40</v>
      </c>
      <c r="T1764">
        <v>0.88</v>
      </c>
      <c r="U1764" t="s">
        <v>141</v>
      </c>
    </row>
    <row r="1765" spans="1:21">
      <c r="A1765" t="str">
        <f>"300294"</f>
        <v>300294</v>
      </c>
      <c r="B1765" t="s">
        <v>3590</v>
      </c>
      <c r="C1765">
        <v>3.21</v>
      </c>
      <c r="D1765">
        <v>42.46</v>
      </c>
      <c r="E1765">
        <v>1.32</v>
      </c>
      <c r="F1765">
        <v>42.46</v>
      </c>
      <c r="G1765">
        <v>42.47</v>
      </c>
      <c r="H1765">
        <v>87320</v>
      </c>
      <c r="I1765">
        <v>701</v>
      </c>
      <c r="J1765">
        <v>0.14</v>
      </c>
      <c r="K1765">
        <v>2.02</v>
      </c>
      <c r="L1765">
        <v>36867.23</v>
      </c>
      <c r="M1765" t="s">
        <v>3591</v>
      </c>
      <c r="N1765" t="s">
        <v>231</v>
      </c>
      <c r="O1765">
        <v>41.08</v>
      </c>
      <c r="P1765">
        <v>43.12</v>
      </c>
      <c r="Q1765">
        <v>40.76</v>
      </c>
      <c r="R1765">
        <v>41.14</v>
      </c>
      <c r="S1765">
        <v>42.66</v>
      </c>
      <c r="T1765">
        <v>1.16</v>
      </c>
      <c r="U1765" t="s">
        <v>235</v>
      </c>
    </row>
    <row r="1766" spans="1:21">
      <c r="A1766" t="str">
        <f>"300295"</f>
        <v>300295</v>
      </c>
      <c r="B1766" t="s">
        <v>3592</v>
      </c>
      <c r="C1766">
        <v>2.01</v>
      </c>
      <c r="D1766">
        <v>10.13</v>
      </c>
      <c r="E1766">
        <v>0.2</v>
      </c>
      <c r="F1766">
        <v>10.13</v>
      </c>
      <c r="G1766">
        <v>10.14</v>
      </c>
      <c r="H1766">
        <v>33021</v>
      </c>
      <c r="I1766">
        <v>412</v>
      </c>
      <c r="J1766">
        <v>0.1</v>
      </c>
      <c r="K1766">
        <v>2</v>
      </c>
      <c r="L1766">
        <v>3329.76</v>
      </c>
      <c r="M1766" t="s">
        <v>488</v>
      </c>
      <c r="N1766" t="s">
        <v>479</v>
      </c>
      <c r="O1766">
        <v>9.92</v>
      </c>
      <c r="P1766">
        <v>10.2</v>
      </c>
      <c r="Q1766">
        <v>9.85</v>
      </c>
      <c r="R1766">
        <v>9.93</v>
      </c>
      <c r="S1766">
        <v>28.57</v>
      </c>
      <c r="T1766">
        <v>0.9</v>
      </c>
      <c r="U1766" t="s">
        <v>102</v>
      </c>
    </row>
    <row r="1767" spans="1:21">
      <c r="A1767" t="str">
        <f>"300296"</f>
        <v>300296</v>
      </c>
      <c r="B1767" t="s">
        <v>3593</v>
      </c>
      <c r="C1767">
        <v>1.07</v>
      </c>
      <c r="D1767">
        <v>10.4</v>
      </c>
      <c r="E1767">
        <v>0.11</v>
      </c>
      <c r="F1767">
        <v>10.39</v>
      </c>
      <c r="G1767">
        <v>10.4</v>
      </c>
      <c r="H1767">
        <v>920635</v>
      </c>
      <c r="I1767">
        <v>13946</v>
      </c>
      <c r="J1767">
        <v>-0.09</v>
      </c>
      <c r="K1767">
        <v>4.63</v>
      </c>
      <c r="L1767">
        <v>95838.65</v>
      </c>
      <c r="M1767" t="s">
        <v>3594</v>
      </c>
      <c r="N1767" t="s">
        <v>1246</v>
      </c>
      <c r="O1767">
        <v>10.23</v>
      </c>
      <c r="P1767">
        <v>10.6</v>
      </c>
      <c r="Q1767">
        <v>10.2</v>
      </c>
      <c r="R1767">
        <v>10.29</v>
      </c>
      <c r="S1767">
        <v>38.08</v>
      </c>
      <c r="T1767">
        <v>0.71</v>
      </c>
      <c r="U1767" t="s">
        <v>44</v>
      </c>
    </row>
    <row r="1768" spans="1:21">
      <c r="A1768" t="str">
        <f>"300297"</f>
        <v>300297</v>
      </c>
      <c r="B1768" t="s">
        <v>3595</v>
      </c>
      <c r="C1768">
        <v>-1.1</v>
      </c>
      <c r="D1768">
        <v>3.6</v>
      </c>
      <c r="E1768">
        <v>-0.04</v>
      </c>
      <c r="F1768">
        <v>3.6</v>
      </c>
      <c r="G1768">
        <v>3.61</v>
      </c>
      <c r="H1768">
        <v>228036</v>
      </c>
      <c r="I1768">
        <v>3854</v>
      </c>
      <c r="J1768">
        <v>-0.27</v>
      </c>
      <c r="K1768">
        <v>2.38</v>
      </c>
      <c r="L1768">
        <v>8271.18</v>
      </c>
      <c r="M1768" t="s">
        <v>3596</v>
      </c>
      <c r="N1768" t="s">
        <v>30</v>
      </c>
      <c r="O1768">
        <v>3.65</v>
      </c>
      <c r="P1768">
        <v>3.69</v>
      </c>
      <c r="Q1768">
        <v>3.58</v>
      </c>
      <c r="R1768">
        <v>3.64</v>
      </c>
      <c r="S1768" t="s">
        <v>40</v>
      </c>
      <c r="T1768">
        <v>0.83</v>
      </c>
      <c r="U1768" t="s">
        <v>196</v>
      </c>
    </row>
    <row r="1769" spans="1:21">
      <c r="A1769" t="str">
        <f>"300298"</f>
        <v>300298</v>
      </c>
      <c r="B1769" t="s">
        <v>3597</v>
      </c>
      <c r="C1769">
        <v>6.46</v>
      </c>
      <c r="D1769">
        <v>29.49</v>
      </c>
      <c r="E1769">
        <v>1.79</v>
      </c>
      <c r="F1769">
        <v>29.49</v>
      </c>
      <c r="G1769">
        <v>29.5</v>
      </c>
      <c r="H1769">
        <v>47577</v>
      </c>
      <c r="I1769">
        <v>399</v>
      </c>
      <c r="J1769">
        <v>-0.02</v>
      </c>
      <c r="K1769">
        <v>1.05</v>
      </c>
      <c r="L1769">
        <v>13832.15</v>
      </c>
      <c r="M1769" t="s">
        <v>3598</v>
      </c>
      <c r="N1769" t="s">
        <v>186</v>
      </c>
      <c r="O1769">
        <v>27.56</v>
      </c>
      <c r="P1769">
        <v>29.8</v>
      </c>
      <c r="Q1769">
        <v>27.15</v>
      </c>
      <c r="R1769">
        <v>27.7</v>
      </c>
      <c r="S1769">
        <v>63.45</v>
      </c>
      <c r="T1769">
        <v>1.82</v>
      </c>
      <c r="U1769" t="s">
        <v>204</v>
      </c>
    </row>
    <row r="1770" spans="1:21">
      <c r="A1770" t="str">
        <f>"300299"</f>
        <v>300299</v>
      </c>
      <c r="B1770" t="s">
        <v>3599</v>
      </c>
      <c r="C1770">
        <v>-0.18</v>
      </c>
      <c r="D1770">
        <v>5.43</v>
      </c>
      <c r="E1770">
        <v>-0.01</v>
      </c>
      <c r="F1770">
        <v>5.42</v>
      </c>
      <c r="G1770">
        <v>5.43</v>
      </c>
      <c r="H1770">
        <v>167843</v>
      </c>
      <c r="I1770">
        <v>578</v>
      </c>
      <c r="J1770">
        <v>-0.17</v>
      </c>
      <c r="K1770">
        <v>2.59</v>
      </c>
      <c r="L1770">
        <v>9110.91</v>
      </c>
      <c r="M1770" t="s">
        <v>3600</v>
      </c>
      <c r="N1770" t="s">
        <v>479</v>
      </c>
      <c r="O1770">
        <v>5.46</v>
      </c>
      <c r="P1770">
        <v>5.49</v>
      </c>
      <c r="Q1770">
        <v>5.35</v>
      </c>
      <c r="R1770">
        <v>5.44</v>
      </c>
      <c r="S1770">
        <v>46.04</v>
      </c>
      <c r="T1770">
        <v>0.64</v>
      </c>
      <c r="U1770" t="s">
        <v>339</v>
      </c>
    </row>
    <row r="1771" spans="1:21">
      <c r="A1771" t="str">
        <f>"300300"</f>
        <v>300300</v>
      </c>
      <c r="B1771" t="s">
        <v>3601</v>
      </c>
      <c r="C1771">
        <v>0.22</v>
      </c>
      <c r="D1771">
        <v>4.54</v>
      </c>
      <c r="E1771">
        <v>0.01</v>
      </c>
      <c r="F1771">
        <v>4.54</v>
      </c>
      <c r="G1771">
        <v>4.55</v>
      </c>
      <c r="H1771">
        <v>56626</v>
      </c>
      <c r="I1771">
        <v>1081</v>
      </c>
      <c r="J1771">
        <v>0</v>
      </c>
      <c r="K1771">
        <v>0.84</v>
      </c>
      <c r="L1771">
        <v>2571.81</v>
      </c>
      <c r="M1771" t="s">
        <v>863</v>
      </c>
      <c r="N1771" t="s">
        <v>30</v>
      </c>
      <c r="O1771">
        <v>4.5</v>
      </c>
      <c r="P1771">
        <v>4.58</v>
      </c>
      <c r="Q1771">
        <v>4.5</v>
      </c>
      <c r="R1771">
        <v>4.53</v>
      </c>
      <c r="S1771" t="s">
        <v>40</v>
      </c>
      <c r="T1771">
        <v>0.64</v>
      </c>
      <c r="U1771" t="s">
        <v>339</v>
      </c>
    </row>
    <row r="1772" spans="1:21">
      <c r="A1772" t="str">
        <f>"300301"</f>
        <v>300301</v>
      </c>
      <c r="B1772" t="s">
        <v>3602</v>
      </c>
      <c r="C1772">
        <v>-1.06</v>
      </c>
      <c r="D1772">
        <v>3.74</v>
      </c>
      <c r="E1772">
        <v>-0.04</v>
      </c>
      <c r="F1772">
        <v>3.73</v>
      </c>
      <c r="G1772">
        <v>3.74</v>
      </c>
      <c r="H1772">
        <v>304461</v>
      </c>
      <c r="I1772">
        <v>5696</v>
      </c>
      <c r="J1772">
        <v>0</v>
      </c>
      <c r="K1772">
        <v>3.85</v>
      </c>
      <c r="L1772">
        <v>11341.66</v>
      </c>
      <c r="M1772" t="s">
        <v>3603</v>
      </c>
      <c r="N1772" t="s">
        <v>1246</v>
      </c>
      <c r="O1772">
        <v>3.76</v>
      </c>
      <c r="P1772">
        <v>3.8</v>
      </c>
      <c r="Q1772">
        <v>3.67</v>
      </c>
      <c r="R1772">
        <v>3.78</v>
      </c>
      <c r="S1772">
        <v>165.39</v>
      </c>
      <c r="T1772">
        <v>0.72</v>
      </c>
      <c r="U1772" t="s">
        <v>24</v>
      </c>
    </row>
    <row r="1773" spans="1:21">
      <c r="A1773" t="str">
        <f>"300302"</f>
        <v>300302</v>
      </c>
      <c r="B1773" t="s">
        <v>3604</v>
      </c>
      <c r="C1773">
        <v>2.45</v>
      </c>
      <c r="D1773">
        <v>10.03</v>
      </c>
      <c r="E1773">
        <v>0.24</v>
      </c>
      <c r="F1773">
        <v>10.02</v>
      </c>
      <c r="G1773">
        <v>10.03</v>
      </c>
      <c r="H1773">
        <v>75197</v>
      </c>
      <c r="I1773">
        <v>436</v>
      </c>
      <c r="J1773">
        <v>-0.09</v>
      </c>
      <c r="K1773">
        <v>2.14</v>
      </c>
      <c r="L1773">
        <v>7510.43</v>
      </c>
      <c r="M1773" t="s">
        <v>3605</v>
      </c>
      <c r="N1773" t="s">
        <v>30</v>
      </c>
      <c r="O1773">
        <v>9.79</v>
      </c>
      <c r="P1773">
        <v>10.2</v>
      </c>
      <c r="Q1773">
        <v>9.73</v>
      </c>
      <c r="R1773">
        <v>9.79</v>
      </c>
      <c r="S1773" t="s">
        <v>40</v>
      </c>
      <c r="T1773">
        <v>0.98</v>
      </c>
      <c r="U1773" t="s">
        <v>44</v>
      </c>
    </row>
    <row r="1774" spans="1:21">
      <c r="A1774" t="str">
        <f>"300303"</f>
        <v>300303</v>
      </c>
      <c r="B1774" t="s">
        <v>3606</v>
      </c>
      <c r="C1774">
        <v>1.94</v>
      </c>
      <c r="D1774">
        <v>6.29</v>
      </c>
      <c r="E1774">
        <v>0.12</v>
      </c>
      <c r="F1774">
        <v>6.29</v>
      </c>
      <c r="G1774">
        <v>6.3</v>
      </c>
      <c r="H1774">
        <v>349901</v>
      </c>
      <c r="I1774">
        <v>4650</v>
      </c>
      <c r="J1774">
        <v>0</v>
      </c>
      <c r="K1774">
        <v>2.88</v>
      </c>
      <c r="L1774">
        <v>21972.93</v>
      </c>
      <c r="M1774" t="s">
        <v>3607</v>
      </c>
      <c r="N1774" t="s">
        <v>1246</v>
      </c>
      <c r="O1774">
        <v>6.21</v>
      </c>
      <c r="P1774">
        <v>6.34</v>
      </c>
      <c r="Q1774">
        <v>6.18</v>
      </c>
      <c r="R1774">
        <v>6.17</v>
      </c>
      <c r="S1774">
        <v>32.72</v>
      </c>
      <c r="T1774">
        <v>0.56</v>
      </c>
      <c r="U1774" t="s">
        <v>24</v>
      </c>
    </row>
    <row r="1775" spans="1:21">
      <c r="A1775" t="str">
        <f>"300304"</f>
        <v>300304</v>
      </c>
      <c r="B1775" t="s">
        <v>3608</v>
      </c>
      <c r="C1775">
        <v>1.1</v>
      </c>
      <c r="D1775">
        <v>7.32</v>
      </c>
      <c r="E1775">
        <v>0.08</v>
      </c>
      <c r="F1775">
        <v>7.31</v>
      </c>
      <c r="G1775">
        <v>7.32</v>
      </c>
      <c r="H1775">
        <v>566506</v>
      </c>
      <c r="I1775">
        <v>6736</v>
      </c>
      <c r="J1775">
        <v>-0.13</v>
      </c>
      <c r="K1775">
        <v>6.71</v>
      </c>
      <c r="L1775">
        <v>41869.59</v>
      </c>
      <c r="M1775" t="s">
        <v>3609</v>
      </c>
      <c r="N1775" t="s">
        <v>91</v>
      </c>
      <c r="O1775">
        <v>7.36</v>
      </c>
      <c r="P1775">
        <v>7.62</v>
      </c>
      <c r="Q1775">
        <v>7.18</v>
      </c>
      <c r="R1775">
        <v>7.24</v>
      </c>
      <c r="S1775">
        <v>24.16</v>
      </c>
      <c r="T1775">
        <v>0.96</v>
      </c>
      <c r="U1775" t="s">
        <v>102</v>
      </c>
    </row>
    <row r="1776" spans="1:21">
      <c r="A1776" t="str">
        <f>"300305"</f>
        <v>300305</v>
      </c>
      <c r="B1776" t="s">
        <v>3610</v>
      </c>
      <c r="C1776">
        <v>-5.05</v>
      </c>
      <c r="D1776">
        <v>22.17</v>
      </c>
      <c r="E1776">
        <v>-1.18</v>
      </c>
      <c r="F1776">
        <v>22.17</v>
      </c>
      <c r="G1776">
        <v>22.18</v>
      </c>
      <c r="H1776">
        <v>304555</v>
      </c>
      <c r="I1776">
        <v>2770</v>
      </c>
      <c r="J1776">
        <v>-0.13</v>
      </c>
      <c r="K1776">
        <v>13.09</v>
      </c>
      <c r="L1776">
        <v>67389.77</v>
      </c>
      <c r="M1776" t="s">
        <v>1209</v>
      </c>
      <c r="N1776" t="s">
        <v>839</v>
      </c>
      <c r="O1776">
        <v>22.96</v>
      </c>
      <c r="P1776">
        <v>23.01</v>
      </c>
      <c r="Q1776">
        <v>21.3</v>
      </c>
      <c r="R1776">
        <v>23.35</v>
      </c>
      <c r="S1776">
        <v>24.62</v>
      </c>
      <c r="T1776">
        <v>1.75</v>
      </c>
      <c r="U1776" t="s">
        <v>102</v>
      </c>
    </row>
    <row r="1777" spans="1:21">
      <c r="A1777" t="str">
        <f>"300306"</f>
        <v>300306</v>
      </c>
      <c r="B1777" t="s">
        <v>3611</v>
      </c>
      <c r="C1777">
        <v>3.14</v>
      </c>
      <c r="D1777">
        <v>10.17</v>
      </c>
      <c r="E1777">
        <v>0.31</v>
      </c>
      <c r="F1777">
        <v>10.16</v>
      </c>
      <c r="G1777">
        <v>10.17</v>
      </c>
      <c r="H1777">
        <v>44020</v>
      </c>
      <c r="I1777">
        <v>654</v>
      </c>
      <c r="J1777">
        <v>0.1</v>
      </c>
      <c r="K1777">
        <v>2.9</v>
      </c>
      <c r="L1777">
        <v>4453.22</v>
      </c>
      <c r="M1777" t="s">
        <v>3612</v>
      </c>
      <c r="N1777" t="s">
        <v>1028</v>
      </c>
      <c r="O1777">
        <v>9.85</v>
      </c>
      <c r="P1777">
        <v>10.25</v>
      </c>
      <c r="Q1777">
        <v>9.85</v>
      </c>
      <c r="R1777">
        <v>9.86</v>
      </c>
      <c r="S1777">
        <v>28.47</v>
      </c>
      <c r="T1777">
        <v>1.31</v>
      </c>
      <c r="U1777" t="s">
        <v>200</v>
      </c>
    </row>
    <row r="1778" spans="1:21">
      <c r="A1778" t="str">
        <f>"300307"</f>
        <v>300307</v>
      </c>
      <c r="B1778" t="s">
        <v>3613</v>
      </c>
      <c r="C1778">
        <v>1.49</v>
      </c>
      <c r="D1778">
        <v>8.85</v>
      </c>
      <c r="E1778">
        <v>0.13</v>
      </c>
      <c r="F1778">
        <v>8.85</v>
      </c>
      <c r="G1778">
        <v>8.86</v>
      </c>
      <c r="H1778">
        <v>133518</v>
      </c>
      <c r="I1778">
        <v>1753</v>
      </c>
      <c r="J1778">
        <v>0.11</v>
      </c>
      <c r="K1778">
        <v>1.73</v>
      </c>
      <c r="L1778">
        <v>11918.4</v>
      </c>
      <c r="M1778" t="s">
        <v>1977</v>
      </c>
      <c r="N1778" t="s">
        <v>1135</v>
      </c>
      <c r="O1778">
        <v>8.73</v>
      </c>
      <c r="P1778">
        <v>9.1</v>
      </c>
      <c r="Q1778">
        <v>8.72</v>
      </c>
      <c r="R1778">
        <v>8.72</v>
      </c>
      <c r="S1778">
        <v>42.87</v>
      </c>
      <c r="T1778">
        <v>0.85</v>
      </c>
      <c r="U1778" t="s">
        <v>200</v>
      </c>
    </row>
    <row r="1779" spans="1:21">
      <c r="A1779" t="str">
        <f>"300308"</f>
        <v>300308</v>
      </c>
      <c r="B1779" t="s">
        <v>3614</v>
      </c>
      <c r="C1779">
        <v>1.35</v>
      </c>
      <c r="D1779">
        <v>33.8</v>
      </c>
      <c r="E1779">
        <v>0.45</v>
      </c>
      <c r="F1779">
        <v>33.79</v>
      </c>
      <c r="G1779">
        <v>33.8</v>
      </c>
      <c r="H1779">
        <v>53177</v>
      </c>
      <c r="I1779">
        <v>855</v>
      </c>
      <c r="J1779">
        <v>-0.05</v>
      </c>
      <c r="K1779">
        <v>0.77</v>
      </c>
      <c r="L1779">
        <v>17837.05</v>
      </c>
      <c r="M1779" t="s">
        <v>3615</v>
      </c>
      <c r="N1779" t="s">
        <v>153</v>
      </c>
      <c r="O1779">
        <v>33.1</v>
      </c>
      <c r="P1779">
        <v>33.87</v>
      </c>
      <c r="Q1779">
        <v>33.08</v>
      </c>
      <c r="R1779">
        <v>33.35</v>
      </c>
      <c r="S1779">
        <v>36.21</v>
      </c>
      <c r="T1779">
        <v>0.85</v>
      </c>
      <c r="U1779" t="s">
        <v>221</v>
      </c>
    </row>
    <row r="1780" spans="1:21">
      <c r="A1780" t="str">
        <f>"300309"</f>
        <v>300309</v>
      </c>
      <c r="B1780" t="s">
        <v>3616</v>
      </c>
      <c r="C1780">
        <v>4.56</v>
      </c>
      <c r="D1780">
        <v>3.21</v>
      </c>
      <c r="E1780">
        <v>0.14</v>
      </c>
      <c r="F1780">
        <v>3.2</v>
      </c>
      <c r="G1780">
        <v>3.21</v>
      </c>
      <c r="H1780">
        <v>657942</v>
      </c>
      <c r="I1780">
        <v>6871</v>
      </c>
      <c r="J1780">
        <v>0</v>
      </c>
      <c r="K1780">
        <v>7.78</v>
      </c>
      <c r="L1780">
        <v>20816.94</v>
      </c>
      <c r="M1780" t="s">
        <v>3617</v>
      </c>
      <c r="N1780" t="s">
        <v>121</v>
      </c>
      <c r="O1780">
        <v>3.07</v>
      </c>
      <c r="P1780">
        <v>3.27</v>
      </c>
      <c r="Q1780">
        <v>3.05</v>
      </c>
      <c r="R1780">
        <v>3.07</v>
      </c>
      <c r="S1780" t="s">
        <v>40</v>
      </c>
      <c r="T1780">
        <v>1.11</v>
      </c>
      <c r="U1780" t="s">
        <v>44</v>
      </c>
    </row>
    <row r="1781" spans="1:21">
      <c r="A1781" t="str">
        <f>"300310"</f>
        <v>300310</v>
      </c>
      <c r="B1781" t="s">
        <v>3618</v>
      </c>
      <c r="C1781">
        <v>0</v>
      </c>
      <c r="D1781">
        <v>5.03</v>
      </c>
      <c r="E1781">
        <v>0</v>
      </c>
      <c r="F1781">
        <v>5.02</v>
      </c>
      <c r="G1781">
        <v>5.03</v>
      </c>
      <c r="H1781">
        <v>188279</v>
      </c>
      <c r="I1781">
        <v>2858</v>
      </c>
      <c r="J1781">
        <v>0.2</v>
      </c>
      <c r="K1781">
        <v>2.72</v>
      </c>
      <c r="L1781">
        <v>9456.52</v>
      </c>
      <c r="M1781" t="s">
        <v>3619</v>
      </c>
      <c r="N1781" t="s">
        <v>153</v>
      </c>
      <c r="O1781">
        <v>5.06</v>
      </c>
      <c r="P1781">
        <v>5.09</v>
      </c>
      <c r="Q1781">
        <v>4.96</v>
      </c>
      <c r="R1781">
        <v>5.03</v>
      </c>
      <c r="S1781">
        <v>80.82</v>
      </c>
      <c r="T1781">
        <v>0.86</v>
      </c>
      <c r="U1781" t="s">
        <v>183</v>
      </c>
    </row>
    <row r="1782" spans="1:21">
      <c r="A1782" t="str">
        <f>"300311"</f>
        <v>300311</v>
      </c>
      <c r="B1782" t="s">
        <v>3620</v>
      </c>
      <c r="C1782">
        <v>0.4</v>
      </c>
      <c r="D1782">
        <v>7.46</v>
      </c>
      <c r="E1782">
        <v>0.03</v>
      </c>
      <c r="F1782">
        <v>7.46</v>
      </c>
      <c r="G1782">
        <v>7.47</v>
      </c>
      <c r="H1782">
        <v>395292</v>
      </c>
      <c r="I1782">
        <v>4447</v>
      </c>
      <c r="J1782">
        <v>0.13</v>
      </c>
      <c r="K1782">
        <v>7.4</v>
      </c>
      <c r="L1782">
        <v>29888.86</v>
      </c>
      <c r="M1782" t="s">
        <v>3621</v>
      </c>
      <c r="N1782" t="s">
        <v>30</v>
      </c>
      <c r="O1782">
        <v>7.6</v>
      </c>
      <c r="P1782">
        <v>7.8</v>
      </c>
      <c r="Q1782">
        <v>7.42</v>
      </c>
      <c r="R1782">
        <v>7.43</v>
      </c>
      <c r="S1782" t="s">
        <v>40</v>
      </c>
      <c r="T1782">
        <v>1.08</v>
      </c>
      <c r="U1782" t="s">
        <v>24</v>
      </c>
    </row>
    <row r="1783" spans="1:21">
      <c r="A1783" t="str">
        <f>"300312"</f>
        <v>300312</v>
      </c>
      <c r="B1783" t="s">
        <v>3622</v>
      </c>
      <c r="C1783">
        <v>-0.68</v>
      </c>
      <c r="D1783">
        <v>2.9</v>
      </c>
      <c r="E1783">
        <v>-0.02</v>
      </c>
      <c r="F1783">
        <v>2.89</v>
      </c>
      <c r="G1783">
        <v>2.9</v>
      </c>
      <c r="H1783">
        <v>105811</v>
      </c>
      <c r="I1783">
        <v>1371</v>
      </c>
      <c r="J1783">
        <v>0</v>
      </c>
      <c r="K1783">
        <v>4.43</v>
      </c>
      <c r="L1783">
        <v>3029.4</v>
      </c>
      <c r="M1783" t="s">
        <v>3623</v>
      </c>
      <c r="N1783" t="s">
        <v>153</v>
      </c>
      <c r="O1783">
        <v>2.92</v>
      </c>
      <c r="P1783">
        <v>2.92</v>
      </c>
      <c r="Q1783">
        <v>2.8</v>
      </c>
      <c r="R1783">
        <v>2.92</v>
      </c>
      <c r="S1783" t="s">
        <v>40</v>
      </c>
      <c r="T1783">
        <v>1.08</v>
      </c>
      <c r="U1783" t="s">
        <v>44</v>
      </c>
    </row>
    <row r="1784" spans="1:21">
      <c r="A1784" t="str">
        <f>"300313"</f>
        <v>300313</v>
      </c>
      <c r="B1784" t="s">
        <v>3624</v>
      </c>
      <c r="C1784">
        <v>-0.54</v>
      </c>
      <c r="D1784">
        <v>9.22</v>
      </c>
      <c r="E1784">
        <v>-0.05</v>
      </c>
      <c r="F1784">
        <v>9.21</v>
      </c>
      <c r="G1784">
        <v>9.22</v>
      </c>
      <c r="H1784">
        <v>45250</v>
      </c>
      <c r="I1784">
        <v>898</v>
      </c>
      <c r="J1784">
        <v>-0.1</v>
      </c>
      <c r="K1784">
        <v>2.46</v>
      </c>
      <c r="L1784">
        <v>4161.18</v>
      </c>
      <c r="M1784" t="s">
        <v>3625</v>
      </c>
      <c r="N1784" t="s">
        <v>147</v>
      </c>
      <c r="O1784">
        <v>9.38</v>
      </c>
      <c r="P1784">
        <v>9.38</v>
      </c>
      <c r="Q1784">
        <v>9.11</v>
      </c>
      <c r="R1784">
        <v>9.27</v>
      </c>
      <c r="S1784" t="s">
        <v>40</v>
      </c>
      <c r="T1784">
        <v>0.7</v>
      </c>
      <c r="U1784" t="s">
        <v>210</v>
      </c>
    </row>
    <row r="1785" spans="1:21">
      <c r="A1785" t="str">
        <f>"300314"</f>
        <v>300314</v>
      </c>
      <c r="B1785" t="s">
        <v>3626</v>
      </c>
      <c r="C1785">
        <v>0.49</v>
      </c>
      <c r="D1785">
        <v>12.24</v>
      </c>
      <c r="E1785">
        <v>0.06</v>
      </c>
      <c r="F1785">
        <v>12.23</v>
      </c>
      <c r="G1785">
        <v>12.24</v>
      </c>
      <c r="H1785">
        <v>11873</v>
      </c>
      <c r="I1785">
        <v>169</v>
      </c>
      <c r="J1785">
        <v>0</v>
      </c>
      <c r="K1785">
        <v>0.63</v>
      </c>
      <c r="L1785">
        <v>1452.16</v>
      </c>
      <c r="M1785" t="s">
        <v>3627</v>
      </c>
      <c r="N1785" t="s">
        <v>186</v>
      </c>
      <c r="O1785">
        <v>12.25</v>
      </c>
      <c r="P1785">
        <v>12.3</v>
      </c>
      <c r="Q1785">
        <v>12.13</v>
      </c>
      <c r="R1785">
        <v>12.18</v>
      </c>
      <c r="S1785">
        <v>39.21</v>
      </c>
      <c r="T1785">
        <v>0.65</v>
      </c>
      <c r="U1785" t="s">
        <v>200</v>
      </c>
    </row>
    <row r="1786" spans="1:21">
      <c r="A1786" t="str">
        <f>"300315"</f>
        <v>300315</v>
      </c>
      <c r="B1786" t="s">
        <v>3628</v>
      </c>
      <c r="C1786">
        <v>-0.93</v>
      </c>
      <c r="D1786">
        <v>4.28</v>
      </c>
      <c r="E1786">
        <v>-0.04</v>
      </c>
      <c r="F1786">
        <v>4.27</v>
      </c>
      <c r="G1786">
        <v>4.28</v>
      </c>
      <c r="H1786">
        <v>875133</v>
      </c>
      <c r="I1786">
        <v>7901</v>
      </c>
      <c r="J1786">
        <v>0.23</v>
      </c>
      <c r="K1786">
        <v>3.32</v>
      </c>
      <c r="L1786">
        <v>37758.12</v>
      </c>
      <c r="M1786" t="s">
        <v>3629</v>
      </c>
      <c r="N1786" t="s">
        <v>479</v>
      </c>
      <c r="O1786">
        <v>4.32</v>
      </c>
      <c r="P1786">
        <v>4.41</v>
      </c>
      <c r="Q1786">
        <v>4.26</v>
      </c>
      <c r="R1786">
        <v>4.32</v>
      </c>
      <c r="S1786">
        <v>36.15</v>
      </c>
      <c r="T1786">
        <v>0.63</v>
      </c>
      <c r="U1786" t="s">
        <v>44</v>
      </c>
    </row>
    <row r="1787" spans="1:21">
      <c r="A1787" t="str">
        <f>"300316"</f>
        <v>300316</v>
      </c>
      <c r="B1787" t="s">
        <v>3630</v>
      </c>
      <c r="C1787">
        <v>0.67</v>
      </c>
      <c r="D1787">
        <v>72.04</v>
      </c>
      <c r="E1787">
        <v>0.48</v>
      </c>
      <c r="F1787">
        <v>72.04</v>
      </c>
      <c r="G1787">
        <v>72.05</v>
      </c>
      <c r="H1787">
        <v>180188</v>
      </c>
      <c r="I1787">
        <v>1207</v>
      </c>
      <c r="J1787">
        <v>-0.14</v>
      </c>
      <c r="K1787">
        <v>1.49</v>
      </c>
      <c r="L1787">
        <v>128289.46</v>
      </c>
      <c r="M1787" t="s">
        <v>3631</v>
      </c>
      <c r="N1787" t="s">
        <v>324</v>
      </c>
      <c r="O1787">
        <v>71.54</v>
      </c>
      <c r="P1787">
        <v>72.89</v>
      </c>
      <c r="Q1787">
        <v>69.79</v>
      </c>
      <c r="R1787">
        <v>71.56</v>
      </c>
      <c r="S1787">
        <v>62.56</v>
      </c>
      <c r="T1787">
        <v>1.13</v>
      </c>
      <c r="U1787" t="s">
        <v>200</v>
      </c>
    </row>
    <row r="1788" spans="1:21">
      <c r="A1788" t="str">
        <f>"300317"</f>
        <v>300317</v>
      </c>
      <c r="B1788" t="s">
        <v>3632</v>
      </c>
      <c r="C1788">
        <v>5.56</v>
      </c>
      <c r="D1788">
        <v>9.69</v>
      </c>
      <c r="E1788">
        <v>0.51</v>
      </c>
      <c r="F1788">
        <v>9.69</v>
      </c>
      <c r="G1788">
        <v>9.7</v>
      </c>
      <c r="H1788">
        <v>810435</v>
      </c>
      <c r="I1788">
        <v>13148</v>
      </c>
      <c r="J1788">
        <v>0.52</v>
      </c>
      <c r="K1788">
        <v>10.54</v>
      </c>
      <c r="L1788">
        <v>76424.62</v>
      </c>
      <c r="M1788" t="s">
        <v>3633</v>
      </c>
      <c r="N1788" t="s">
        <v>1246</v>
      </c>
      <c r="O1788">
        <v>9.01</v>
      </c>
      <c r="P1788">
        <v>9.99</v>
      </c>
      <c r="Q1788">
        <v>8.84</v>
      </c>
      <c r="R1788">
        <v>9.18</v>
      </c>
      <c r="S1788">
        <v>109.35</v>
      </c>
      <c r="T1788">
        <v>1.44</v>
      </c>
      <c r="U1788" t="s">
        <v>24</v>
      </c>
    </row>
    <row r="1789" spans="1:21">
      <c r="A1789" t="str">
        <f>"300318"</f>
        <v>300318</v>
      </c>
      <c r="B1789" t="s">
        <v>3634</v>
      </c>
      <c r="C1789">
        <v>0.59</v>
      </c>
      <c r="D1789">
        <v>8.55</v>
      </c>
      <c r="E1789">
        <v>0.05</v>
      </c>
      <c r="F1789">
        <v>8.55</v>
      </c>
      <c r="G1789">
        <v>8.56</v>
      </c>
      <c r="H1789">
        <v>166024</v>
      </c>
      <c r="I1789">
        <v>2780</v>
      </c>
      <c r="J1789">
        <v>-0.11</v>
      </c>
      <c r="K1789">
        <v>2.08</v>
      </c>
      <c r="L1789">
        <v>14174.64</v>
      </c>
      <c r="M1789" t="s">
        <v>3635</v>
      </c>
      <c r="N1789" t="s">
        <v>186</v>
      </c>
      <c r="O1789">
        <v>8.48</v>
      </c>
      <c r="P1789">
        <v>8.66</v>
      </c>
      <c r="Q1789">
        <v>8.44</v>
      </c>
      <c r="R1789">
        <v>8.5</v>
      </c>
      <c r="S1789" t="s">
        <v>40</v>
      </c>
      <c r="T1789">
        <v>0.51</v>
      </c>
      <c r="U1789" t="s">
        <v>44</v>
      </c>
    </row>
    <row r="1790" spans="1:21">
      <c r="A1790" t="str">
        <f>"300319"</f>
        <v>300319</v>
      </c>
      <c r="B1790" t="s">
        <v>3636</v>
      </c>
      <c r="C1790">
        <v>0.31</v>
      </c>
      <c r="D1790">
        <v>16.39</v>
      </c>
      <c r="E1790">
        <v>0.05</v>
      </c>
      <c r="F1790">
        <v>16.39</v>
      </c>
      <c r="G1790">
        <v>16.4</v>
      </c>
      <c r="H1790">
        <v>309158</v>
      </c>
      <c r="I1790">
        <v>3786</v>
      </c>
      <c r="J1790">
        <v>0.06</v>
      </c>
      <c r="K1790">
        <v>4.7</v>
      </c>
      <c r="L1790">
        <v>50690.26</v>
      </c>
      <c r="M1790" t="s">
        <v>3637</v>
      </c>
      <c r="N1790" t="s">
        <v>69</v>
      </c>
      <c r="O1790">
        <v>16.3</v>
      </c>
      <c r="P1790">
        <v>16.7</v>
      </c>
      <c r="Q1790">
        <v>16.07</v>
      </c>
      <c r="R1790">
        <v>16.34</v>
      </c>
      <c r="S1790">
        <v>45.37</v>
      </c>
      <c r="T1790">
        <v>0.74</v>
      </c>
      <c r="U1790" t="s">
        <v>24</v>
      </c>
    </row>
    <row r="1791" spans="1:21">
      <c r="A1791" t="str">
        <f>"300320"</f>
        <v>300320</v>
      </c>
      <c r="B1791" t="s">
        <v>3638</v>
      </c>
      <c r="C1791">
        <v>4.68</v>
      </c>
      <c r="D1791">
        <v>14.55</v>
      </c>
      <c r="E1791">
        <v>0.65</v>
      </c>
      <c r="F1791">
        <v>14.54</v>
      </c>
      <c r="G1791">
        <v>14.55</v>
      </c>
      <c r="H1791">
        <v>330888</v>
      </c>
      <c r="I1791">
        <v>4014</v>
      </c>
      <c r="J1791">
        <v>0.28</v>
      </c>
      <c r="K1791">
        <v>6.7</v>
      </c>
      <c r="L1791">
        <v>47893.8</v>
      </c>
      <c r="M1791" t="s">
        <v>3639</v>
      </c>
      <c r="N1791" t="s">
        <v>1509</v>
      </c>
      <c r="O1791">
        <v>13.9</v>
      </c>
      <c r="P1791">
        <v>15.06</v>
      </c>
      <c r="Q1791">
        <v>13.86</v>
      </c>
      <c r="R1791">
        <v>13.9</v>
      </c>
      <c r="S1791">
        <v>47.56</v>
      </c>
      <c r="T1791">
        <v>1.04</v>
      </c>
      <c r="U1791" t="s">
        <v>102</v>
      </c>
    </row>
    <row r="1792" spans="1:21">
      <c r="A1792" t="str">
        <f>"300321"</f>
        <v>300321</v>
      </c>
      <c r="B1792" t="s">
        <v>3640</v>
      </c>
      <c r="C1792">
        <v>0.84</v>
      </c>
      <c r="D1792">
        <v>19.16</v>
      </c>
      <c r="E1792">
        <v>0.16</v>
      </c>
      <c r="F1792">
        <v>19.16</v>
      </c>
      <c r="G1792">
        <v>19.17</v>
      </c>
      <c r="H1792">
        <v>6137</v>
      </c>
      <c r="I1792">
        <v>119</v>
      </c>
      <c r="J1792">
        <v>0.31</v>
      </c>
      <c r="K1792">
        <v>0.73</v>
      </c>
      <c r="L1792">
        <v>1167.15</v>
      </c>
      <c r="M1792" t="s">
        <v>3641</v>
      </c>
      <c r="N1792" t="s">
        <v>839</v>
      </c>
      <c r="O1792">
        <v>18.92</v>
      </c>
      <c r="P1792">
        <v>19.28</v>
      </c>
      <c r="Q1792">
        <v>18.7</v>
      </c>
      <c r="R1792">
        <v>19</v>
      </c>
      <c r="S1792">
        <v>116.48</v>
      </c>
      <c r="T1792">
        <v>1.16</v>
      </c>
      <c r="U1792" t="s">
        <v>221</v>
      </c>
    </row>
    <row r="1793" spans="1:21">
      <c r="A1793" t="str">
        <f>"300322"</f>
        <v>300322</v>
      </c>
      <c r="B1793" t="s">
        <v>3642</v>
      </c>
      <c r="C1793">
        <v>5.35</v>
      </c>
      <c r="D1793">
        <v>12.8</v>
      </c>
      <c r="E1793">
        <v>0.65</v>
      </c>
      <c r="F1793">
        <v>12.79</v>
      </c>
      <c r="G1793">
        <v>12.8</v>
      </c>
      <c r="H1793">
        <v>264576</v>
      </c>
      <c r="I1793">
        <v>3033</v>
      </c>
      <c r="J1793">
        <v>-0.07</v>
      </c>
      <c r="K1793">
        <v>5.99</v>
      </c>
      <c r="L1793">
        <v>33452.94</v>
      </c>
      <c r="M1793" t="s">
        <v>3643</v>
      </c>
      <c r="N1793" t="s">
        <v>153</v>
      </c>
      <c r="O1793">
        <v>12.14</v>
      </c>
      <c r="P1793">
        <v>12.95</v>
      </c>
      <c r="Q1793">
        <v>12.14</v>
      </c>
      <c r="R1793">
        <v>12.15</v>
      </c>
      <c r="S1793">
        <v>113.03</v>
      </c>
      <c r="T1793">
        <v>1.2</v>
      </c>
      <c r="U1793" t="s">
        <v>183</v>
      </c>
    </row>
    <row r="1794" spans="1:21">
      <c r="A1794" t="str">
        <f>"300323"</f>
        <v>300323</v>
      </c>
      <c r="B1794" t="s">
        <v>3644</v>
      </c>
      <c r="C1794">
        <v>3.25</v>
      </c>
      <c r="D1794">
        <v>12.71</v>
      </c>
      <c r="E1794">
        <v>0.4</v>
      </c>
      <c r="F1794">
        <v>12.71</v>
      </c>
      <c r="G1794">
        <v>12.72</v>
      </c>
      <c r="H1794">
        <v>209637</v>
      </c>
      <c r="I1794">
        <v>2446</v>
      </c>
      <c r="J1794">
        <v>0.16</v>
      </c>
      <c r="K1794">
        <v>2.31</v>
      </c>
      <c r="L1794">
        <v>26516.56</v>
      </c>
      <c r="M1794" t="s">
        <v>3645</v>
      </c>
      <c r="N1794" t="s">
        <v>1246</v>
      </c>
      <c r="O1794">
        <v>12.41</v>
      </c>
      <c r="P1794">
        <v>12.85</v>
      </c>
      <c r="Q1794">
        <v>12.31</v>
      </c>
      <c r="R1794">
        <v>12.31</v>
      </c>
      <c r="S1794">
        <v>528.22</v>
      </c>
      <c r="T1794">
        <v>0.99</v>
      </c>
      <c r="U1794" t="s">
        <v>267</v>
      </c>
    </row>
    <row r="1795" spans="1:21">
      <c r="A1795" t="str">
        <f>"300324"</f>
        <v>300324</v>
      </c>
      <c r="B1795" t="s">
        <v>3646</v>
      </c>
      <c r="C1795">
        <v>1.3</v>
      </c>
      <c r="D1795">
        <v>3.89</v>
      </c>
      <c r="E1795">
        <v>0.05</v>
      </c>
      <c r="F1795">
        <v>3.88</v>
      </c>
      <c r="G1795">
        <v>3.89</v>
      </c>
      <c r="H1795">
        <v>295091</v>
      </c>
      <c r="I1795">
        <v>10704</v>
      </c>
      <c r="J1795">
        <v>0.26</v>
      </c>
      <c r="K1795">
        <v>2.35</v>
      </c>
      <c r="L1795">
        <v>11365.3</v>
      </c>
      <c r="M1795" t="s">
        <v>3647</v>
      </c>
      <c r="N1795" t="s">
        <v>30</v>
      </c>
      <c r="O1795">
        <v>3.84</v>
      </c>
      <c r="P1795">
        <v>3.9</v>
      </c>
      <c r="Q1795">
        <v>3.78</v>
      </c>
      <c r="R1795">
        <v>3.84</v>
      </c>
      <c r="S1795" t="s">
        <v>40</v>
      </c>
      <c r="T1795">
        <v>0.71</v>
      </c>
      <c r="U1795" t="s">
        <v>44</v>
      </c>
    </row>
    <row r="1796" spans="1:21">
      <c r="A1796" t="str">
        <f>"300325"</f>
        <v>300325</v>
      </c>
      <c r="B1796" t="s">
        <v>3648</v>
      </c>
      <c r="C1796">
        <v>4.38</v>
      </c>
      <c r="D1796">
        <v>2.62</v>
      </c>
      <c r="E1796">
        <v>0.11</v>
      </c>
      <c r="F1796">
        <v>2.62</v>
      </c>
      <c r="G1796">
        <v>2.63</v>
      </c>
      <c r="H1796">
        <v>402531</v>
      </c>
      <c r="I1796">
        <v>5169</v>
      </c>
      <c r="J1796">
        <v>-0.37</v>
      </c>
      <c r="K1796">
        <v>4.04</v>
      </c>
      <c r="L1796">
        <v>10500.81</v>
      </c>
      <c r="M1796" t="s">
        <v>3649</v>
      </c>
      <c r="N1796" t="s">
        <v>839</v>
      </c>
      <c r="O1796">
        <v>2.56</v>
      </c>
      <c r="P1796">
        <v>2.68</v>
      </c>
      <c r="Q1796">
        <v>2.53</v>
      </c>
      <c r="R1796">
        <v>2.51</v>
      </c>
      <c r="S1796" t="s">
        <v>40</v>
      </c>
      <c r="T1796">
        <v>1.17</v>
      </c>
      <c r="U1796" t="s">
        <v>102</v>
      </c>
    </row>
    <row r="1797" spans="1:21">
      <c r="A1797" t="str">
        <f>"300326"</f>
        <v>300326</v>
      </c>
      <c r="B1797" t="s">
        <v>3650</v>
      </c>
      <c r="C1797">
        <v>1.16</v>
      </c>
      <c r="D1797">
        <v>10.5</v>
      </c>
      <c r="E1797">
        <v>0.12</v>
      </c>
      <c r="F1797">
        <v>10.49</v>
      </c>
      <c r="G1797">
        <v>10.5</v>
      </c>
      <c r="H1797">
        <v>107335</v>
      </c>
      <c r="I1797">
        <v>2057</v>
      </c>
      <c r="J1797">
        <v>-0.09</v>
      </c>
      <c r="K1797">
        <v>1.5</v>
      </c>
      <c r="L1797">
        <v>11175.43</v>
      </c>
      <c r="M1797" t="s">
        <v>3651</v>
      </c>
      <c r="N1797" t="s">
        <v>186</v>
      </c>
      <c r="O1797">
        <v>10.46</v>
      </c>
      <c r="P1797">
        <v>10.52</v>
      </c>
      <c r="Q1797">
        <v>10.3</v>
      </c>
      <c r="R1797">
        <v>10.38</v>
      </c>
      <c r="S1797">
        <v>28.47</v>
      </c>
      <c r="T1797">
        <v>0.59</v>
      </c>
      <c r="U1797" t="s">
        <v>848</v>
      </c>
    </row>
    <row r="1798" spans="1:21">
      <c r="A1798" t="str">
        <f>"300327"</f>
        <v>300327</v>
      </c>
      <c r="B1798" t="s">
        <v>3652</v>
      </c>
      <c r="C1798">
        <v>2.08</v>
      </c>
      <c r="D1798">
        <v>67.88</v>
      </c>
      <c r="E1798">
        <v>1.38</v>
      </c>
      <c r="F1798">
        <v>67.88</v>
      </c>
      <c r="G1798">
        <v>67.89</v>
      </c>
      <c r="H1798">
        <v>47500</v>
      </c>
      <c r="I1798">
        <v>354</v>
      </c>
      <c r="J1798">
        <v>-0.03</v>
      </c>
      <c r="K1798">
        <v>1.55</v>
      </c>
      <c r="L1798">
        <v>31954.32</v>
      </c>
      <c r="M1798" t="s">
        <v>3653</v>
      </c>
      <c r="N1798" t="s">
        <v>1246</v>
      </c>
      <c r="O1798">
        <v>67.2</v>
      </c>
      <c r="P1798">
        <v>67.99</v>
      </c>
      <c r="Q1798">
        <v>66.01</v>
      </c>
      <c r="R1798">
        <v>66.5</v>
      </c>
      <c r="S1798">
        <v>59.06</v>
      </c>
      <c r="T1798">
        <v>0.77</v>
      </c>
      <c r="U1798" t="s">
        <v>848</v>
      </c>
    </row>
    <row r="1799" spans="1:21">
      <c r="A1799" t="str">
        <f>"300328"</f>
        <v>300328</v>
      </c>
      <c r="B1799" t="s">
        <v>3654</v>
      </c>
      <c r="C1799">
        <v>-0.76</v>
      </c>
      <c r="D1799">
        <v>7.83</v>
      </c>
      <c r="E1799">
        <v>-0.06</v>
      </c>
      <c r="F1799">
        <v>7.82</v>
      </c>
      <c r="G1799">
        <v>7.83</v>
      </c>
      <c r="H1799">
        <v>101756</v>
      </c>
      <c r="I1799">
        <v>1050</v>
      </c>
      <c r="J1799">
        <v>0.26</v>
      </c>
      <c r="K1799">
        <v>1.49</v>
      </c>
      <c r="L1799">
        <v>7943.43</v>
      </c>
      <c r="M1799" t="s">
        <v>3655</v>
      </c>
      <c r="N1799" t="s">
        <v>494</v>
      </c>
      <c r="O1799">
        <v>7.91</v>
      </c>
      <c r="P1799">
        <v>7.98</v>
      </c>
      <c r="Q1799">
        <v>7.7</v>
      </c>
      <c r="R1799">
        <v>7.89</v>
      </c>
      <c r="S1799">
        <v>3009.14</v>
      </c>
      <c r="T1799">
        <v>1.21</v>
      </c>
      <c r="U1799" t="s">
        <v>183</v>
      </c>
    </row>
    <row r="1800" spans="1:21">
      <c r="A1800" t="str">
        <f>"300329"</f>
        <v>300329</v>
      </c>
      <c r="B1800" t="s">
        <v>3656</v>
      </c>
      <c r="C1800">
        <v>0</v>
      </c>
      <c r="D1800">
        <v>10.84</v>
      </c>
      <c r="E1800">
        <v>0</v>
      </c>
      <c r="F1800">
        <v>10.84</v>
      </c>
      <c r="G1800">
        <v>10.85</v>
      </c>
      <c r="H1800">
        <v>67667</v>
      </c>
      <c r="I1800">
        <v>1453</v>
      </c>
      <c r="J1800">
        <v>-0.17</v>
      </c>
      <c r="K1800">
        <v>2.68</v>
      </c>
      <c r="L1800">
        <v>7341.34</v>
      </c>
      <c r="M1800" t="s">
        <v>2667</v>
      </c>
      <c r="N1800" t="s">
        <v>63</v>
      </c>
      <c r="O1800">
        <v>10.71</v>
      </c>
      <c r="P1800">
        <v>10.97</v>
      </c>
      <c r="Q1800">
        <v>10.69</v>
      </c>
      <c r="R1800">
        <v>10.84</v>
      </c>
      <c r="S1800">
        <v>56.07</v>
      </c>
      <c r="T1800">
        <v>0.5</v>
      </c>
      <c r="U1800" t="s">
        <v>200</v>
      </c>
    </row>
    <row r="1801" spans="1:21">
      <c r="A1801" t="str">
        <f>"300330"</f>
        <v>300330</v>
      </c>
      <c r="B1801" t="s">
        <v>3657</v>
      </c>
      <c r="C1801">
        <v>1.85</v>
      </c>
      <c r="D1801">
        <v>9.93</v>
      </c>
      <c r="E1801">
        <v>0.18</v>
      </c>
      <c r="F1801">
        <v>9.93</v>
      </c>
      <c r="G1801">
        <v>9.94</v>
      </c>
      <c r="H1801">
        <v>18520</v>
      </c>
      <c r="I1801">
        <v>199</v>
      </c>
      <c r="J1801">
        <v>-0.09</v>
      </c>
      <c r="K1801">
        <v>1.1</v>
      </c>
      <c r="L1801">
        <v>1828.04</v>
      </c>
      <c r="M1801" t="s">
        <v>3658</v>
      </c>
      <c r="N1801" t="s">
        <v>30</v>
      </c>
      <c r="O1801">
        <v>9.73</v>
      </c>
      <c r="P1801">
        <v>9.98</v>
      </c>
      <c r="Q1801">
        <v>9.72</v>
      </c>
      <c r="R1801">
        <v>9.75</v>
      </c>
      <c r="S1801">
        <v>743.13</v>
      </c>
      <c r="T1801">
        <v>0.71</v>
      </c>
      <c r="U1801" t="s">
        <v>848</v>
      </c>
    </row>
    <row r="1802" spans="1:21">
      <c r="A1802" t="str">
        <f>"300331"</f>
        <v>300331</v>
      </c>
      <c r="B1802" t="s">
        <v>3659</v>
      </c>
      <c r="C1802">
        <v>8.79</v>
      </c>
      <c r="D1802">
        <v>34.03</v>
      </c>
      <c r="E1802">
        <v>2.75</v>
      </c>
      <c r="F1802">
        <v>34.03</v>
      </c>
      <c r="G1802">
        <v>34.05</v>
      </c>
      <c r="H1802">
        <v>176001</v>
      </c>
      <c r="I1802">
        <v>1432</v>
      </c>
      <c r="J1802">
        <v>-0.02</v>
      </c>
      <c r="K1802">
        <v>10.64</v>
      </c>
      <c r="L1802">
        <v>59430.11</v>
      </c>
      <c r="M1802" t="s">
        <v>3660</v>
      </c>
      <c r="N1802" t="s">
        <v>69</v>
      </c>
      <c r="O1802">
        <v>31</v>
      </c>
      <c r="P1802">
        <v>35.69</v>
      </c>
      <c r="Q1802">
        <v>30.99</v>
      </c>
      <c r="R1802">
        <v>31.28</v>
      </c>
      <c r="S1802">
        <v>126.11</v>
      </c>
      <c r="T1802">
        <v>1.87</v>
      </c>
      <c r="U1802" t="s">
        <v>102</v>
      </c>
    </row>
    <row r="1803" spans="1:21">
      <c r="A1803" t="str">
        <f>"300332"</f>
        <v>300332</v>
      </c>
      <c r="B1803" t="s">
        <v>3661</v>
      </c>
      <c r="C1803">
        <v>5.89</v>
      </c>
      <c r="D1803">
        <v>12.4</v>
      </c>
      <c r="E1803">
        <v>0.69</v>
      </c>
      <c r="F1803">
        <v>12.39</v>
      </c>
      <c r="G1803">
        <v>12.4</v>
      </c>
      <c r="H1803">
        <v>550051</v>
      </c>
      <c r="I1803">
        <v>6557</v>
      </c>
      <c r="J1803">
        <v>0.57</v>
      </c>
      <c r="K1803">
        <v>6.54</v>
      </c>
      <c r="L1803">
        <v>66259.68</v>
      </c>
      <c r="M1803" t="s">
        <v>3662</v>
      </c>
      <c r="N1803" t="s">
        <v>238</v>
      </c>
      <c r="O1803">
        <v>11.53</v>
      </c>
      <c r="P1803">
        <v>12.49</v>
      </c>
      <c r="Q1803">
        <v>11.3</v>
      </c>
      <c r="R1803">
        <v>11.71</v>
      </c>
      <c r="S1803">
        <v>160.05</v>
      </c>
      <c r="T1803">
        <v>0.9</v>
      </c>
      <c r="U1803" t="s">
        <v>44</v>
      </c>
    </row>
    <row r="1804" spans="1:21">
      <c r="A1804" t="str">
        <f>"300333"</f>
        <v>300333</v>
      </c>
      <c r="B1804" t="s">
        <v>3663</v>
      </c>
      <c r="C1804">
        <v>1.87</v>
      </c>
      <c r="D1804">
        <v>7.62</v>
      </c>
      <c r="E1804">
        <v>0.14</v>
      </c>
      <c r="F1804">
        <v>7.61</v>
      </c>
      <c r="G1804">
        <v>7.62</v>
      </c>
      <c r="H1804">
        <v>66350</v>
      </c>
      <c r="I1804">
        <v>656</v>
      </c>
      <c r="J1804">
        <v>0.26</v>
      </c>
      <c r="K1804">
        <v>1.99</v>
      </c>
      <c r="L1804">
        <v>5043.26</v>
      </c>
      <c r="M1804" t="s">
        <v>3664</v>
      </c>
      <c r="N1804" t="s">
        <v>30</v>
      </c>
      <c r="O1804">
        <v>7.54</v>
      </c>
      <c r="P1804">
        <v>7.68</v>
      </c>
      <c r="Q1804">
        <v>7.5</v>
      </c>
      <c r="R1804">
        <v>7.48</v>
      </c>
      <c r="S1804" t="s">
        <v>40</v>
      </c>
      <c r="T1804">
        <v>0.83</v>
      </c>
      <c r="U1804" t="s">
        <v>24</v>
      </c>
    </row>
    <row r="1805" spans="1:21">
      <c r="A1805" t="str">
        <f>"300334"</f>
        <v>300334</v>
      </c>
      <c r="B1805" t="s">
        <v>3665</v>
      </c>
      <c r="C1805">
        <v>-1.42</v>
      </c>
      <c r="D1805">
        <v>9.72</v>
      </c>
      <c r="E1805">
        <v>-0.14</v>
      </c>
      <c r="F1805">
        <v>9.72</v>
      </c>
      <c r="G1805">
        <v>9.73</v>
      </c>
      <c r="H1805">
        <v>102457</v>
      </c>
      <c r="I1805">
        <v>1712</v>
      </c>
      <c r="J1805">
        <v>0</v>
      </c>
      <c r="K1805">
        <v>3.43</v>
      </c>
      <c r="L1805">
        <v>9945.9</v>
      </c>
      <c r="M1805" t="s">
        <v>3666</v>
      </c>
      <c r="N1805" t="s">
        <v>465</v>
      </c>
      <c r="O1805">
        <v>9.68</v>
      </c>
      <c r="P1805">
        <v>9.89</v>
      </c>
      <c r="Q1805">
        <v>9.54</v>
      </c>
      <c r="R1805">
        <v>9.86</v>
      </c>
      <c r="S1805">
        <v>158.48</v>
      </c>
      <c r="T1805">
        <v>1.06</v>
      </c>
      <c r="U1805" t="s">
        <v>360</v>
      </c>
    </row>
    <row r="1806" spans="1:21">
      <c r="A1806" t="str">
        <f>"300335"</f>
        <v>300335</v>
      </c>
      <c r="B1806" t="s">
        <v>3667</v>
      </c>
      <c r="C1806">
        <v>1.05</v>
      </c>
      <c r="D1806">
        <v>5.76</v>
      </c>
      <c r="E1806">
        <v>0.06</v>
      </c>
      <c r="F1806">
        <v>5.76</v>
      </c>
      <c r="G1806">
        <v>5.77</v>
      </c>
      <c r="H1806">
        <v>133433</v>
      </c>
      <c r="I1806">
        <v>3525</v>
      </c>
      <c r="J1806">
        <v>-0.16</v>
      </c>
      <c r="K1806">
        <v>4.72</v>
      </c>
      <c r="L1806">
        <v>7594.13</v>
      </c>
      <c r="M1806" t="s">
        <v>3668</v>
      </c>
      <c r="N1806" t="s">
        <v>238</v>
      </c>
      <c r="O1806">
        <v>5.66</v>
      </c>
      <c r="P1806">
        <v>5.8</v>
      </c>
      <c r="Q1806">
        <v>5.57</v>
      </c>
      <c r="R1806">
        <v>5.7</v>
      </c>
      <c r="S1806">
        <v>65.43</v>
      </c>
      <c r="T1806">
        <v>0.79</v>
      </c>
      <c r="U1806" t="s">
        <v>183</v>
      </c>
    </row>
    <row r="1807" spans="1:21">
      <c r="A1807" t="str">
        <f>"300336"</f>
        <v>300336</v>
      </c>
      <c r="B1807" t="s">
        <v>3669</v>
      </c>
      <c r="C1807">
        <v>1.22</v>
      </c>
      <c r="D1807">
        <v>3.32</v>
      </c>
      <c r="E1807">
        <v>0.04</v>
      </c>
      <c r="F1807">
        <v>3.32</v>
      </c>
      <c r="G1807">
        <v>3.33</v>
      </c>
      <c r="H1807">
        <v>404899</v>
      </c>
      <c r="I1807">
        <v>7778</v>
      </c>
      <c r="J1807">
        <v>0</v>
      </c>
      <c r="K1807">
        <v>5.49</v>
      </c>
      <c r="L1807">
        <v>13319.73</v>
      </c>
      <c r="M1807" t="s">
        <v>3670</v>
      </c>
      <c r="N1807" t="s">
        <v>199</v>
      </c>
      <c r="O1807">
        <v>3.31</v>
      </c>
      <c r="P1807">
        <v>3.37</v>
      </c>
      <c r="Q1807">
        <v>3.21</v>
      </c>
      <c r="R1807">
        <v>3.28</v>
      </c>
      <c r="S1807" t="s">
        <v>40</v>
      </c>
      <c r="T1807">
        <v>0.67</v>
      </c>
      <c r="U1807" t="s">
        <v>848</v>
      </c>
    </row>
    <row r="1808" spans="1:21">
      <c r="A1808" t="str">
        <f>"300337"</f>
        <v>300337</v>
      </c>
      <c r="B1808" t="s">
        <v>3671</v>
      </c>
      <c r="C1808">
        <v>1.35</v>
      </c>
      <c r="D1808">
        <v>5.26</v>
      </c>
      <c r="E1808">
        <v>0.07</v>
      </c>
      <c r="F1808">
        <v>5.26</v>
      </c>
      <c r="G1808">
        <v>5.27</v>
      </c>
      <c r="H1808">
        <v>152858</v>
      </c>
      <c r="I1808">
        <v>1776</v>
      </c>
      <c r="J1808">
        <v>-0.18</v>
      </c>
      <c r="K1808">
        <v>2.15</v>
      </c>
      <c r="L1808">
        <v>7991.13</v>
      </c>
      <c r="M1808" t="s">
        <v>3672</v>
      </c>
      <c r="N1808" t="s">
        <v>494</v>
      </c>
      <c r="O1808">
        <v>5.2</v>
      </c>
      <c r="P1808">
        <v>5.29</v>
      </c>
      <c r="Q1808">
        <v>5.14</v>
      </c>
      <c r="R1808">
        <v>5.19</v>
      </c>
      <c r="S1808">
        <v>130.65</v>
      </c>
      <c r="T1808">
        <v>0.89</v>
      </c>
      <c r="U1808" t="s">
        <v>102</v>
      </c>
    </row>
    <row r="1809" spans="1:21">
      <c r="A1809" t="str">
        <f>"300338"</f>
        <v>300338</v>
      </c>
      <c r="B1809" t="s">
        <v>3673</v>
      </c>
      <c r="C1809">
        <v>-1.95</v>
      </c>
      <c r="D1809">
        <v>6.02</v>
      </c>
      <c r="E1809">
        <v>-0.12</v>
      </c>
      <c r="F1809">
        <v>6.01</v>
      </c>
      <c r="G1809">
        <v>6.02</v>
      </c>
      <c r="H1809">
        <v>348937</v>
      </c>
      <c r="I1809">
        <v>7360</v>
      </c>
      <c r="J1809">
        <v>0.17</v>
      </c>
      <c r="K1809">
        <v>11.6</v>
      </c>
      <c r="L1809">
        <v>21142.98</v>
      </c>
      <c r="M1809" t="s">
        <v>3674</v>
      </c>
      <c r="N1809" t="s">
        <v>63</v>
      </c>
      <c r="O1809">
        <v>6.03</v>
      </c>
      <c r="P1809">
        <v>6.25</v>
      </c>
      <c r="Q1809">
        <v>5.92</v>
      </c>
      <c r="R1809">
        <v>6.14</v>
      </c>
      <c r="S1809" t="s">
        <v>40</v>
      </c>
      <c r="T1809">
        <v>0.6</v>
      </c>
      <c r="U1809" t="s">
        <v>204</v>
      </c>
    </row>
    <row r="1810" spans="1:21">
      <c r="A1810" t="str">
        <f>"300339"</f>
        <v>300339</v>
      </c>
      <c r="B1810" t="s">
        <v>3675</v>
      </c>
      <c r="C1810">
        <v>0</v>
      </c>
      <c r="D1810">
        <v>26.63</v>
      </c>
      <c r="E1810">
        <v>0</v>
      </c>
      <c r="F1810">
        <v>26.63</v>
      </c>
      <c r="G1810">
        <v>26.64</v>
      </c>
      <c r="H1810">
        <v>363767</v>
      </c>
      <c r="I1810">
        <v>5969</v>
      </c>
      <c r="J1810">
        <v>-0.03</v>
      </c>
      <c r="K1810">
        <v>4.72</v>
      </c>
      <c r="L1810">
        <v>96677.38</v>
      </c>
      <c r="M1810" t="s">
        <v>3676</v>
      </c>
      <c r="N1810" t="s">
        <v>30</v>
      </c>
      <c r="O1810">
        <v>26.61</v>
      </c>
      <c r="P1810">
        <v>26.99</v>
      </c>
      <c r="Q1810">
        <v>26.25</v>
      </c>
      <c r="R1810">
        <v>26.63</v>
      </c>
      <c r="S1810">
        <v>140.15</v>
      </c>
      <c r="T1810">
        <v>0.87</v>
      </c>
      <c r="U1810" t="s">
        <v>102</v>
      </c>
    </row>
    <row r="1811" spans="1:21">
      <c r="A1811" t="str">
        <f>"300340"</f>
        <v>300340</v>
      </c>
      <c r="B1811" t="s">
        <v>3677</v>
      </c>
      <c r="C1811">
        <v>-2.89</v>
      </c>
      <c r="D1811">
        <v>21.54</v>
      </c>
      <c r="E1811">
        <v>-0.64</v>
      </c>
      <c r="F1811">
        <v>21.53</v>
      </c>
      <c r="G1811">
        <v>21.54</v>
      </c>
      <c r="H1811">
        <v>200197</v>
      </c>
      <c r="I1811">
        <v>2915</v>
      </c>
      <c r="J1811">
        <v>-0.22</v>
      </c>
      <c r="K1811">
        <v>10.84</v>
      </c>
      <c r="L1811">
        <v>43033.96</v>
      </c>
      <c r="M1811" t="s">
        <v>3678</v>
      </c>
      <c r="N1811" t="s">
        <v>47</v>
      </c>
      <c r="O1811">
        <v>21.29</v>
      </c>
      <c r="P1811">
        <v>21.88</v>
      </c>
      <c r="Q1811">
        <v>21.1</v>
      </c>
      <c r="R1811">
        <v>22.18</v>
      </c>
      <c r="S1811">
        <v>151.24</v>
      </c>
      <c r="T1811">
        <v>0.98</v>
      </c>
      <c r="U1811" t="s">
        <v>183</v>
      </c>
    </row>
    <row r="1812" spans="1:21">
      <c r="A1812" t="str">
        <f>"300341"</f>
        <v>300341</v>
      </c>
      <c r="B1812" t="s">
        <v>3679</v>
      </c>
      <c r="C1812">
        <v>-2.2</v>
      </c>
      <c r="D1812">
        <v>10.65</v>
      </c>
      <c r="E1812">
        <v>-0.24</v>
      </c>
      <c r="F1812">
        <v>10.65</v>
      </c>
      <c r="G1812">
        <v>10.66</v>
      </c>
      <c r="H1812">
        <v>64220</v>
      </c>
      <c r="I1812">
        <v>970</v>
      </c>
      <c r="J1812">
        <v>0.09</v>
      </c>
      <c r="K1812">
        <v>1.26</v>
      </c>
      <c r="L1812">
        <v>6880.45</v>
      </c>
      <c r="M1812" t="s">
        <v>3680</v>
      </c>
      <c r="N1812" t="s">
        <v>47</v>
      </c>
      <c r="O1812">
        <v>10.89</v>
      </c>
      <c r="P1812">
        <v>10.89</v>
      </c>
      <c r="Q1812">
        <v>10.63</v>
      </c>
      <c r="R1812">
        <v>10.89</v>
      </c>
      <c r="S1812">
        <v>33.84</v>
      </c>
      <c r="T1812">
        <v>0.65</v>
      </c>
      <c r="U1812" t="s">
        <v>339</v>
      </c>
    </row>
    <row r="1813" spans="1:21">
      <c r="A1813" t="str">
        <f>"300342"</f>
        <v>300342</v>
      </c>
      <c r="B1813" t="s">
        <v>3681</v>
      </c>
      <c r="C1813">
        <v>-1.33</v>
      </c>
      <c r="D1813">
        <v>14.12</v>
      </c>
      <c r="E1813">
        <v>-0.19</v>
      </c>
      <c r="F1813">
        <v>14.12</v>
      </c>
      <c r="G1813">
        <v>14.13</v>
      </c>
      <c r="H1813">
        <v>125607</v>
      </c>
      <c r="I1813">
        <v>1510</v>
      </c>
      <c r="J1813">
        <v>0</v>
      </c>
      <c r="K1813">
        <v>2.99</v>
      </c>
      <c r="L1813">
        <v>17708.38</v>
      </c>
      <c r="M1813" t="s">
        <v>3682</v>
      </c>
      <c r="N1813" t="s">
        <v>60</v>
      </c>
      <c r="O1813">
        <v>14.11</v>
      </c>
      <c r="P1813">
        <v>14.34</v>
      </c>
      <c r="Q1813">
        <v>13.91</v>
      </c>
      <c r="R1813">
        <v>14.31</v>
      </c>
      <c r="S1813">
        <v>58.75</v>
      </c>
      <c r="T1813">
        <v>0.65</v>
      </c>
      <c r="U1813" t="s">
        <v>102</v>
      </c>
    </row>
    <row r="1814" spans="1:21">
      <c r="A1814" t="str">
        <f>"300343"</f>
        <v>300343</v>
      </c>
      <c r="B1814" t="s">
        <v>3683</v>
      </c>
      <c r="C1814">
        <v>8.71</v>
      </c>
      <c r="D1814">
        <v>22.46</v>
      </c>
      <c r="E1814">
        <v>1.8</v>
      </c>
      <c r="F1814">
        <v>22.45</v>
      </c>
      <c r="G1814">
        <v>22.46</v>
      </c>
      <c r="H1814">
        <v>1429929</v>
      </c>
      <c r="I1814">
        <v>14430</v>
      </c>
      <c r="J1814">
        <v>-0.03</v>
      </c>
      <c r="K1814">
        <v>15.23</v>
      </c>
      <c r="L1814">
        <v>312104.52</v>
      </c>
      <c r="M1814" t="s">
        <v>3684</v>
      </c>
      <c r="N1814" t="s">
        <v>309</v>
      </c>
      <c r="O1814">
        <v>20.8</v>
      </c>
      <c r="P1814">
        <v>23.25</v>
      </c>
      <c r="Q1814">
        <v>20.08</v>
      </c>
      <c r="R1814">
        <v>20.66</v>
      </c>
      <c r="S1814">
        <v>119.61</v>
      </c>
      <c r="T1814">
        <v>1.28</v>
      </c>
      <c r="U1814" t="s">
        <v>221</v>
      </c>
    </row>
    <row r="1815" spans="1:21">
      <c r="A1815" t="str">
        <f>"300344"</f>
        <v>300344</v>
      </c>
      <c r="B1815" t="s">
        <v>3685</v>
      </c>
      <c r="C1815">
        <v>0.88</v>
      </c>
      <c r="D1815">
        <v>5.75</v>
      </c>
      <c r="E1815">
        <v>0.05</v>
      </c>
      <c r="F1815">
        <v>5.75</v>
      </c>
      <c r="G1815">
        <v>5.76</v>
      </c>
      <c r="H1815">
        <v>80737</v>
      </c>
      <c r="I1815">
        <v>860</v>
      </c>
      <c r="J1815">
        <v>0</v>
      </c>
      <c r="K1815">
        <v>2.34</v>
      </c>
      <c r="L1815">
        <v>4661.93</v>
      </c>
      <c r="M1815" t="s">
        <v>3686</v>
      </c>
      <c r="N1815" t="s">
        <v>30</v>
      </c>
      <c r="O1815">
        <v>5.65</v>
      </c>
      <c r="P1815">
        <v>5.84</v>
      </c>
      <c r="Q1815">
        <v>5.65</v>
      </c>
      <c r="R1815">
        <v>5.7</v>
      </c>
      <c r="S1815">
        <v>36.52</v>
      </c>
      <c r="T1815">
        <v>0.53</v>
      </c>
      <c r="U1815" t="s">
        <v>44</v>
      </c>
    </row>
    <row r="1816" spans="1:21">
      <c r="A1816" t="str">
        <f>"300345"</f>
        <v>300345</v>
      </c>
      <c r="B1816" t="s">
        <v>3687</v>
      </c>
      <c r="C1816">
        <v>1.3</v>
      </c>
      <c r="D1816">
        <v>5.46</v>
      </c>
      <c r="E1816">
        <v>0.07</v>
      </c>
      <c r="F1816">
        <v>5.45</v>
      </c>
      <c r="G1816">
        <v>5.46</v>
      </c>
      <c r="H1816">
        <v>45575</v>
      </c>
      <c r="I1816">
        <v>581</v>
      </c>
      <c r="J1816">
        <v>0.37</v>
      </c>
      <c r="K1816">
        <v>1.03</v>
      </c>
      <c r="L1816">
        <v>2465.85</v>
      </c>
      <c r="M1816" t="s">
        <v>3688</v>
      </c>
      <c r="N1816" t="s">
        <v>347</v>
      </c>
      <c r="O1816">
        <v>5.36</v>
      </c>
      <c r="P1816">
        <v>5.47</v>
      </c>
      <c r="Q1816">
        <v>5.31</v>
      </c>
      <c r="R1816">
        <v>5.39</v>
      </c>
      <c r="S1816">
        <v>141.56</v>
      </c>
      <c r="T1816">
        <v>0.9</v>
      </c>
      <c r="U1816" t="s">
        <v>204</v>
      </c>
    </row>
    <row r="1817" spans="1:21">
      <c r="A1817" t="str">
        <f>"300346"</f>
        <v>300346</v>
      </c>
      <c r="B1817" t="s">
        <v>3689</v>
      </c>
      <c r="C1817">
        <v>-0.74</v>
      </c>
      <c r="D1817">
        <v>56.08</v>
      </c>
      <c r="E1817">
        <v>-0.42</v>
      </c>
      <c r="F1817">
        <v>56.07</v>
      </c>
      <c r="G1817">
        <v>56.08</v>
      </c>
      <c r="H1817">
        <v>179423</v>
      </c>
      <c r="I1817">
        <v>1915</v>
      </c>
      <c r="J1817">
        <v>0.16</v>
      </c>
      <c r="K1817">
        <v>4.7</v>
      </c>
      <c r="L1817">
        <v>101392.57</v>
      </c>
      <c r="M1817" t="s">
        <v>3690</v>
      </c>
      <c r="N1817" t="s">
        <v>69</v>
      </c>
      <c r="O1817">
        <v>56.9</v>
      </c>
      <c r="P1817">
        <v>57.87</v>
      </c>
      <c r="Q1817">
        <v>55.55</v>
      </c>
      <c r="R1817">
        <v>56.5</v>
      </c>
      <c r="S1817">
        <v>143.21</v>
      </c>
      <c r="T1817">
        <v>0.79</v>
      </c>
      <c r="U1817" t="s">
        <v>102</v>
      </c>
    </row>
    <row r="1818" spans="1:21">
      <c r="A1818" t="str">
        <f>"300347"</f>
        <v>300347</v>
      </c>
      <c r="B1818" t="s">
        <v>3691</v>
      </c>
      <c r="C1818">
        <v>-2.67</v>
      </c>
      <c r="D1818">
        <v>142.1</v>
      </c>
      <c r="E1818">
        <v>-3.9</v>
      </c>
      <c r="F1818">
        <v>142.1</v>
      </c>
      <c r="G1818">
        <v>142.11</v>
      </c>
      <c r="H1818">
        <v>62036</v>
      </c>
      <c r="I1818">
        <v>526</v>
      </c>
      <c r="J1818">
        <v>0.08</v>
      </c>
      <c r="K1818">
        <v>1.1</v>
      </c>
      <c r="L1818">
        <v>88104.54</v>
      </c>
      <c r="M1818" t="s">
        <v>3692</v>
      </c>
      <c r="N1818" t="s">
        <v>186</v>
      </c>
      <c r="O1818">
        <v>144</v>
      </c>
      <c r="P1818">
        <v>146.45</v>
      </c>
      <c r="Q1818">
        <v>140.26</v>
      </c>
      <c r="R1818">
        <v>146</v>
      </c>
      <c r="S1818">
        <v>52.21</v>
      </c>
      <c r="T1818">
        <v>1.06</v>
      </c>
      <c r="U1818" t="s">
        <v>200</v>
      </c>
    </row>
    <row r="1819" spans="1:21">
      <c r="A1819" t="str">
        <f>"300348"</f>
        <v>300348</v>
      </c>
      <c r="B1819" t="s">
        <v>3693</v>
      </c>
      <c r="C1819">
        <v>-0.3</v>
      </c>
      <c r="D1819">
        <v>13.39</v>
      </c>
      <c r="E1819">
        <v>-0.04</v>
      </c>
      <c r="F1819">
        <v>13.39</v>
      </c>
      <c r="G1819">
        <v>13.4</v>
      </c>
      <c r="H1819">
        <v>79010</v>
      </c>
      <c r="I1819">
        <v>2230</v>
      </c>
      <c r="J1819">
        <v>0.37</v>
      </c>
      <c r="K1819">
        <v>1.29</v>
      </c>
      <c r="L1819">
        <v>10607.27</v>
      </c>
      <c r="M1819" t="s">
        <v>3694</v>
      </c>
      <c r="N1819" t="s">
        <v>30</v>
      </c>
      <c r="O1819">
        <v>13.5</v>
      </c>
      <c r="P1819">
        <v>13.55</v>
      </c>
      <c r="Q1819">
        <v>13.29</v>
      </c>
      <c r="R1819">
        <v>13.43</v>
      </c>
      <c r="S1819">
        <v>383.74</v>
      </c>
      <c r="T1819">
        <v>1.06</v>
      </c>
      <c r="U1819" t="s">
        <v>24</v>
      </c>
    </row>
    <row r="1820" spans="1:21">
      <c r="A1820" t="str">
        <f>"300349"</f>
        <v>300349</v>
      </c>
      <c r="B1820" t="s">
        <v>3695</v>
      </c>
      <c r="C1820">
        <v>0.27</v>
      </c>
      <c r="D1820">
        <v>11.26</v>
      </c>
      <c r="E1820">
        <v>0.03</v>
      </c>
      <c r="F1820">
        <v>11.25</v>
      </c>
      <c r="G1820">
        <v>11.26</v>
      </c>
      <c r="H1820">
        <v>25785</v>
      </c>
      <c r="I1820">
        <v>450</v>
      </c>
      <c r="J1820">
        <v>-0.26</v>
      </c>
      <c r="K1820">
        <v>0.68</v>
      </c>
      <c r="L1820">
        <v>2891.08</v>
      </c>
      <c r="M1820" t="s">
        <v>3696</v>
      </c>
      <c r="N1820" t="s">
        <v>1028</v>
      </c>
      <c r="O1820">
        <v>11.2</v>
      </c>
      <c r="P1820">
        <v>11.33</v>
      </c>
      <c r="Q1820">
        <v>11.07</v>
      </c>
      <c r="R1820">
        <v>11.23</v>
      </c>
      <c r="S1820">
        <v>18.38</v>
      </c>
      <c r="T1820">
        <v>1.09</v>
      </c>
      <c r="U1820" t="s">
        <v>200</v>
      </c>
    </row>
    <row r="1821" spans="1:21">
      <c r="A1821" t="str">
        <f>"300350"</f>
        <v>300350</v>
      </c>
      <c r="B1821" t="s">
        <v>3697</v>
      </c>
      <c r="C1821">
        <v>5.24</v>
      </c>
      <c r="D1821">
        <v>8.83</v>
      </c>
      <c r="E1821">
        <v>0.44</v>
      </c>
      <c r="F1821">
        <v>8.83</v>
      </c>
      <c r="G1821">
        <v>8.84</v>
      </c>
      <c r="H1821">
        <v>278738</v>
      </c>
      <c r="I1821">
        <v>4724</v>
      </c>
      <c r="J1821">
        <v>0.11</v>
      </c>
      <c r="K1821">
        <v>8.55</v>
      </c>
      <c r="L1821">
        <v>24493.88</v>
      </c>
      <c r="M1821" t="s">
        <v>3698</v>
      </c>
      <c r="N1821" t="s">
        <v>1049</v>
      </c>
      <c r="O1821">
        <v>8.35</v>
      </c>
      <c r="P1821">
        <v>9.09</v>
      </c>
      <c r="Q1821">
        <v>8.32</v>
      </c>
      <c r="R1821">
        <v>8.39</v>
      </c>
      <c r="S1821">
        <v>43.62</v>
      </c>
      <c r="T1821">
        <v>2.11</v>
      </c>
      <c r="U1821" t="s">
        <v>24</v>
      </c>
    </row>
    <row r="1822" spans="1:21">
      <c r="A1822" t="str">
        <f>"300351"</f>
        <v>300351</v>
      </c>
      <c r="B1822" t="s">
        <v>3699</v>
      </c>
      <c r="C1822">
        <v>-0.74</v>
      </c>
      <c r="D1822">
        <v>13.37</v>
      </c>
      <c r="E1822">
        <v>-0.1</v>
      </c>
      <c r="F1822">
        <v>13.36</v>
      </c>
      <c r="G1822">
        <v>13.37</v>
      </c>
      <c r="H1822">
        <v>119145</v>
      </c>
      <c r="I1822">
        <v>1784</v>
      </c>
      <c r="J1822">
        <v>-0.06</v>
      </c>
      <c r="K1822">
        <v>4.71</v>
      </c>
      <c r="L1822">
        <v>15888.38</v>
      </c>
      <c r="M1822" t="s">
        <v>3700</v>
      </c>
      <c r="N1822" t="s">
        <v>43</v>
      </c>
      <c r="O1822">
        <v>13.37</v>
      </c>
      <c r="P1822">
        <v>13.74</v>
      </c>
      <c r="Q1822">
        <v>13.1</v>
      </c>
      <c r="R1822">
        <v>13.47</v>
      </c>
      <c r="S1822">
        <v>42.7</v>
      </c>
      <c r="T1822">
        <v>0.53</v>
      </c>
      <c r="U1822" t="s">
        <v>200</v>
      </c>
    </row>
    <row r="1823" spans="1:21">
      <c r="A1823" t="str">
        <f>"300352"</f>
        <v>300352</v>
      </c>
      <c r="B1823" t="s">
        <v>3701</v>
      </c>
      <c r="C1823">
        <v>1.95</v>
      </c>
      <c r="D1823">
        <v>7.31</v>
      </c>
      <c r="E1823">
        <v>0.14</v>
      </c>
      <c r="F1823">
        <v>7.31</v>
      </c>
      <c r="G1823">
        <v>7.32</v>
      </c>
      <c r="H1823">
        <v>619705</v>
      </c>
      <c r="I1823">
        <v>16965</v>
      </c>
      <c r="J1823">
        <v>-0.13</v>
      </c>
      <c r="K1823">
        <v>5.12</v>
      </c>
      <c r="L1823">
        <v>45008.22</v>
      </c>
      <c r="M1823" t="s">
        <v>3702</v>
      </c>
      <c r="N1823" t="s">
        <v>30</v>
      </c>
      <c r="O1823">
        <v>7.2</v>
      </c>
      <c r="P1823">
        <v>7.36</v>
      </c>
      <c r="Q1823">
        <v>7.16</v>
      </c>
      <c r="R1823">
        <v>7.17</v>
      </c>
      <c r="S1823">
        <v>783.68</v>
      </c>
      <c r="T1823">
        <v>0.8</v>
      </c>
      <c r="U1823" t="s">
        <v>44</v>
      </c>
    </row>
    <row r="1824" spans="1:21">
      <c r="A1824" t="str">
        <f>"300353"</f>
        <v>300353</v>
      </c>
      <c r="B1824" t="s">
        <v>3703</v>
      </c>
      <c r="C1824">
        <v>0.49</v>
      </c>
      <c r="D1824">
        <v>10.28</v>
      </c>
      <c r="E1824">
        <v>0.05</v>
      </c>
      <c r="F1824">
        <v>10.27</v>
      </c>
      <c r="G1824">
        <v>10.28</v>
      </c>
      <c r="H1824">
        <v>273135</v>
      </c>
      <c r="I1824">
        <v>6575</v>
      </c>
      <c r="J1824">
        <v>0.19</v>
      </c>
      <c r="K1824">
        <v>6.79</v>
      </c>
      <c r="L1824">
        <v>28020.13</v>
      </c>
      <c r="M1824" t="s">
        <v>118</v>
      </c>
      <c r="N1824" t="s">
        <v>153</v>
      </c>
      <c r="O1824">
        <v>10.32</v>
      </c>
      <c r="P1824">
        <v>10.39</v>
      </c>
      <c r="Q1824">
        <v>10.14</v>
      </c>
      <c r="R1824">
        <v>10.23</v>
      </c>
      <c r="S1824" t="s">
        <v>40</v>
      </c>
      <c r="T1824">
        <v>0.9</v>
      </c>
      <c r="U1824" t="s">
        <v>44</v>
      </c>
    </row>
    <row r="1825" spans="1:21">
      <c r="A1825" t="str">
        <f>"300354"</f>
        <v>300354</v>
      </c>
      <c r="B1825" t="s">
        <v>3704</v>
      </c>
      <c r="C1825">
        <v>-3.51</v>
      </c>
      <c r="D1825">
        <v>43.4</v>
      </c>
      <c r="E1825">
        <v>-1.58</v>
      </c>
      <c r="F1825">
        <v>43.4</v>
      </c>
      <c r="G1825">
        <v>43.41</v>
      </c>
      <c r="H1825">
        <v>90520</v>
      </c>
      <c r="I1825">
        <v>1714</v>
      </c>
      <c r="J1825">
        <v>0.12</v>
      </c>
      <c r="K1825">
        <v>11.52</v>
      </c>
      <c r="L1825">
        <v>40230.33</v>
      </c>
      <c r="M1825" t="s">
        <v>3705</v>
      </c>
      <c r="N1825" t="s">
        <v>1028</v>
      </c>
      <c r="O1825">
        <v>45.1</v>
      </c>
      <c r="P1825">
        <v>45.89</v>
      </c>
      <c r="Q1825">
        <v>43.1</v>
      </c>
      <c r="R1825">
        <v>44.98</v>
      </c>
      <c r="S1825">
        <v>113.81</v>
      </c>
      <c r="T1825">
        <v>1.84</v>
      </c>
      <c r="U1825" t="s">
        <v>102</v>
      </c>
    </row>
    <row r="1826" spans="1:21">
      <c r="A1826" t="str">
        <f>"300355"</f>
        <v>300355</v>
      </c>
      <c r="B1826" t="s">
        <v>3706</v>
      </c>
      <c r="C1826">
        <v>2.05</v>
      </c>
      <c r="D1826">
        <v>4.48</v>
      </c>
      <c r="E1826">
        <v>0.09</v>
      </c>
      <c r="F1826">
        <v>4.47</v>
      </c>
      <c r="G1826">
        <v>4.48</v>
      </c>
      <c r="H1826">
        <v>593844</v>
      </c>
      <c r="I1826">
        <v>11910</v>
      </c>
      <c r="J1826">
        <v>0.45</v>
      </c>
      <c r="K1826">
        <v>4.54</v>
      </c>
      <c r="L1826">
        <v>26247.33</v>
      </c>
      <c r="M1826" t="s">
        <v>3707</v>
      </c>
      <c r="N1826" t="s">
        <v>33</v>
      </c>
      <c r="O1826">
        <v>4.36</v>
      </c>
      <c r="P1826">
        <v>4.49</v>
      </c>
      <c r="Q1826">
        <v>4.32</v>
      </c>
      <c r="R1826">
        <v>4.39</v>
      </c>
      <c r="S1826">
        <v>22.27</v>
      </c>
      <c r="T1826">
        <v>1.54</v>
      </c>
      <c r="U1826" t="s">
        <v>275</v>
      </c>
    </row>
    <row r="1827" spans="1:21">
      <c r="A1827" t="str">
        <f>"300356"</f>
        <v>300356</v>
      </c>
      <c r="B1827" t="s">
        <v>3708</v>
      </c>
      <c r="C1827">
        <v>0.3</v>
      </c>
      <c r="D1827">
        <v>3.39</v>
      </c>
      <c r="E1827">
        <v>0.01</v>
      </c>
      <c r="F1827">
        <v>3.39</v>
      </c>
      <c r="G1827">
        <v>3.4</v>
      </c>
      <c r="H1827">
        <v>77274</v>
      </c>
      <c r="I1827">
        <v>661</v>
      </c>
      <c r="J1827">
        <v>0</v>
      </c>
      <c r="K1827">
        <v>1.99</v>
      </c>
      <c r="L1827">
        <v>2595.14</v>
      </c>
      <c r="M1827" t="s">
        <v>3709</v>
      </c>
      <c r="N1827" t="s">
        <v>47</v>
      </c>
      <c r="O1827">
        <v>3.36</v>
      </c>
      <c r="P1827">
        <v>3.4</v>
      </c>
      <c r="Q1827">
        <v>3.31</v>
      </c>
      <c r="R1827">
        <v>3.38</v>
      </c>
      <c r="S1827" t="s">
        <v>40</v>
      </c>
      <c r="T1827">
        <v>0.71</v>
      </c>
      <c r="U1827" t="s">
        <v>102</v>
      </c>
    </row>
    <row r="1828" spans="1:21">
      <c r="A1828" t="str">
        <f>"300357"</f>
        <v>300357</v>
      </c>
      <c r="B1828" t="s">
        <v>3710</v>
      </c>
      <c r="C1828">
        <v>1.19</v>
      </c>
      <c r="D1828">
        <v>56.1</v>
      </c>
      <c r="E1828">
        <v>0.66</v>
      </c>
      <c r="F1828">
        <v>56.02</v>
      </c>
      <c r="G1828">
        <v>56.1</v>
      </c>
      <c r="H1828">
        <v>25268</v>
      </c>
      <c r="I1828">
        <v>416</v>
      </c>
      <c r="J1828">
        <v>-0.08</v>
      </c>
      <c r="K1828">
        <v>0.54</v>
      </c>
      <c r="L1828">
        <v>14074.18</v>
      </c>
      <c r="M1828" t="s">
        <v>3711</v>
      </c>
      <c r="N1828" t="s">
        <v>231</v>
      </c>
      <c r="O1828">
        <v>55.3</v>
      </c>
      <c r="P1828">
        <v>56.41</v>
      </c>
      <c r="Q1828">
        <v>54.95</v>
      </c>
      <c r="R1828">
        <v>55.44</v>
      </c>
      <c r="S1828">
        <v>80.23</v>
      </c>
      <c r="T1828">
        <v>0.64</v>
      </c>
      <c r="U1828" t="s">
        <v>200</v>
      </c>
    </row>
    <row r="1829" spans="1:21">
      <c r="A1829" t="str">
        <f>"300358"</f>
        <v>300358</v>
      </c>
      <c r="B1829" t="s">
        <v>3712</v>
      </c>
      <c r="C1829">
        <v>0.88</v>
      </c>
      <c r="D1829">
        <v>22.98</v>
      </c>
      <c r="E1829">
        <v>0.2</v>
      </c>
      <c r="F1829">
        <v>22.98</v>
      </c>
      <c r="G1829">
        <v>22.99</v>
      </c>
      <c r="H1829">
        <v>141508</v>
      </c>
      <c r="I1829">
        <v>1040</v>
      </c>
      <c r="J1829">
        <v>0.26</v>
      </c>
      <c r="K1829">
        <v>2.74</v>
      </c>
      <c r="L1829">
        <v>32489.09</v>
      </c>
      <c r="M1829" t="s">
        <v>3713</v>
      </c>
      <c r="N1829" t="s">
        <v>186</v>
      </c>
      <c r="O1829">
        <v>22.77</v>
      </c>
      <c r="P1829">
        <v>23.33</v>
      </c>
      <c r="Q1829">
        <v>22.39</v>
      </c>
      <c r="R1829">
        <v>22.78</v>
      </c>
      <c r="S1829">
        <v>24.32</v>
      </c>
      <c r="T1829">
        <v>0.86</v>
      </c>
      <c r="U1829" t="s">
        <v>204</v>
      </c>
    </row>
    <row r="1830" spans="1:21">
      <c r="A1830" t="str">
        <f>"300359"</f>
        <v>300359</v>
      </c>
      <c r="B1830" t="s">
        <v>3714</v>
      </c>
      <c r="C1830">
        <v>1.52</v>
      </c>
      <c r="D1830">
        <v>5.35</v>
      </c>
      <c r="E1830">
        <v>0.08</v>
      </c>
      <c r="F1830">
        <v>5.34</v>
      </c>
      <c r="G1830">
        <v>5.35</v>
      </c>
      <c r="H1830">
        <v>85841</v>
      </c>
      <c r="I1830">
        <v>717</v>
      </c>
      <c r="J1830">
        <v>0</v>
      </c>
      <c r="K1830">
        <v>1.36</v>
      </c>
      <c r="L1830">
        <v>4607.94</v>
      </c>
      <c r="M1830" t="s">
        <v>3715</v>
      </c>
      <c r="N1830" t="s">
        <v>63</v>
      </c>
      <c r="O1830">
        <v>5.3</v>
      </c>
      <c r="P1830">
        <v>5.41</v>
      </c>
      <c r="Q1830">
        <v>5.29</v>
      </c>
      <c r="R1830">
        <v>5.27</v>
      </c>
      <c r="S1830">
        <v>195.48</v>
      </c>
      <c r="T1830">
        <v>0.66</v>
      </c>
      <c r="U1830" t="s">
        <v>183</v>
      </c>
    </row>
    <row r="1831" spans="1:21">
      <c r="A1831" t="str">
        <f>"300360"</f>
        <v>300360</v>
      </c>
      <c r="B1831" t="s">
        <v>3716</v>
      </c>
      <c r="C1831">
        <v>-0.54</v>
      </c>
      <c r="D1831">
        <v>12.87</v>
      </c>
      <c r="E1831">
        <v>-0.07</v>
      </c>
      <c r="F1831">
        <v>12.87</v>
      </c>
      <c r="G1831">
        <v>12.88</v>
      </c>
      <c r="H1831">
        <v>552004</v>
      </c>
      <c r="I1831">
        <v>9256</v>
      </c>
      <c r="J1831">
        <v>0.63</v>
      </c>
      <c r="K1831">
        <v>12.66</v>
      </c>
      <c r="L1831">
        <v>71240.2</v>
      </c>
      <c r="M1831" t="s">
        <v>3717</v>
      </c>
      <c r="N1831" t="s">
        <v>1028</v>
      </c>
      <c r="O1831">
        <v>12.54</v>
      </c>
      <c r="P1831">
        <v>13.48</v>
      </c>
      <c r="Q1831">
        <v>12.44</v>
      </c>
      <c r="R1831">
        <v>12.94</v>
      </c>
      <c r="S1831">
        <v>22.22</v>
      </c>
      <c r="T1831">
        <v>0.81</v>
      </c>
      <c r="U1831" t="s">
        <v>200</v>
      </c>
    </row>
    <row r="1832" spans="1:21">
      <c r="A1832" t="str">
        <f>"300363"</f>
        <v>300363</v>
      </c>
      <c r="B1832" t="s">
        <v>3718</v>
      </c>
      <c r="C1832">
        <v>1.03</v>
      </c>
      <c r="D1832">
        <v>86.33</v>
      </c>
      <c r="E1832">
        <v>0.88</v>
      </c>
      <c r="F1832">
        <v>86.33</v>
      </c>
      <c r="G1832">
        <v>86.37</v>
      </c>
      <c r="H1832">
        <v>39844</v>
      </c>
      <c r="I1832">
        <v>292</v>
      </c>
      <c r="J1832">
        <v>-0.31</v>
      </c>
      <c r="K1832">
        <v>0.89</v>
      </c>
      <c r="L1832">
        <v>34237.97</v>
      </c>
      <c r="M1832" t="s">
        <v>3719</v>
      </c>
      <c r="N1832" t="s">
        <v>192</v>
      </c>
      <c r="O1832">
        <v>84.4</v>
      </c>
      <c r="P1832">
        <v>87.35</v>
      </c>
      <c r="Q1832">
        <v>84.4</v>
      </c>
      <c r="R1832">
        <v>85.45</v>
      </c>
      <c r="S1832">
        <v>97.67</v>
      </c>
      <c r="T1832">
        <v>0.65</v>
      </c>
      <c r="U1832" t="s">
        <v>314</v>
      </c>
    </row>
    <row r="1833" spans="1:21">
      <c r="A1833" t="str">
        <f>"300364"</f>
        <v>300364</v>
      </c>
      <c r="B1833" t="s">
        <v>3720</v>
      </c>
      <c r="C1833">
        <v>4.26</v>
      </c>
      <c r="D1833">
        <v>9.55</v>
      </c>
      <c r="E1833">
        <v>0.39</v>
      </c>
      <c r="F1833">
        <v>9.54</v>
      </c>
      <c r="G1833">
        <v>9.55</v>
      </c>
      <c r="H1833">
        <v>899892</v>
      </c>
      <c r="I1833">
        <v>9108</v>
      </c>
      <c r="J1833">
        <v>-0.2</v>
      </c>
      <c r="K1833">
        <v>14.23</v>
      </c>
      <c r="L1833">
        <v>84467.76</v>
      </c>
      <c r="M1833" t="s">
        <v>3721</v>
      </c>
      <c r="N1833" t="s">
        <v>650</v>
      </c>
      <c r="O1833">
        <v>9.01</v>
      </c>
      <c r="P1833">
        <v>9.74</v>
      </c>
      <c r="Q1833">
        <v>9</v>
      </c>
      <c r="R1833">
        <v>9.16</v>
      </c>
      <c r="S1833">
        <v>90.76</v>
      </c>
      <c r="T1833">
        <v>0.78</v>
      </c>
      <c r="U1833" t="s">
        <v>44</v>
      </c>
    </row>
    <row r="1834" spans="1:21">
      <c r="A1834" t="str">
        <f>"300365"</f>
        <v>300365</v>
      </c>
      <c r="B1834" t="s">
        <v>3722</v>
      </c>
      <c r="C1834">
        <v>-1.58</v>
      </c>
      <c r="D1834">
        <v>14.33</v>
      </c>
      <c r="E1834">
        <v>-0.23</v>
      </c>
      <c r="F1834">
        <v>14.33</v>
      </c>
      <c r="G1834">
        <v>14.34</v>
      </c>
      <c r="H1834">
        <v>136753</v>
      </c>
      <c r="I1834">
        <v>2122</v>
      </c>
      <c r="J1834">
        <v>-0.06</v>
      </c>
      <c r="K1834">
        <v>3.93</v>
      </c>
      <c r="L1834">
        <v>19659.46</v>
      </c>
      <c r="M1834" t="s">
        <v>3723</v>
      </c>
      <c r="N1834" t="s">
        <v>30</v>
      </c>
      <c r="O1834">
        <v>14.49</v>
      </c>
      <c r="P1834">
        <v>14.75</v>
      </c>
      <c r="Q1834">
        <v>14.15</v>
      </c>
      <c r="R1834">
        <v>14.56</v>
      </c>
      <c r="S1834">
        <v>108.95</v>
      </c>
      <c r="T1834">
        <v>0.43</v>
      </c>
      <c r="U1834" t="s">
        <v>44</v>
      </c>
    </row>
    <row r="1835" spans="1:21">
      <c r="A1835" t="str">
        <f>"300366"</f>
        <v>300366</v>
      </c>
      <c r="B1835" t="s">
        <v>3724</v>
      </c>
      <c r="C1835">
        <v>-0.29</v>
      </c>
      <c r="D1835">
        <v>13.92</v>
      </c>
      <c r="E1835">
        <v>-0.04</v>
      </c>
      <c r="F1835">
        <v>13.92</v>
      </c>
      <c r="G1835">
        <v>13.93</v>
      </c>
      <c r="H1835">
        <v>435974</v>
      </c>
      <c r="I1835">
        <v>7474</v>
      </c>
      <c r="J1835">
        <v>-0.28</v>
      </c>
      <c r="K1835">
        <v>8.3</v>
      </c>
      <c r="L1835">
        <v>61100.39</v>
      </c>
      <c r="M1835" t="s">
        <v>3725</v>
      </c>
      <c r="N1835" t="s">
        <v>30</v>
      </c>
      <c r="O1835">
        <v>14.41</v>
      </c>
      <c r="P1835">
        <v>14.46</v>
      </c>
      <c r="Q1835">
        <v>13.81</v>
      </c>
      <c r="R1835">
        <v>13.96</v>
      </c>
      <c r="S1835">
        <v>146.12</v>
      </c>
      <c r="T1835">
        <v>0.68</v>
      </c>
      <c r="U1835" t="s">
        <v>196</v>
      </c>
    </row>
    <row r="1836" spans="1:21">
      <c r="A1836" t="str">
        <f>"300367"</f>
        <v>300367</v>
      </c>
      <c r="B1836" t="s">
        <v>3726</v>
      </c>
      <c r="C1836">
        <v>0.93</v>
      </c>
      <c r="D1836">
        <v>2.16</v>
      </c>
      <c r="E1836">
        <v>0.02</v>
      </c>
      <c r="F1836">
        <v>2.16</v>
      </c>
      <c r="G1836">
        <v>2.17</v>
      </c>
      <c r="H1836">
        <v>66207</v>
      </c>
      <c r="I1836">
        <v>1094</v>
      </c>
      <c r="J1836">
        <v>0</v>
      </c>
      <c r="K1836">
        <v>0.62</v>
      </c>
      <c r="L1836">
        <v>1425.47</v>
      </c>
      <c r="M1836" t="s">
        <v>2816</v>
      </c>
      <c r="N1836" t="s">
        <v>72</v>
      </c>
      <c r="O1836">
        <v>2.13</v>
      </c>
      <c r="P1836">
        <v>2.17</v>
      </c>
      <c r="Q1836">
        <v>2.13</v>
      </c>
      <c r="R1836">
        <v>2.14</v>
      </c>
      <c r="S1836" t="s">
        <v>40</v>
      </c>
      <c r="T1836">
        <v>0.75</v>
      </c>
      <c r="U1836" t="s">
        <v>44</v>
      </c>
    </row>
    <row r="1837" spans="1:21">
      <c r="A1837" t="str">
        <f>"300368"</f>
        <v>300368</v>
      </c>
      <c r="B1837" t="s">
        <v>3727</v>
      </c>
      <c r="C1837">
        <v>0</v>
      </c>
      <c r="D1837">
        <v>10.07</v>
      </c>
      <c r="E1837">
        <v>0</v>
      </c>
      <c r="F1837">
        <v>10.07</v>
      </c>
      <c r="G1837">
        <v>10.08</v>
      </c>
      <c r="H1837">
        <v>69545</v>
      </c>
      <c r="I1837">
        <v>1483</v>
      </c>
      <c r="J1837">
        <v>0.1</v>
      </c>
      <c r="K1837">
        <v>1.36</v>
      </c>
      <c r="L1837">
        <v>6990.52</v>
      </c>
      <c r="M1837" t="s">
        <v>3728</v>
      </c>
      <c r="N1837" t="s">
        <v>72</v>
      </c>
      <c r="O1837">
        <v>10.04</v>
      </c>
      <c r="P1837">
        <v>10.14</v>
      </c>
      <c r="Q1837">
        <v>9.97</v>
      </c>
      <c r="R1837">
        <v>10.07</v>
      </c>
      <c r="S1837">
        <v>224.84</v>
      </c>
      <c r="T1837">
        <v>0.84</v>
      </c>
      <c r="U1837" t="s">
        <v>207</v>
      </c>
    </row>
    <row r="1838" spans="1:21">
      <c r="A1838" t="str">
        <f>"300369"</f>
        <v>300369</v>
      </c>
      <c r="B1838" t="s">
        <v>3729</v>
      </c>
      <c r="C1838">
        <v>2.06</v>
      </c>
      <c r="D1838">
        <v>16.32</v>
      </c>
      <c r="E1838">
        <v>0.33</v>
      </c>
      <c r="F1838">
        <v>16.31</v>
      </c>
      <c r="G1838">
        <v>16.32</v>
      </c>
      <c r="H1838">
        <v>90329</v>
      </c>
      <c r="I1838">
        <v>1431</v>
      </c>
      <c r="J1838">
        <v>0.18</v>
      </c>
      <c r="K1838">
        <v>1.23</v>
      </c>
      <c r="L1838">
        <v>14761.96</v>
      </c>
      <c r="M1838" t="s">
        <v>3730</v>
      </c>
      <c r="N1838" t="s">
        <v>30</v>
      </c>
      <c r="O1838">
        <v>16.1</v>
      </c>
      <c r="P1838">
        <v>16.51</v>
      </c>
      <c r="Q1838">
        <v>16.1</v>
      </c>
      <c r="R1838">
        <v>15.99</v>
      </c>
      <c r="S1838" t="s">
        <v>40</v>
      </c>
      <c r="T1838">
        <v>0.68</v>
      </c>
      <c r="U1838" t="s">
        <v>44</v>
      </c>
    </row>
    <row r="1839" spans="1:21">
      <c r="A1839" t="str">
        <f>"300370"</f>
        <v>300370</v>
      </c>
      <c r="B1839" t="s">
        <v>3731</v>
      </c>
      <c r="C1839">
        <v>0.76</v>
      </c>
      <c r="D1839">
        <v>2.66</v>
      </c>
      <c r="E1839">
        <v>0.02</v>
      </c>
      <c r="F1839">
        <v>2.65</v>
      </c>
      <c r="G1839">
        <v>2.66</v>
      </c>
      <c r="H1839">
        <v>86805</v>
      </c>
      <c r="I1839">
        <v>1666</v>
      </c>
      <c r="J1839">
        <v>0.76</v>
      </c>
      <c r="K1839">
        <v>0.92</v>
      </c>
      <c r="L1839">
        <v>2297.68</v>
      </c>
      <c r="M1839" t="s">
        <v>3732</v>
      </c>
      <c r="N1839" t="s">
        <v>1028</v>
      </c>
      <c r="O1839">
        <v>2.66</v>
      </c>
      <c r="P1839">
        <v>2.67</v>
      </c>
      <c r="Q1839">
        <v>2.63</v>
      </c>
      <c r="R1839">
        <v>2.64</v>
      </c>
      <c r="S1839" t="s">
        <v>40</v>
      </c>
      <c r="T1839">
        <v>0.75</v>
      </c>
      <c r="U1839" t="s">
        <v>196</v>
      </c>
    </row>
    <row r="1840" spans="1:21">
      <c r="A1840" t="str">
        <f>"300371"</f>
        <v>300371</v>
      </c>
      <c r="B1840" t="s">
        <v>3733</v>
      </c>
      <c r="C1840">
        <v>-3.08</v>
      </c>
      <c r="D1840">
        <v>16.7</v>
      </c>
      <c r="E1840">
        <v>-0.53</v>
      </c>
      <c r="F1840">
        <v>16.69</v>
      </c>
      <c r="G1840">
        <v>16.7</v>
      </c>
      <c r="H1840">
        <v>92878</v>
      </c>
      <c r="I1840">
        <v>885</v>
      </c>
      <c r="J1840">
        <v>-0.59</v>
      </c>
      <c r="K1840">
        <v>8.43</v>
      </c>
      <c r="L1840">
        <v>15244.43</v>
      </c>
      <c r="M1840" t="s">
        <v>3734</v>
      </c>
      <c r="N1840" t="s">
        <v>1028</v>
      </c>
      <c r="O1840">
        <v>16.53</v>
      </c>
      <c r="P1840">
        <v>17.08</v>
      </c>
      <c r="Q1840">
        <v>15.5</v>
      </c>
      <c r="R1840">
        <v>17.23</v>
      </c>
      <c r="S1840">
        <v>23.71</v>
      </c>
      <c r="T1840">
        <v>0.95</v>
      </c>
      <c r="U1840" t="s">
        <v>207</v>
      </c>
    </row>
    <row r="1841" spans="1:21">
      <c r="A1841" t="str">
        <f>"300373"</f>
        <v>300373</v>
      </c>
      <c r="B1841" t="s">
        <v>3735</v>
      </c>
      <c r="C1841">
        <v>8.87</v>
      </c>
      <c r="D1841">
        <v>56.95</v>
      </c>
      <c r="E1841">
        <v>4.64</v>
      </c>
      <c r="F1841">
        <v>56.94</v>
      </c>
      <c r="G1841">
        <v>56.95</v>
      </c>
      <c r="H1841">
        <v>312286</v>
      </c>
      <c r="I1841">
        <v>4540</v>
      </c>
      <c r="J1841">
        <v>0.09</v>
      </c>
      <c r="K1841">
        <v>6.11</v>
      </c>
      <c r="L1841">
        <v>173587.3</v>
      </c>
      <c r="M1841" t="s">
        <v>3736</v>
      </c>
      <c r="N1841" t="s">
        <v>1246</v>
      </c>
      <c r="O1841">
        <v>52.32</v>
      </c>
      <c r="P1841">
        <v>57.29</v>
      </c>
      <c r="Q1841">
        <v>52.32</v>
      </c>
      <c r="R1841">
        <v>52.31</v>
      </c>
      <c r="S1841">
        <v>38.76</v>
      </c>
      <c r="T1841">
        <v>2.26</v>
      </c>
      <c r="U1841" t="s">
        <v>102</v>
      </c>
    </row>
    <row r="1842" spans="1:21">
      <c r="A1842" t="str">
        <f>"300374"</f>
        <v>300374</v>
      </c>
      <c r="B1842" t="s">
        <v>3737</v>
      </c>
      <c r="C1842">
        <v>-0.92</v>
      </c>
      <c r="D1842">
        <v>11.81</v>
      </c>
      <c r="E1842">
        <v>-0.11</v>
      </c>
      <c r="F1842">
        <v>11.8</v>
      </c>
      <c r="G1842">
        <v>11.81</v>
      </c>
      <c r="H1842">
        <v>18586</v>
      </c>
      <c r="I1842">
        <v>143</v>
      </c>
      <c r="J1842">
        <v>0.25</v>
      </c>
      <c r="K1842">
        <v>0.98</v>
      </c>
      <c r="L1842">
        <v>2185.35</v>
      </c>
      <c r="M1842" t="s">
        <v>3738</v>
      </c>
      <c r="N1842" t="s">
        <v>131</v>
      </c>
      <c r="O1842">
        <v>11.8</v>
      </c>
      <c r="P1842">
        <v>12</v>
      </c>
      <c r="Q1842">
        <v>11.65</v>
      </c>
      <c r="R1842">
        <v>11.92</v>
      </c>
      <c r="S1842" t="s">
        <v>40</v>
      </c>
      <c r="T1842">
        <v>0.97</v>
      </c>
      <c r="U1842" t="s">
        <v>44</v>
      </c>
    </row>
    <row r="1843" spans="1:21">
      <c r="A1843" t="str">
        <f>"300375"</f>
        <v>300375</v>
      </c>
      <c r="B1843" t="s">
        <v>3739</v>
      </c>
      <c r="C1843">
        <v>1.78</v>
      </c>
      <c r="D1843">
        <v>4.57</v>
      </c>
      <c r="E1843">
        <v>0.08</v>
      </c>
      <c r="F1843">
        <v>4.57</v>
      </c>
      <c r="G1843">
        <v>4.58</v>
      </c>
      <c r="H1843">
        <v>121249</v>
      </c>
      <c r="I1843">
        <v>2046</v>
      </c>
      <c r="J1843">
        <v>0</v>
      </c>
      <c r="K1843">
        <v>1.93</v>
      </c>
      <c r="L1843">
        <v>5488.65</v>
      </c>
      <c r="M1843" t="s">
        <v>3740</v>
      </c>
      <c r="N1843" t="s">
        <v>91</v>
      </c>
      <c r="O1843">
        <v>4.52</v>
      </c>
      <c r="P1843">
        <v>4.61</v>
      </c>
      <c r="Q1843">
        <v>4.44</v>
      </c>
      <c r="R1843">
        <v>4.49</v>
      </c>
      <c r="S1843">
        <v>37.64</v>
      </c>
      <c r="T1843">
        <v>0.85</v>
      </c>
      <c r="U1843" t="s">
        <v>360</v>
      </c>
    </row>
    <row r="1844" spans="1:21">
      <c r="A1844" t="str">
        <f>"300376"</f>
        <v>300376</v>
      </c>
      <c r="B1844" t="s">
        <v>3741</v>
      </c>
      <c r="C1844">
        <v>-1.19</v>
      </c>
      <c r="D1844">
        <v>11.59</v>
      </c>
      <c r="E1844">
        <v>-0.14</v>
      </c>
      <c r="F1844">
        <v>11.59</v>
      </c>
      <c r="G1844">
        <v>11.6</v>
      </c>
      <c r="H1844">
        <v>1219773</v>
      </c>
      <c r="I1844">
        <v>22580</v>
      </c>
      <c r="J1844">
        <v>0.17</v>
      </c>
      <c r="K1844">
        <v>5.26</v>
      </c>
      <c r="L1844">
        <v>140607.72</v>
      </c>
      <c r="M1844" t="s">
        <v>3742</v>
      </c>
      <c r="N1844" t="s">
        <v>47</v>
      </c>
      <c r="O1844">
        <v>11.62</v>
      </c>
      <c r="P1844">
        <v>11.8</v>
      </c>
      <c r="Q1844">
        <v>11.36</v>
      </c>
      <c r="R1844">
        <v>11.73</v>
      </c>
      <c r="S1844">
        <v>55.55</v>
      </c>
      <c r="T1844">
        <v>0.58</v>
      </c>
      <c r="U1844" t="s">
        <v>183</v>
      </c>
    </row>
    <row r="1845" spans="1:21">
      <c r="A1845" t="str">
        <f>"300377"</f>
        <v>300377</v>
      </c>
      <c r="B1845" t="s">
        <v>3743</v>
      </c>
      <c r="C1845">
        <v>1.37</v>
      </c>
      <c r="D1845">
        <v>10.37</v>
      </c>
      <c r="E1845">
        <v>0.14</v>
      </c>
      <c r="F1845">
        <v>10.36</v>
      </c>
      <c r="G1845">
        <v>10.37</v>
      </c>
      <c r="H1845">
        <v>137683</v>
      </c>
      <c r="I1845">
        <v>2065</v>
      </c>
      <c r="J1845">
        <v>0</v>
      </c>
      <c r="K1845">
        <v>2.29</v>
      </c>
      <c r="L1845">
        <v>14204.51</v>
      </c>
      <c r="M1845" t="s">
        <v>3744</v>
      </c>
      <c r="N1845" t="s">
        <v>30</v>
      </c>
      <c r="O1845">
        <v>10.24</v>
      </c>
      <c r="P1845">
        <v>10.41</v>
      </c>
      <c r="Q1845">
        <v>10.21</v>
      </c>
      <c r="R1845">
        <v>10.23</v>
      </c>
      <c r="S1845">
        <v>28.18</v>
      </c>
      <c r="T1845">
        <v>0.83</v>
      </c>
      <c r="U1845" t="s">
        <v>24</v>
      </c>
    </row>
    <row r="1846" spans="1:21">
      <c r="A1846" t="str">
        <f>"300378"</f>
        <v>300378</v>
      </c>
      <c r="B1846" t="s">
        <v>3745</v>
      </c>
      <c r="C1846">
        <v>-0.18</v>
      </c>
      <c r="D1846">
        <v>22.05</v>
      </c>
      <c r="E1846">
        <v>-0.04</v>
      </c>
      <c r="F1846">
        <v>22.05</v>
      </c>
      <c r="G1846">
        <v>22.07</v>
      </c>
      <c r="H1846">
        <v>55241</v>
      </c>
      <c r="I1846">
        <v>461</v>
      </c>
      <c r="J1846">
        <v>0.18</v>
      </c>
      <c r="K1846">
        <v>2.08</v>
      </c>
      <c r="L1846">
        <v>12185.99</v>
      </c>
      <c r="M1846" t="s">
        <v>3513</v>
      </c>
      <c r="N1846" t="s">
        <v>30</v>
      </c>
      <c r="O1846">
        <v>22.09</v>
      </c>
      <c r="P1846">
        <v>22.48</v>
      </c>
      <c r="Q1846">
        <v>21.73</v>
      </c>
      <c r="R1846">
        <v>22.09</v>
      </c>
      <c r="S1846">
        <v>65.81</v>
      </c>
      <c r="T1846">
        <v>0.74</v>
      </c>
      <c r="U1846" t="s">
        <v>848</v>
      </c>
    </row>
    <row r="1847" spans="1:21">
      <c r="A1847" t="str">
        <f>"300379"</f>
        <v>300379</v>
      </c>
      <c r="B1847" t="s">
        <v>3746</v>
      </c>
      <c r="C1847">
        <v>1.01</v>
      </c>
      <c r="D1847">
        <v>32.05</v>
      </c>
      <c r="E1847">
        <v>0.32</v>
      </c>
      <c r="F1847">
        <v>32.04</v>
      </c>
      <c r="G1847">
        <v>32.05</v>
      </c>
      <c r="H1847">
        <v>111781</v>
      </c>
      <c r="I1847">
        <v>1458</v>
      </c>
      <c r="J1847">
        <v>0.19</v>
      </c>
      <c r="K1847">
        <v>2.61</v>
      </c>
      <c r="L1847">
        <v>35717.93</v>
      </c>
      <c r="M1847" t="s">
        <v>3747</v>
      </c>
      <c r="N1847" t="s">
        <v>30</v>
      </c>
      <c r="O1847">
        <v>31.72</v>
      </c>
      <c r="P1847">
        <v>32.25</v>
      </c>
      <c r="Q1847">
        <v>31.61</v>
      </c>
      <c r="R1847">
        <v>31.73</v>
      </c>
      <c r="S1847">
        <v>286.48</v>
      </c>
      <c r="T1847">
        <v>0.72</v>
      </c>
      <c r="U1847" t="s">
        <v>44</v>
      </c>
    </row>
    <row r="1848" spans="1:21">
      <c r="A1848" t="str">
        <f>"300380"</f>
        <v>300380</v>
      </c>
      <c r="B1848" t="s">
        <v>3748</v>
      </c>
      <c r="C1848">
        <v>1.38</v>
      </c>
      <c r="D1848">
        <v>16.12</v>
      </c>
      <c r="E1848">
        <v>0.22</v>
      </c>
      <c r="F1848">
        <v>16.12</v>
      </c>
      <c r="G1848">
        <v>16.13</v>
      </c>
      <c r="H1848">
        <v>10083</v>
      </c>
      <c r="I1848">
        <v>132</v>
      </c>
      <c r="J1848">
        <v>-0.11</v>
      </c>
      <c r="K1848">
        <v>0.81</v>
      </c>
      <c r="L1848">
        <v>1612.72</v>
      </c>
      <c r="M1848" t="s">
        <v>3749</v>
      </c>
      <c r="N1848" t="s">
        <v>30</v>
      </c>
      <c r="O1848">
        <v>15.85</v>
      </c>
      <c r="P1848">
        <v>16.23</v>
      </c>
      <c r="Q1848">
        <v>15.72</v>
      </c>
      <c r="R1848">
        <v>15.9</v>
      </c>
      <c r="S1848" t="s">
        <v>40</v>
      </c>
      <c r="T1848">
        <v>1.02</v>
      </c>
      <c r="U1848" t="s">
        <v>848</v>
      </c>
    </row>
    <row r="1849" spans="1:21">
      <c r="A1849" t="str">
        <f>"300381"</f>
        <v>300381</v>
      </c>
      <c r="B1849" t="s">
        <v>3750</v>
      </c>
      <c r="C1849">
        <v>1.01</v>
      </c>
      <c r="D1849">
        <v>11</v>
      </c>
      <c r="E1849">
        <v>0.11</v>
      </c>
      <c r="F1849">
        <v>10.99</v>
      </c>
      <c r="G1849">
        <v>11</v>
      </c>
      <c r="H1849">
        <v>94449</v>
      </c>
      <c r="I1849">
        <v>6419</v>
      </c>
      <c r="J1849">
        <v>0.73</v>
      </c>
      <c r="K1849">
        <v>1.98</v>
      </c>
      <c r="L1849">
        <v>10276.01</v>
      </c>
      <c r="M1849" t="s">
        <v>3751</v>
      </c>
      <c r="N1849" t="s">
        <v>231</v>
      </c>
      <c r="O1849">
        <v>10.9</v>
      </c>
      <c r="P1849">
        <v>11.1</v>
      </c>
      <c r="Q1849">
        <v>10.63</v>
      </c>
      <c r="R1849">
        <v>10.89</v>
      </c>
      <c r="S1849">
        <v>56.8</v>
      </c>
      <c r="T1849">
        <v>1.01</v>
      </c>
      <c r="U1849" t="s">
        <v>183</v>
      </c>
    </row>
    <row r="1850" spans="1:21">
      <c r="A1850" t="str">
        <f>"300382"</f>
        <v>300382</v>
      </c>
      <c r="B1850" t="s">
        <v>3752</v>
      </c>
      <c r="C1850">
        <v>0.63</v>
      </c>
      <c r="D1850">
        <v>27.1</v>
      </c>
      <c r="E1850">
        <v>0.17</v>
      </c>
      <c r="F1850">
        <v>27.08</v>
      </c>
      <c r="G1850">
        <v>27.1</v>
      </c>
      <c r="H1850">
        <v>80641</v>
      </c>
      <c r="I1850">
        <v>1497</v>
      </c>
      <c r="J1850">
        <v>0</v>
      </c>
      <c r="K1850">
        <v>1.41</v>
      </c>
      <c r="L1850">
        <v>21839.91</v>
      </c>
      <c r="M1850" t="s">
        <v>3753</v>
      </c>
      <c r="N1850" t="s">
        <v>324</v>
      </c>
      <c r="O1850">
        <v>27.14</v>
      </c>
      <c r="P1850">
        <v>27.75</v>
      </c>
      <c r="Q1850">
        <v>26.51</v>
      </c>
      <c r="R1850">
        <v>26.93</v>
      </c>
      <c r="S1850">
        <v>155.2</v>
      </c>
      <c r="T1850">
        <v>0.85</v>
      </c>
      <c r="U1850" t="s">
        <v>102</v>
      </c>
    </row>
    <row r="1851" spans="1:21">
      <c r="A1851" t="str">
        <f>"300383"</f>
        <v>300383</v>
      </c>
      <c r="B1851" t="s">
        <v>3754</v>
      </c>
      <c r="C1851">
        <v>-0.07</v>
      </c>
      <c r="D1851">
        <v>14.65</v>
      </c>
      <c r="E1851">
        <v>-0.01</v>
      </c>
      <c r="F1851">
        <v>14.65</v>
      </c>
      <c r="G1851">
        <v>14.66</v>
      </c>
      <c r="H1851">
        <v>264554</v>
      </c>
      <c r="I1851">
        <v>2720</v>
      </c>
      <c r="J1851">
        <v>-0.06</v>
      </c>
      <c r="K1851">
        <v>1.73</v>
      </c>
      <c r="L1851">
        <v>38892.94</v>
      </c>
      <c r="M1851" t="s">
        <v>3755</v>
      </c>
      <c r="N1851" t="s">
        <v>1279</v>
      </c>
      <c r="O1851">
        <v>14.68</v>
      </c>
      <c r="P1851">
        <v>14.86</v>
      </c>
      <c r="Q1851">
        <v>14.5</v>
      </c>
      <c r="R1851">
        <v>14.66</v>
      </c>
      <c r="S1851">
        <v>24.79</v>
      </c>
      <c r="T1851">
        <v>0.69</v>
      </c>
      <c r="U1851" t="s">
        <v>44</v>
      </c>
    </row>
    <row r="1852" spans="1:21">
      <c r="A1852" t="str">
        <f>"300384"</f>
        <v>300384</v>
      </c>
      <c r="B1852" t="s">
        <v>3756</v>
      </c>
      <c r="C1852">
        <v>1.11</v>
      </c>
      <c r="D1852">
        <v>21.86</v>
      </c>
      <c r="E1852">
        <v>0.24</v>
      </c>
      <c r="F1852">
        <v>21.86</v>
      </c>
      <c r="G1852">
        <v>21.87</v>
      </c>
      <c r="H1852">
        <v>29641</v>
      </c>
      <c r="I1852">
        <v>514</v>
      </c>
      <c r="J1852">
        <v>0.05</v>
      </c>
      <c r="K1852">
        <v>1.35</v>
      </c>
      <c r="L1852">
        <v>6465.68</v>
      </c>
      <c r="M1852" t="s">
        <v>3757</v>
      </c>
      <c r="N1852" t="s">
        <v>50</v>
      </c>
      <c r="O1852">
        <v>21.68</v>
      </c>
      <c r="P1852">
        <v>22.03</v>
      </c>
      <c r="Q1852">
        <v>21.49</v>
      </c>
      <c r="R1852">
        <v>21.62</v>
      </c>
      <c r="S1852">
        <v>35.64</v>
      </c>
      <c r="T1852">
        <v>0.71</v>
      </c>
      <c r="U1852" t="s">
        <v>44</v>
      </c>
    </row>
    <row r="1853" spans="1:21">
      <c r="A1853" t="str">
        <f>"300385"</f>
        <v>300385</v>
      </c>
      <c r="B1853" t="s">
        <v>3758</v>
      </c>
      <c r="C1853">
        <v>0.98</v>
      </c>
      <c r="D1853">
        <v>8.28</v>
      </c>
      <c r="E1853">
        <v>0.08</v>
      </c>
      <c r="F1853">
        <v>8.27</v>
      </c>
      <c r="G1853">
        <v>8.28</v>
      </c>
      <c r="H1853">
        <v>29733</v>
      </c>
      <c r="I1853">
        <v>367</v>
      </c>
      <c r="J1853">
        <v>0.12</v>
      </c>
      <c r="K1853">
        <v>1.07</v>
      </c>
      <c r="L1853">
        <v>2441.28</v>
      </c>
      <c r="M1853" t="s">
        <v>3759</v>
      </c>
      <c r="N1853" t="s">
        <v>33</v>
      </c>
      <c r="O1853">
        <v>8.21</v>
      </c>
      <c r="P1853">
        <v>8.3</v>
      </c>
      <c r="Q1853">
        <v>8.1</v>
      </c>
      <c r="R1853">
        <v>8.2</v>
      </c>
      <c r="S1853">
        <v>36.82</v>
      </c>
      <c r="T1853">
        <v>0.79</v>
      </c>
      <c r="U1853" t="s">
        <v>102</v>
      </c>
    </row>
    <row r="1854" spans="1:21">
      <c r="A1854" t="str">
        <f>"300386"</f>
        <v>300386</v>
      </c>
      <c r="B1854" t="s">
        <v>3760</v>
      </c>
      <c r="C1854">
        <v>0</v>
      </c>
      <c r="D1854">
        <v>14.12</v>
      </c>
      <c r="E1854">
        <v>0</v>
      </c>
      <c r="F1854">
        <v>14.12</v>
      </c>
      <c r="G1854">
        <v>14.15</v>
      </c>
      <c r="H1854">
        <v>61326</v>
      </c>
      <c r="I1854">
        <v>4218</v>
      </c>
      <c r="J1854">
        <v>-0.62</v>
      </c>
      <c r="K1854">
        <v>2.53</v>
      </c>
      <c r="L1854">
        <v>8691.57</v>
      </c>
      <c r="M1854" t="s">
        <v>3559</v>
      </c>
      <c r="N1854" t="s">
        <v>30</v>
      </c>
      <c r="O1854">
        <v>14.23</v>
      </c>
      <c r="P1854">
        <v>14.35</v>
      </c>
      <c r="Q1854">
        <v>14.01</v>
      </c>
      <c r="R1854">
        <v>14.12</v>
      </c>
      <c r="S1854" t="s">
        <v>40</v>
      </c>
      <c r="T1854">
        <v>0.54</v>
      </c>
      <c r="U1854" t="s">
        <v>44</v>
      </c>
    </row>
    <row r="1855" spans="1:21">
      <c r="A1855" t="str">
        <f>"300387"</f>
        <v>300387</v>
      </c>
      <c r="B1855" t="s">
        <v>3761</v>
      </c>
      <c r="C1855">
        <v>0.81</v>
      </c>
      <c r="D1855">
        <v>6.23</v>
      </c>
      <c r="E1855">
        <v>0.05</v>
      </c>
      <c r="F1855">
        <v>6.23</v>
      </c>
      <c r="G1855">
        <v>6.24</v>
      </c>
      <c r="H1855">
        <v>30830</v>
      </c>
      <c r="I1855">
        <v>313</v>
      </c>
      <c r="J1855">
        <v>0.16</v>
      </c>
      <c r="K1855">
        <v>1.07</v>
      </c>
      <c r="L1855">
        <v>1907.88</v>
      </c>
      <c r="M1855" t="s">
        <v>3762</v>
      </c>
      <c r="N1855" t="s">
        <v>309</v>
      </c>
      <c r="O1855">
        <v>6.18</v>
      </c>
      <c r="P1855">
        <v>6.25</v>
      </c>
      <c r="Q1855">
        <v>6.1</v>
      </c>
      <c r="R1855">
        <v>6.18</v>
      </c>
      <c r="S1855">
        <v>32.89</v>
      </c>
      <c r="T1855">
        <v>0.79</v>
      </c>
      <c r="U1855" t="s">
        <v>267</v>
      </c>
    </row>
    <row r="1856" spans="1:21">
      <c r="A1856" t="str">
        <f>"300388"</f>
        <v>300388</v>
      </c>
      <c r="B1856" t="s">
        <v>3763</v>
      </c>
      <c r="C1856">
        <v>0</v>
      </c>
      <c r="D1856">
        <v>7.34</v>
      </c>
      <c r="E1856">
        <v>0</v>
      </c>
      <c r="F1856">
        <v>7.33</v>
      </c>
      <c r="G1856">
        <v>7.34</v>
      </c>
      <c r="H1856">
        <v>28879</v>
      </c>
      <c r="I1856">
        <v>126</v>
      </c>
      <c r="J1856">
        <v>0.14</v>
      </c>
      <c r="K1856">
        <v>0.41</v>
      </c>
      <c r="L1856">
        <v>2109.03</v>
      </c>
      <c r="M1856" t="s">
        <v>1684</v>
      </c>
      <c r="N1856" t="s">
        <v>33</v>
      </c>
      <c r="O1856">
        <v>7.35</v>
      </c>
      <c r="P1856">
        <v>7.35</v>
      </c>
      <c r="Q1856">
        <v>7.24</v>
      </c>
      <c r="R1856">
        <v>7.34</v>
      </c>
      <c r="S1856">
        <v>14.08</v>
      </c>
      <c r="T1856">
        <v>0.94</v>
      </c>
      <c r="U1856" t="s">
        <v>193</v>
      </c>
    </row>
    <row r="1857" spans="1:21">
      <c r="A1857" t="str">
        <f>"300389"</f>
        <v>300389</v>
      </c>
      <c r="B1857" t="s">
        <v>3764</v>
      </c>
      <c r="C1857">
        <v>0.11</v>
      </c>
      <c r="D1857">
        <v>8.91</v>
      </c>
      <c r="E1857">
        <v>0.01</v>
      </c>
      <c r="F1857">
        <v>8.91</v>
      </c>
      <c r="G1857">
        <v>8.92</v>
      </c>
      <c r="H1857">
        <v>52368</v>
      </c>
      <c r="I1857">
        <v>1445</v>
      </c>
      <c r="J1857">
        <v>0</v>
      </c>
      <c r="K1857">
        <v>3.2</v>
      </c>
      <c r="L1857">
        <v>4706.87</v>
      </c>
      <c r="M1857" t="s">
        <v>3765</v>
      </c>
      <c r="N1857" t="s">
        <v>1246</v>
      </c>
      <c r="O1857">
        <v>8.9</v>
      </c>
      <c r="P1857">
        <v>9.16</v>
      </c>
      <c r="Q1857">
        <v>8.88</v>
      </c>
      <c r="R1857">
        <v>8.9</v>
      </c>
      <c r="S1857" t="s">
        <v>40</v>
      </c>
      <c r="T1857">
        <v>0.87</v>
      </c>
      <c r="U1857" t="s">
        <v>24</v>
      </c>
    </row>
    <row r="1858" spans="1:21">
      <c r="A1858" t="str">
        <f>"300390"</f>
        <v>300390</v>
      </c>
      <c r="B1858" t="s">
        <v>3766</v>
      </c>
      <c r="C1858">
        <v>-4.64</v>
      </c>
      <c r="D1858">
        <v>97.7</v>
      </c>
      <c r="E1858">
        <v>-4.75</v>
      </c>
      <c r="F1858">
        <v>97.7</v>
      </c>
      <c r="G1858">
        <v>97.71</v>
      </c>
      <c r="H1858">
        <v>215819</v>
      </c>
      <c r="I1858">
        <v>2078</v>
      </c>
      <c r="J1858">
        <v>-0.03</v>
      </c>
      <c r="K1858">
        <v>5.13</v>
      </c>
      <c r="L1858">
        <v>213261.58</v>
      </c>
      <c r="M1858" t="s">
        <v>3767</v>
      </c>
      <c r="N1858" t="s">
        <v>47</v>
      </c>
      <c r="O1858">
        <v>99</v>
      </c>
      <c r="P1858">
        <v>102.06</v>
      </c>
      <c r="Q1858">
        <v>96.48</v>
      </c>
      <c r="R1858">
        <v>102.45</v>
      </c>
      <c r="S1858">
        <v>77.61</v>
      </c>
      <c r="T1858">
        <v>1.15</v>
      </c>
      <c r="U1858" t="s">
        <v>102</v>
      </c>
    </row>
    <row r="1859" spans="1:21">
      <c r="A1859" t="str">
        <f>"300391"</f>
        <v>300391</v>
      </c>
      <c r="B1859" t="s">
        <v>3768</v>
      </c>
      <c r="C1859">
        <v>5.47</v>
      </c>
      <c r="D1859">
        <v>18.91</v>
      </c>
      <c r="E1859">
        <v>0.98</v>
      </c>
      <c r="F1859">
        <v>18.9</v>
      </c>
      <c r="G1859">
        <v>18.91</v>
      </c>
      <c r="H1859">
        <v>100365</v>
      </c>
      <c r="I1859">
        <v>2166</v>
      </c>
      <c r="J1859">
        <v>-0.04</v>
      </c>
      <c r="K1859">
        <v>2.86</v>
      </c>
      <c r="L1859">
        <v>18743.28</v>
      </c>
      <c r="M1859" t="s">
        <v>3769</v>
      </c>
      <c r="N1859" t="s">
        <v>347</v>
      </c>
      <c r="O1859">
        <v>17.91</v>
      </c>
      <c r="P1859">
        <v>19.1</v>
      </c>
      <c r="Q1859">
        <v>17.91</v>
      </c>
      <c r="R1859">
        <v>17.93</v>
      </c>
      <c r="S1859">
        <v>51.38</v>
      </c>
      <c r="T1859">
        <v>1.24</v>
      </c>
      <c r="U1859" t="s">
        <v>221</v>
      </c>
    </row>
    <row r="1860" spans="1:21">
      <c r="A1860" t="str">
        <f>"300392"</f>
        <v>300392</v>
      </c>
      <c r="B1860" t="s">
        <v>3770</v>
      </c>
      <c r="C1860">
        <v>0.27</v>
      </c>
      <c r="D1860">
        <v>7.42</v>
      </c>
      <c r="E1860">
        <v>0.02</v>
      </c>
      <c r="F1860">
        <v>7.42</v>
      </c>
      <c r="G1860">
        <v>7.43</v>
      </c>
      <c r="H1860">
        <v>16488</v>
      </c>
      <c r="I1860">
        <v>299</v>
      </c>
      <c r="J1860">
        <v>0.41</v>
      </c>
      <c r="K1860">
        <v>0.56</v>
      </c>
      <c r="L1860">
        <v>1225.26</v>
      </c>
      <c r="M1860" t="s">
        <v>769</v>
      </c>
      <c r="N1860" t="s">
        <v>479</v>
      </c>
      <c r="O1860">
        <v>7.43</v>
      </c>
      <c r="P1860">
        <v>7.5</v>
      </c>
      <c r="Q1860">
        <v>7.33</v>
      </c>
      <c r="R1860">
        <v>7.4</v>
      </c>
      <c r="S1860" t="s">
        <v>40</v>
      </c>
      <c r="T1860">
        <v>0.51</v>
      </c>
      <c r="U1860" t="s">
        <v>44</v>
      </c>
    </row>
    <row r="1861" spans="1:21">
      <c r="A1861" t="str">
        <f>"300393"</f>
        <v>300393</v>
      </c>
      <c r="B1861" t="s">
        <v>3771</v>
      </c>
      <c r="C1861">
        <v>9.42</v>
      </c>
      <c r="D1861">
        <v>22.31</v>
      </c>
      <c r="E1861">
        <v>1.92</v>
      </c>
      <c r="F1861">
        <v>22.3</v>
      </c>
      <c r="G1861">
        <v>22.31</v>
      </c>
      <c r="H1861">
        <v>1175208</v>
      </c>
      <c r="I1861">
        <v>11990</v>
      </c>
      <c r="J1861">
        <v>0.09</v>
      </c>
      <c r="K1861">
        <v>12.84</v>
      </c>
      <c r="L1861">
        <v>251368.99</v>
      </c>
      <c r="M1861" t="s">
        <v>3772</v>
      </c>
      <c r="N1861" t="s">
        <v>839</v>
      </c>
      <c r="O1861">
        <v>20.42</v>
      </c>
      <c r="P1861">
        <v>23.66</v>
      </c>
      <c r="Q1861">
        <v>19.86</v>
      </c>
      <c r="R1861">
        <v>20.39</v>
      </c>
      <c r="S1861">
        <v>247.58</v>
      </c>
      <c r="T1861">
        <v>1.06</v>
      </c>
      <c r="U1861" t="s">
        <v>102</v>
      </c>
    </row>
    <row r="1862" spans="1:21">
      <c r="A1862" t="str">
        <f>"300394"</f>
        <v>300394</v>
      </c>
      <c r="B1862" t="s">
        <v>3773</v>
      </c>
      <c r="C1862">
        <v>1.6</v>
      </c>
      <c r="D1862">
        <v>29.16</v>
      </c>
      <c r="E1862">
        <v>0.46</v>
      </c>
      <c r="F1862">
        <v>29.15</v>
      </c>
      <c r="G1862">
        <v>29.16</v>
      </c>
      <c r="H1862">
        <v>53403</v>
      </c>
      <c r="I1862">
        <v>363</v>
      </c>
      <c r="J1862">
        <v>-0.06</v>
      </c>
      <c r="K1862">
        <v>1.51</v>
      </c>
      <c r="L1862">
        <v>15590.61</v>
      </c>
      <c r="M1862" t="s">
        <v>3774</v>
      </c>
      <c r="N1862" t="s">
        <v>153</v>
      </c>
      <c r="O1862">
        <v>28.66</v>
      </c>
      <c r="P1862">
        <v>29.58</v>
      </c>
      <c r="Q1862">
        <v>28.65</v>
      </c>
      <c r="R1862">
        <v>28.7</v>
      </c>
      <c r="S1862">
        <v>40.1</v>
      </c>
      <c r="T1862">
        <v>0.8</v>
      </c>
      <c r="U1862" t="s">
        <v>102</v>
      </c>
    </row>
    <row r="1863" spans="1:21">
      <c r="A1863" t="str">
        <f>"300395"</f>
        <v>300395</v>
      </c>
      <c r="B1863" t="s">
        <v>3775</v>
      </c>
      <c r="C1863">
        <v>-1.88</v>
      </c>
      <c r="D1863">
        <v>63.63</v>
      </c>
      <c r="E1863">
        <v>-1.22</v>
      </c>
      <c r="F1863">
        <v>63.6</v>
      </c>
      <c r="G1863">
        <v>63.63</v>
      </c>
      <c r="H1863">
        <v>26732</v>
      </c>
      <c r="I1863">
        <v>203</v>
      </c>
      <c r="J1863">
        <v>0.11</v>
      </c>
      <c r="K1863">
        <v>0.85</v>
      </c>
      <c r="L1863">
        <v>17006.43</v>
      </c>
      <c r="M1863" t="s">
        <v>3776</v>
      </c>
      <c r="N1863" t="s">
        <v>55</v>
      </c>
      <c r="O1863">
        <v>64.55</v>
      </c>
      <c r="P1863">
        <v>64.98</v>
      </c>
      <c r="Q1863">
        <v>62.92</v>
      </c>
      <c r="R1863">
        <v>64.85</v>
      </c>
      <c r="S1863">
        <v>55.55</v>
      </c>
      <c r="T1863">
        <v>0.58</v>
      </c>
      <c r="U1863" t="s">
        <v>267</v>
      </c>
    </row>
    <row r="1864" spans="1:21">
      <c r="A1864" t="str">
        <f>"300396"</f>
        <v>300396</v>
      </c>
      <c r="B1864" t="s">
        <v>3777</v>
      </c>
      <c r="C1864">
        <v>0.06</v>
      </c>
      <c r="D1864">
        <v>16.71</v>
      </c>
      <c r="E1864">
        <v>0.01</v>
      </c>
      <c r="F1864">
        <v>16.71</v>
      </c>
      <c r="G1864">
        <v>16.73</v>
      </c>
      <c r="H1864">
        <v>4466</v>
      </c>
      <c r="I1864">
        <v>51</v>
      </c>
      <c r="J1864">
        <v>-0.05</v>
      </c>
      <c r="K1864">
        <v>0.18</v>
      </c>
      <c r="L1864">
        <v>745.55</v>
      </c>
      <c r="M1864" t="s">
        <v>3778</v>
      </c>
      <c r="N1864" t="s">
        <v>186</v>
      </c>
      <c r="O1864">
        <v>16.7</v>
      </c>
      <c r="P1864">
        <v>16.8</v>
      </c>
      <c r="Q1864">
        <v>16.57</v>
      </c>
      <c r="R1864">
        <v>16.7</v>
      </c>
      <c r="S1864">
        <v>22.15</v>
      </c>
      <c r="T1864">
        <v>0.66</v>
      </c>
      <c r="U1864" t="s">
        <v>92</v>
      </c>
    </row>
    <row r="1865" spans="1:21">
      <c r="A1865" t="str">
        <f>"300397"</f>
        <v>300397</v>
      </c>
      <c r="B1865" t="s">
        <v>3779</v>
      </c>
      <c r="C1865">
        <v>-0.86</v>
      </c>
      <c r="D1865">
        <v>15.07</v>
      </c>
      <c r="E1865">
        <v>-0.13</v>
      </c>
      <c r="F1865">
        <v>15.06</v>
      </c>
      <c r="G1865">
        <v>15.07</v>
      </c>
      <c r="H1865">
        <v>61305</v>
      </c>
      <c r="I1865">
        <v>626</v>
      </c>
      <c r="J1865">
        <v>0.2</v>
      </c>
      <c r="K1865">
        <v>1.42</v>
      </c>
      <c r="L1865">
        <v>9253.71</v>
      </c>
      <c r="M1865" t="s">
        <v>3780</v>
      </c>
      <c r="N1865" t="s">
        <v>153</v>
      </c>
      <c r="O1865">
        <v>15.1</v>
      </c>
      <c r="P1865">
        <v>15.2</v>
      </c>
      <c r="Q1865">
        <v>15</v>
      </c>
      <c r="R1865">
        <v>15.2</v>
      </c>
      <c r="S1865">
        <v>3951.77</v>
      </c>
      <c r="T1865">
        <v>0.64</v>
      </c>
      <c r="U1865" t="s">
        <v>317</v>
      </c>
    </row>
    <row r="1866" spans="1:21">
      <c r="A1866" t="str">
        <f>"300398"</f>
        <v>300398</v>
      </c>
      <c r="B1866" t="s">
        <v>3781</v>
      </c>
      <c r="C1866">
        <v>1.37</v>
      </c>
      <c r="D1866">
        <v>19.29</v>
      </c>
      <c r="E1866">
        <v>0.26</v>
      </c>
      <c r="F1866">
        <v>19.29</v>
      </c>
      <c r="G1866">
        <v>19.3</v>
      </c>
      <c r="H1866">
        <v>79623</v>
      </c>
      <c r="I1866">
        <v>870</v>
      </c>
      <c r="J1866">
        <v>-0.09</v>
      </c>
      <c r="K1866">
        <v>1.56</v>
      </c>
      <c r="L1866">
        <v>15390.22</v>
      </c>
      <c r="M1866" t="s">
        <v>3782</v>
      </c>
      <c r="N1866" t="s">
        <v>416</v>
      </c>
      <c r="O1866">
        <v>19.06</v>
      </c>
      <c r="P1866">
        <v>19.53</v>
      </c>
      <c r="Q1866">
        <v>19.04</v>
      </c>
      <c r="R1866">
        <v>19.03</v>
      </c>
      <c r="S1866">
        <v>27.6</v>
      </c>
      <c r="T1866">
        <v>0.91</v>
      </c>
      <c r="U1866" t="s">
        <v>848</v>
      </c>
    </row>
    <row r="1867" spans="1:21">
      <c r="A1867" t="str">
        <f>"300399"</f>
        <v>300399</v>
      </c>
      <c r="B1867" t="s">
        <v>3783</v>
      </c>
      <c r="C1867">
        <v>0.99</v>
      </c>
      <c r="D1867">
        <v>11.19</v>
      </c>
      <c r="E1867">
        <v>0.11</v>
      </c>
      <c r="F1867">
        <v>11.18</v>
      </c>
      <c r="G1867">
        <v>11.19</v>
      </c>
      <c r="H1867">
        <v>13079</v>
      </c>
      <c r="I1867">
        <v>213</v>
      </c>
      <c r="J1867">
        <v>-0.26</v>
      </c>
      <c r="K1867">
        <v>0.67</v>
      </c>
      <c r="L1867">
        <v>1463.66</v>
      </c>
      <c r="M1867" t="s">
        <v>2756</v>
      </c>
      <c r="N1867" t="s">
        <v>479</v>
      </c>
      <c r="O1867">
        <v>11.17</v>
      </c>
      <c r="P1867">
        <v>11.34</v>
      </c>
      <c r="Q1867">
        <v>11.02</v>
      </c>
      <c r="R1867">
        <v>11.08</v>
      </c>
      <c r="S1867">
        <v>717.75</v>
      </c>
      <c r="T1867">
        <v>0.56</v>
      </c>
      <c r="U1867" t="s">
        <v>235</v>
      </c>
    </row>
    <row r="1868" spans="1:21">
      <c r="A1868" t="str">
        <f>"300400"</f>
        <v>300400</v>
      </c>
      <c r="B1868" t="s">
        <v>3784</v>
      </c>
      <c r="C1868">
        <v>-1.26</v>
      </c>
      <c r="D1868">
        <v>25.78</v>
      </c>
      <c r="E1868">
        <v>-0.33</v>
      </c>
      <c r="F1868">
        <v>25.76</v>
      </c>
      <c r="G1868">
        <v>25.78</v>
      </c>
      <c r="H1868">
        <v>29105</v>
      </c>
      <c r="I1868">
        <v>946</v>
      </c>
      <c r="J1868">
        <v>-0.18</v>
      </c>
      <c r="K1868">
        <v>1.79</v>
      </c>
      <c r="L1868">
        <v>7553.96</v>
      </c>
      <c r="M1868" t="s">
        <v>3785</v>
      </c>
      <c r="N1868" t="s">
        <v>324</v>
      </c>
      <c r="O1868">
        <v>26.12</v>
      </c>
      <c r="P1868">
        <v>26.5</v>
      </c>
      <c r="Q1868">
        <v>25.64</v>
      </c>
      <c r="R1868">
        <v>26.11</v>
      </c>
      <c r="S1868">
        <v>44.15</v>
      </c>
      <c r="T1868">
        <v>0.56</v>
      </c>
      <c r="U1868" t="s">
        <v>24</v>
      </c>
    </row>
    <row r="1869" spans="1:21">
      <c r="A1869" t="str">
        <f>"300401"</f>
        <v>300401</v>
      </c>
      <c r="B1869" t="s">
        <v>3786</v>
      </c>
      <c r="C1869">
        <v>0.31</v>
      </c>
      <c r="D1869">
        <v>13.11</v>
      </c>
      <c r="E1869">
        <v>0.04</v>
      </c>
      <c r="F1869">
        <v>13.11</v>
      </c>
      <c r="G1869">
        <v>13.12</v>
      </c>
      <c r="H1869">
        <v>50098</v>
      </c>
      <c r="I1869">
        <v>328</v>
      </c>
      <c r="J1869">
        <v>-0.07</v>
      </c>
      <c r="K1869">
        <v>0.95</v>
      </c>
      <c r="L1869">
        <v>6582.93</v>
      </c>
      <c r="M1869" t="s">
        <v>895</v>
      </c>
      <c r="N1869" t="s">
        <v>299</v>
      </c>
      <c r="O1869">
        <v>13.14</v>
      </c>
      <c r="P1869">
        <v>13.26</v>
      </c>
      <c r="Q1869">
        <v>13.06</v>
      </c>
      <c r="R1869">
        <v>13.07</v>
      </c>
      <c r="S1869">
        <v>19.61</v>
      </c>
      <c r="T1869">
        <v>0.63</v>
      </c>
      <c r="U1869" t="s">
        <v>200</v>
      </c>
    </row>
    <row r="1870" spans="1:21">
      <c r="A1870" t="str">
        <f>"300402"</f>
        <v>300402</v>
      </c>
      <c r="B1870" t="s">
        <v>3787</v>
      </c>
      <c r="C1870">
        <v>-1.05</v>
      </c>
      <c r="D1870">
        <v>34.78</v>
      </c>
      <c r="E1870">
        <v>-0.37</v>
      </c>
      <c r="F1870">
        <v>34.77</v>
      </c>
      <c r="G1870">
        <v>34.78</v>
      </c>
      <c r="H1870">
        <v>130231</v>
      </c>
      <c r="I1870">
        <v>2332</v>
      </c>
      <c r="J1870">
        <v>0.09</v>
      </c>
      <c r="K1870">
        <v>6.45</v>
      </c>
      <c r="L1870">
        <v>45524.36</v>
      </c>
      <c r="M1870" t="s">
        <v>3788</v>
      </c>
      <c r="N1870" t="s">
        <v>324</v>
      </c>
      <c r="O1870">
        <v>34</v>
      </c>
      <c r="P1870">
        <v>36.39</v>
      </c>
      <c r="Q1870">
        <v>33.58</v>
      </c>
      <c r="R1870">
        <v>35.15</v>
      </c>
      <c r="S1870">
        <v>149.91</v>
      </c>
      <c r="T1870">
        <v>0.7</v>
      </c>
      <c r="U1870" t="s">
        <v>102</v>
      </c>
    </row>
    <row r="1871" spans="1:21">
      <c r="A1871" t="str">
        <f>"300403"</f>
        <v>300403</v>
      </c>
      <c r="B1871" t="s">
        <v>3789</v>
      </c>
      <c r="C1871">
        <v>1.13</v>
      </c>
      <c r="D1871">
        <v>6.24</v>
      </c>
      <c r="E1871">
        <v>0.07</v>
      </c>
      <c r="F1871">
        <v>6.24</v>
      </c>
      <c r="G1871">
        <v>6.25</v>
      </c>
      <c r="H1871">
        <v>86430</v>
      </c>
      <c r="I1871">
        <v>2794</v>
      </c>
      <c r="J1871">
        <v>0</v>
      </c>
      <c r="K1871">
        <v>2.15</v>
      </c>
      <c r="L1871">
        <v>5359.75</v>
      </c>
      <c r="M1871" t="s">
        <v>3790</v>
      </c>
      <c r="N1871" t="s">
        <v>60</v>
      </c>
      <c r="O1871">
        <v>6.19</v>
      </c>
      <c r="P1871">
        <v>6.27</v>
      </c>
      <c r="Q1871">
        <v>6.1</v>
      </c>
      <c r="R1871">
        <v>6.17</v>
      </c>
      <c r="S1871">
        <v>15.79</v>
      </c>
      <c r="T1871">
        <v>1.28</v>
      </c>
      <c r="U1871" t="s">
        <v>183</v>
      </c>
    </row>
    <row r="1872" spans="1:21">
      <c r="A1872" t="str">
        <f>"300404"</f>
        <v>300404</v>
      </c>
      <c r="B1872" t="s">
        <v>3791</v>
      </c>
      <c r="C1872">
        <v>2.88</v>
      </c>
      <c r="D1872">
        <v>15.71</v>
      </c>
      <c r="E1872">
        <v>0.44</v>
      </c>
      <c r="F1872">
        <v>15.7</v>
      </c>
      <c r="G1872">
        <v>15.71</v>
      </c>
      <c r="H1872">
        <v>123165</v>
      </c>
      <c r="I1872">
        <v>1961</v>
      </c>
      <c r="J1872">
        <v>0</v>
      </c>
      <c r="K1872">
        <v>8.12</v>
      </c>
      <c r="L1872">
        <v>19177.15</v>
      </c>
      <c r="M1872" t="s">
        <v>3792</v>
      </c>
      <c r="N1872" t="s">
        <v>186</v>
      </c>
      <c r="O1872">
        <v>14.93</v>
      </c>
      <c r="P1872">
        <v>15.85</v>
      </c>
      <c r="Q1872">
        <v>14.86</v>
      </c>
      <c r="R1872">
        <v>15.27</v>
      </c>
      <c r="S1872">
        <v>92.55</v>
      </c>
      <c r="T1872">
        <v>1.13</v>
      </c>
      <c r="U1872" t="s">
        <v>183</v>
      </c>
    </row>
    <row r="1873" spans="1:21">
      <c r="A1873" t="str">
        <f>"300405"</f>
        <v>300405</v>
      </c>
      <c r="B1873" t="s">
        <v>3793</v>
      </c>
      <c r="C1873">
        <v>1.55</v>
      </c>
      <c r="D1873">
        <v>10.45</v>
      </c>
      <c r="E1873">
        <v>0.16</v>
      </c>
      <c r="F1873">
        <v>10.45</v>
      </c>
      <c r="G1873">
        <v>10.46</v>
      </c>
      <c r="H1873">
        <v>73065</v>
      </c>
      <c r="I1873">
        <v>618</v>
      </c>
      <c r="J1873">
        <v>-0.09</v>
      </c>
      <c r="K1873">
        <v>4.83</v>
      </c>
      <c r="L1873">
        <v>7585.58</v>
      </c>
      <c r="M1873" t="s">
        <v>3794</v>
      </c>
      <c r="N1873" t="s">
        <v>309</v>
      </c>
      <c r="O1873">
        <v>10.3</v>
      </c>
      <c r="P1873">
        <v>10.58</v>
      </c>
      <c r="Q1873">
        <v>10.16</v>
      </c>
      <c r="R1873">
        <v>10.29</v>
      </c>
      <c r="S1873">
        <v>199.66</v>
      </c>
      <c r="T1873">
        <v>1.05</v>
      </c>
      <c r="U1873" t="s">
        <v>141</v>
      </c>
    </row>
    <row r="1874" spans="1:21">
      <c r="A1874" t="str">
        <f>"300406"</f>
        <v>300406</v>
      </c>
      <c r="B1874" t="s">
        <v>3795</v>
      </c>
      <c r="C1874">
        <v>0.2</v>
      </c>
      <c r="D1874">
        <v>15.2</v>
      </c>
      <c r="E1874">
        <v>0.03</v>
      </c>
      <c r="F1874">
        <v>15.19</v>
      </c>
      <c r="G1874">
        <v>15.2</v>
      </c>
      <c r="H1874">
        <v>19841</v>
      </c>
      <c r="I1874">
        <v>290</v>
      </c>
      <c r="J1874">
        <v>-0.06</v>
      </c>
      <c r="K1874">
        <v>0.6</v>
      </c>
      <c r="L1874">
        <v>3006.31</v>
      </c>
      <c r="M1874" t="s">
        <v>3796</v>
      </c>
      <c r="N1874" t="s">
        <v>186</v>
      </c>
      <c r="O1874">
        <v>15.14</v>
      </c>
      <c r="P1874">
        <v>15.24</v>
      </c>
      <c r="Q1874">
        <v>15.05</v>
      </c>
      <c r="R1874">
        <v>15.17</v>
      </c>
      <c r="S1874">
        <v>21.61</v>
      </c>
      <c r="T1874">
        <v>0.65</v>
      </c>
      <c r="U1874" t="s">
        <v>44</v>
      </c>
    </row>
    <row r="1875" spans="1:21">
      <c r="A1875" t="str">
        <f>"300407"</f>
        <v>300407</v>
      </c>
      <c r="B1875" t="s">
        <v>3797</v>
      </c>
      <c r="C1875">
        <v>2.44</v>
      </c>
      <c r="D1875">
        <v>8.39</v>
      </c>
      <c r="E1875">
        <v>0.2</v>
      </c>
      <c r="F1875">
        <v>8.37</v>
      </c>
      <c r="G1875">
        <v>8.39</v>
      </c>
      <c r="H1875">
        <v>24053</v>
      </c>
      <c r="I1875">
        <v>177</v>
      </c>
      <c r="J1875">
        <v>0.24</v>
      </c>
      <c r="K1875">
        <v>1.14</v>
      </c>
      <c r="L1875">
        <v>2009.48</v>
      </c>
      <c r="M1875" t="s">
        <v>3664</v>
      </c>
      <c r="N1875" t="s">
        <v>47</v>
      </c>
      <c r="O1875">
        <v>8.18</v>
      </c>
      <c r="P1875">
        <v>8.46</v>
      </c>
      <c r="Q1875">
        <v>8.18</v>
      </c>
      <c r="R1875">
        <v>8.19</v>
      </c>
      <c r="S1875">
        <v>96.8</v>
      </c>
      <c r="T1875">
        <v>1.02</v>
      </c>
      <c r="U1875" t="s">
        <v>360</v>
      </c>
    </row>
    <row r="1876" spans="1:21">
      <c r="A1876" t="str">
        <f>"300408"</f>
        <v>300408</v>
      </c>
      <c r="B1876" t="s">
        <v>3798</v>
      </c>
      <c r="C1876">
        <v>4.86</v>
      </c>
      <c r="D1876">
        <v>43.18</v>
      </c>
      <c r="E1876">
        <v>2</v>
      </c>
      <c r="F1876">
        <v>43.17</v>
      </c>
      <c r="G1876">
        <v>43.18</v>
      </c>
      <c r="H1876">
        <v>195286</v>
      </c>
      <c r="I1876">
        <v>1144</v>
      </c>
      <c r="J1876">
        <v>0.12</v>
      </c>
      <c r="K1876">
        <v>1.12</v>
      </c>
      <c r="L1876">
        <v>83704.8</v>
      </c>
      <c r="M1876" t="s">
        <v>3799</v>
      </c>
      <c r="N1876" t="s">
        <v>69</v>
      </c>
      <c r="O1876">
        <v>41.1</v>
      </c>
      <c r="P1876">
        <v>43.77</v>
      </c>
      <c r="Q1876">
        <v>41.06</v>
      </c>
      <c r="R1876">
        <v>41.18</v>
      </c>
      <c r="S1876">
        <v>34.47</v>
      </c>
      <c r="T1876">
        <v>1.74</v>
      </c>
      <c r="U1876" t="s">
        <v>183</v>
      </c>
    </row>
    <row r="1877" spans="1:21">
      <c r="A1877" t="str">
        <f>"300409"</f>
        <v>300409</v>
      </c>
      <c r="B1877" t="s">
        <v>3800</v>
      </c>
      <c r="C1877">
        <v>-2.93</v>
      </c>
      <c r="D1877">
        <v>26.15</v>
      </c>
      <c r="E1877">
        <v>-0.79</v>
      </c>
      <c r="F1877">
        <v>26.15</v>
      </c>
      <c r="G1877">
        <v>26.16</v>
      </c>
      <c r="H1877">
        <v>231666</v>
      </c>
      <c r="I1877">
        <v>1711</v>
      </c>
      <c r="J1877">
        <v>-0.07</v>
      </c>
      <c r="K1877">
        <v>5.31</v>
      </c>
      <c r="L1877">
        <v>61190.67</v>
      </c>
      <c r="M1877" t="s">
        <v>3801</v>
      </c>
      <c r="N1877" t="s">
        <v>1413</v>
      </c>
      <c r="O1877">
        <v>26.66</v>
      </c>
      <c r="P1877">
        <v>26.97</v>
      </c>
      <c r="Q1877">
        <v>26.09</v>
      </c>
      <c r="R1877">
        <v>26.94</v>
      </c>
      <c r="S1877">
        <v>25.51</v>
      </c>
      <c r="T1877">
        <v>1.35</v>
      </c>
      <c r="U1877" t="s">
        <v>183</v>
      </c>
    </row>
    <row r="1878" spans="1:21">
      <c r="A1878" t="str">
        <f>"300410"</f>
        <v>300410</v>
      </c>
      <c r="B1878" t="s">
        <v>3802</v>
      </c>
      <c r="C1878">
        <v>6.05</v>
      </c>
      <c r="D1878">
        <v>13.68</v>
      </c>
      <c r="E1878">
        <v>0.78</v>
      </c>
      <c r="F1878">
        <v>13.68</v>
      </c>
      <c r="G1878">
        <v>13.69</v>
      </c>
      <c r="H1878">
        <v>218346</v>
      </c>
      <c r="I1878">
        <v>3325</v>
      </c>
      <c r="J1878">
        <v>-0.14</v>
      </c>
      <c r="K1878">
        <v>5.99</v>
      </c>
      <c r="L1878">
        <v>30072.95</v>
      </c>
      <c r="M1878" t="s">
        <v>3803</v>
      </c>
      <c r="N1878" t="s">
        <v>1028</v>
      </c>
      <c r="O1878">
        <v>13.08</v>
      </c>
      <c r="P1878">
        <v>14.41</v>
      </c>
      <c r="Q1878">
        <v>12.87</v>
      </c>
      <c r="R1878">
        <v>12.9</v>
      </c>
      <c r="S1878">
        <v>21.97</v>
      </c>
      <c r="T1878">
        <v>2.14</v>
      </c>
      <c r="U1878" t="s">
        <v>183</v>
      </c>
    </row>
    <row r="1879" spans="1:21">
      <c r="A1879" t="str">
        <f>"300411"</f>
        <v>300411</v>
      </c>
      <c r="B1879" t="s">
        <v>3804</v>
      </c>
      <c r="C1879">
        <v>1.55</v>
      </c>
      <c r="D1879">
        <v>7.84</v>
      </c>
      <c r="E1879">
        <v>0.12</v>
      </c>
      <c r="F1879">
        <v>7.84</v>
      </c>
      <c r="G1879">
        <v>7.85</v>
      </c>
      <c r="H1879">
        <v>44873</v>
      </c>
      <c r="I1879">
        <v>927</v>
      </c>
      <c r="J1879">
        <v>0.13</v>
      </c>
      <c r="K1879">
        <v>2.48</v>
      </c>
      <c r="L1879">
        <v>3501.25</v>
      </c>
      <c r="M1879" t="s">
        <v>3805</v>
      </c>
      <c r="N1879" t="s">
        <v>324</v>
      </c>
      <c r="O1879">
        <v>7.71</v>
      </c>
      <c r="P1879">
        <v>7.9</v>
      </c>
      <c r="Q1879">
        <v>7.64</v>
      </c>
      <c r="R1879">
        <v>7.72</v>
      </c>
      <c r="S1879">
        <v>88.09</v>
      </c>
      <c r="T1879">
        <v>0.89</v>
      </c>
      <c r="U1879" t="s">
        <v>200</v>
      </c>
    </row>
    <row r="1880" spans="1:21">
      <c r="A1880" t="str">
        <f>"300412"</f>
        <v>300412</v>
      </c>
      <c r="B1880" t="s">
        <v>3806</v>
      </c>
      <c r="C1880">
        <v>0.11</v>
      </c>
      <c r="D1880">
        <v>8.74</v>
      </c>
      <c r="E1880">
        <v>0.01</v>
      </c>
      <c r="F1880">
        <v>8.73</v>
      </c>
      <c r="G1880">
        <v>8.74</v>
      </c>
      <c r="H1880">
        <v>29036</v>
      </c>
      <c r="I1880">
        <v>339</v>
      </c>
      <c r="J1880">
        <v>0.23</v>
      </c>
      <c r="K1880">
        <v>1.31</v>
      </c>
      <c r="L1880">
        <v>2527.63</v>
      </c>
      <c r="M1880" t="s">
        <v>3807</v>
      </c>
      <c r="N1880" t="s">
        <v>186</v>
      </c>
      <c r="O1880">
        <v>8.66</v>
      </c>
      <c r="P1880">
        <v>8.81</v>
      </c>
      <c r="Q1880">
        <v>8.6</v>
      </c>
      <c r="R1880">
        <v>8.73</v>
      </c>
      <c r="S1880">
        <v>29.23</v>
      </c>
      <c r="T1880">
        <v>0.86</v>
      </c>
      <c r="U1880" t="s">
        <v>200</v>
      </c>
    </row>
    <row r="1881" spans="1:21">
      <c r="A1881" t="str">
        <f>"300413"</f>
        <v>300413</v>
      </c>
      <c r="B1881" t="s">
        <v>3808</v>
      </c>
      <c r="C1881">
        <v>-0.3</v>
      </c>
      <c r="D1881">
        <v>46.22</v>
      </c>
      <c r="E1881">
        <v>-0.14</v>
      </c>
      <c r="F1881">
        <v>46.21</v>
      </c>
      <c r="G1881">
        <v>46.22</v>
      </c>
      <c r="H1881">
        <v>160474</v>
      </c>
      <c r="I1881">
        <v>1795</v>
      </c>
      <c r="J1881">
        <v>0.41</v>
      </c>
      <c r="K1881">
        <v>1.72</v>
      </c>
      <c r="L1881">
        <v>74953.36</v>
      </c>
      <c r="M1881" t="s">
        <v>3809</v>
      </c>
      <c r="N1881" t="s">
        <v>199</v>
      </c>
      <c r="O1881">
        <v>46.1</v>
      </c>
      <c r="P1881">
        <v>48.13</v>
      </c>
      <c r="Q1881">
        <v>45.96</v>
      </c>
      <c r="R1881">
        <v>46.36</v>
      </c>
      <c r="S1881">
        <v>32.75</v>
      </c>
      <c r="T1881">
        <v>0.68</v>
      </c>
      <c r="U1881" t="s">
        <v>204</v>
      </c>
    </row>
    <row r="1882" spans="1:21">
      <c r="A1882" t="str">
        <f>"300414"</f>
        <v>300414</v>
      </c>
      <c r="B1882" t="s">
        <v>3810</v>
      </c>
      <c r="C1882">
        <v>-0.79</v>
      </c>
      <c r="D1882">
        <v>11.33</v>
      </c>
      <c r="E1882">
        <v>-0.09</v>
      </c>
      <c r="F1882">
        <v>11.33</v>
      </c>
      <c r="G1882">
        <v>11.34</v>
      </c>
      <c r="H1882">
        <v>69156</v>
      </c>
      <c r="I1882">
        <v>1941</v>
      </c>
      <c r="J1882">
        <v>-0.08</v>
      </c>
      <c r="K1882">
        <v>2.25</v>
      </c>
      <c r="L1882">
        <v>7857.72</v>
      </c>
      <c r="M1882" t="s">
        <v>3811</v>
      </c>
      <c r="N1882" t="s">
        <v>153</v>
      </c>
      <c r="O1882">
        <v>11.29</v>
      </c>
      <c r="P1882">
        <v>11.47</v>
      </c>
      <c r="Q1882">
        <v>11.21</v>
      </c>
      <c r="R1882">
        <v>11.42</v>
      </c>
      <c r="S1882">
        <v>63.13</v>
      </c>
      <c r="T1882">
        <v>0.73</v>
      </c>
      <c r="U1882" t="s">
        <v>196</v>
      </c>
    </row>
    <row r="1883" spans="1:21">
      <c r="A1883" t="str">
        <f>"300415"</f>
        <v>300415</v>
      </c>
      <c r="B1883" t="s">
        <v>3812</v>
      </c>
      <c r="C1883">
        <v>0.96</v>
      </c>
      <c r="D1883">
        <v>18.96</v>
      </c>
      <c r="E1883">
        <v>0.18</v>
      </c>
      <c r="F1883">
        <v>18.95</v>
      </c>
      <c r="G1883">
        <v>18.96</v>
      </c>
      <c r="H1883">
        <v>38570</v>
      </c>
      <c r="I1883">
        <v>1047</v>
      </c>
      <c r="J1883">
        <v>0.26</v>
      </c>
      <c r="K1883">
        <v>0.92</v>
      </c>
      <c r="L1883">
        <v>7279.91</v>
      </c>
      <c r="M1883" t="s">
        <v>3813</v>
      </c>
      <c r="N1883" t="s">
        <v>324</v>
      </c>
      <c r="O1883">
        <v>18.89</v>
      </c>
      <c r="P1883">
        <v>19.1</v>
      </c>
      <c r="Q1883">
        <v>18.62</v>
      </c>
      <c r="R1883">
        <v>18.78</v>
      </c>
      <c r="S1883">
        <v>15.53</v>
      </c>
      <c r="T1883">
        <v>0.44</v>
      </c>
      <c r="U1883" t="s">
        <v>183</v>
      </c>
    </row>
    <row r="1884" spans="1:21">
      <c r="A1884" t="str">
        <f>"300416"</f>
        <v>300416</v>
      </c>
      <c r="B1884" t="s">
        <v>3814</v>
      </c>
      <c r="C1884">
        <v>1.48</v>
      </c>
      <c r="D1884">
        <v>28.8</v>
      </c>
      <c r="E1884">
        <v>0.42</v>
      </c>
      <c r="F1884">
        <v>28.8</v>
      </c>
      <c r="G1884">
        <v>28.82</v>
      </c>
      <c r="H1884">
        <v>116464</v>
      </c>
      <c r="I1884">
        <v>513</v>
      </c>
      <c r="J1884">
        <v>0.38</v>
      </c>
      <c r="K1884">
        <v>4.45</v>
      </c>
      <c r="L1884">
        <v>33626.01</v>
      </c>
      <c r="M1884" t="s">
        <v>3815</v>
      </c>
      <c r="N1884" t="s">
        <v>1028</v>
      </c>
      <c r="O1884">
        <v>28</v>
      </c>
      <c r="P1884">
        <v>29.79</v>
      </c>
      <c r="Q1884">
        <v>28</v>
      </c>
      <c r="R1884">
        <v>28.38</v>
      </c>
      <c r="S1884">
        <v>43.33</v>
      </c>
      <c r="T1884">
        <v>1.93</v>
      </c>
      <c r="U1884" t="s">
        <v>102</v>
      </c>
    </row>
    <row r="1885" spans="1:21">
      <c r="A1885" t="str">
        <f>"300417"</f>
        <v>300417</v>
      </c>
      <c r="B1885" t="s">
        <v>3816</v>
      </c>
      <c r="C1885">
        <v>1.18</v>
      </c>
      <c r="D1885">
        <v>12.05</v>
      </c>
      <c r="E1885">
        <v>0.14</v>
      </c>
      <c r="F1885">
        <v>12.05</v>
      </c>
      <c r="G1885">
        <v>12.07</v>
      </c>
      <c r="H1885">
        <v>20633</v>
      </c>
      <c r="I1885">
        <v>294</v>
      </c>
      <c r="J1885">
        <v>-0.07</v>
      </c>
      <c r="K1885">
        <v>2.5</v>
      </c>
      <c r="L1885">
        <v>2469.09</v>
      </c>
      <c r="M1885" t="s">
        <v>3817</v>
      </c>
      <c r="N1885" t="s">
        <v>1028</v>
      </c>
      <c r="O1885">
        <v>11.95</v>
      </c>
      <c r="P1885">
        <v>12.09</v>
      </c>
      <c r="Q1885">
        <v>11.76</v>
      </c>
      <c r="R1885">
        <v>11.91</v>
      </c>
      <c r="S1885">
        <v>104.08</v>
      </c>
      <c r="T1885">
        <v>0.99</v>
      </c>
      <c r="U1885" t="s">
        <v>183</v>
      </c>
    </row>
    <row r="1886" spans="1:21">
      <c r="A1886" t="str">
        <f>"300418"</f>
        <v>300418</v>
      </c>
      <c r="B1886" t="s">
        <v>3818</v>
      </c>
      <c r="C1886">
        <v>0.13</v>
      </c>
      <c r="D1886">
        <v>22.79</v>
      </c>
      <c r="E1886">
        <v>0.03</v>
      </c>
      <c r="F1886">
        <v>22.79</v>
      </c>
      <c r="G1886">
        <v>22.8</v>
      </c>
      <c r="H1886">
        <v>429342</v>
      </c>
      <c r="I1886">
        <v>8708</v>
      </c>
      <c r="J1886">
        <v>-0.08</v>
      </c>
      <c r="K1886">
        <v>4.08</v>
      </c>
      <c r="L1886">
        <v>98388.81</v>
      </c>
      <c r="M1886" t="s">
        <v>3819</v>
      </c>
      <c r="N1886" t="s">
        <v>479</v>
      </c>
      <c r="O1886">
        <v>23.28</v>
      </c>
      <c r="P1886">
        <v>23.36</v>
      </c>
      <c r="Q1886">
        <v>22.6</v>
      </c>
      <c r="R1886">
        <v>22.76</v>
      </c>
      <c r="S1886">
        <v>9.11</v>
      </c>
      <c r="T1886">
        <v>0.66</v>
      </c>
      <c r="U1886" t="s">
        <v>44</v>
      </c>
    </row>
    <row r="1887" spans="1:21">
      <c r="A1887" t="str">
        <f>"300419"</f>
        <v>300419</v>
      </c>
      <c r="B1887" t="s">
        <v>3820</v>
      </c>
      <c r="C1887">
        <v>1.6</v>
      </c>
      <c r="D1887">
        <v>7</v>
      </c>
      <c r="E1887">
        <v>0.11</v>
      </c>
      <c r="F1887">
        <v>6.99</v>
      </c>
      <c r="G1887">
        <v>7</v>
      </c>
      <c r="H1887">
        <v>69266</v>
      </c>
      <c r="I1887">
        <v>2188</v>
      </c>
      <c r="J1887">
        <v>0</v>
      </c>
      <c r="K1887">
        <v>1.88</v>
      </c>
      <c r="L1887">
        <v>4806.35</v>
      </c>
      <c r="M1887" t="s">
        <v>3821</v>
      </c>
      <c r="N1887" t="s">
        <v>30</v>
      </c>
      <c r="O1887">
        <v>6.9</v>
      </c>
      <c r="P1887">
        <v>7.02</v>
      </c>
      <c r="Q1887">
        <v>6.83</v>
      </c>
      <c r="R1887">
        <v>6.89</v>
      </c>
      <c r="S1887">
        <v>321.13</v>
      </c>
      <c r="T1887">
        <v>0.89</v>
      </c>
      <c r="U1887" t="s">
        <v>44</v>
      </c>
    </row>
    <row r="1888" spans="1:21">
      <c r="A1888" t="str">
        <f>"300420"</f>
        <v>300420</v>
      </c>
      <c r="B1888" t="s">
        <v>3822</v>
      </c>
      <c r="C1888">
        <v>0.52</v>
      </c>
      <c r="D1888">
        <v>3.83</v>
      </c>
      <c r="E1888">
        <v>0.02</v>
      </c>
      <c r="F1888">
        <v>3.83</v>
      </c>
      <c r="G1888">
        <v>3.84</v>
      </c>
      <c r="H1888">
        <v>212745</v>
      </c>
      <c r="I1888">
        <v>2905</v>
      </c>
      <c r="J1888">
        <v>-0.25</v>
      </c>
      <c r="K1888">
        <v>2.05</v>
      </c>
      <c r="L1888">
        <v>8084.96</v>
      </c>
      <c r="M1888" t="s">
        <v>3823</v>
      </c>
      <c r="N1888" t="s">
        <v>347</v>
      </c>
      <c r="O1888">
        <v>3.8</v>
      </c>
      <c r="P1888">
        <v>3.86</v>
      </c>
      <c r="Q1888">
        <v>3.72</v>
      </c>
      <c r="R1888">
        <v>3.81</v>
      </c>
      <c r="S1888">
        <v>39.3</v>
      </c>
      <c r="T1888">
        <v>0.86</v>
      </c>
      <c r="U1888" t="s">
        <v>102</v>
      </c>
    </row>
    <row r="1889" spans="1:21">
      <c r="A1889" t="str">
        <f>"300421"</f>
        <v>300421</v>
      </c>
      <c r="B1889" t="s">
        <v>3824</v>
      </c>
      <c r="C1889">
        <v>-3.66</v>
      </c>
      <c r="D1889">
        <v>23.95</v>
      </c>
      <c r="E1889">
        <v>-0.91</v>
      </c>
      <c r="F1889">
        <v>23.95</v>
      </c>
      <c r="G1889">
        <v>23.96</v>
      </c>
      <c r="H1889">
        <v>75596</v>
      </c>
      <c r="I1889">
        <v>1280</v>
      </c>
      <c r="J1889">
        <v>0.42</v>
      </c>
      <c r="K1889">
        <v>4.07</v>
      </c>
      <c r="L1889">
        <v>18127.32</v>
      </c>
      <c r="M1889" t="s">
        <v>3825</v>
      </c>
      <c r="N1889" t="s">
        <v>347</v>
      </c>
      <c r="O1889">
        <v>24.01</v>
      </c>
      <c r="P1889">
        <v>24.69</v>
      </c>
      <c r="Q1889">
        <v>23.5</v>
      </c>
      <c r="R1889">
        <v>24.86</v>
      </c>
      <c r="S1889">
        <v>51.88</v>
      </c>
      <c r="T1889">
        <v>1.27</v>
      </c>
      <c r="U1889" t="s">
        <v>102</v>
      </c>
    </row>
    <row r="1890" spans="1:21">
      <c r="A1890" t="str">
        <f>"300422"</f>
        <v>300422</v>
      </c>
      <c r="B1890" t="s">
        <v>3826</v>
      </c>
      <c r="C1890">
        <v>0.7</v>
      </c>
      <c r="D1890">
        <v>8.67</v>
      </c>
      <c r="E1890">
        <v>0.06</v>
      </c>
      <c r="F1890">
        <v>8.67</v>
      </c>
      <c r="G1890">
        <v>8.68</v>
      </c>
      <c r="H1890">
        <v>33499</v>
      </c>
      <c r="I1890">
        <v>913</v>
      </c>
      <c r="J1890">
        <v>0.12</v>
      </c>
      <c r="K1890">
        <v>0.88</v>
      </c>
      <c r="L1890">
        <v>2876.9</v>
      </c>
      <c r="M1890" t="s">
        <v>3827</v>
      </c>
      <c r="N1890" t="s">
        <v>33</v>
      </c>
      <c r="O1890">
        <v>8.63</v>
      </c>
      <c r="P1890">
        <v>8.67</v>
      </c>
      <c r="Q1890">
        <v>8.52</v>
      </c>
      <c r="R1890">
        <v>8.61</v>
      </c>
      <c r="S1890">
        <v>29.31</v>
      </c>
      <c r="T1890">
        <v>0.91</v>
      </c>
      <c r="U1890" t="s">
        <v>342</v>
      </c>
    </row>
    <row r="1891" spans="1:21">
      <c r="A1891" t="str">
        <f>"300423"</f>
        <v>300423</v>
      </c>
      <c r="B1891" t="s">
        <v>3828</v>
      </c>
      <c r="C1891">
        <v>4.04</v>
      </c>
      <c r="D1891">
        <v>14.43</v>
      </c>
      <c r="E1891">
        <v>0.56</v>
      </c>
      <c r="F1891">
        <v>14.42</v>
      </c>
      <c r="G1891">
        <v>14.43</v>
      </c>
      <c r="H1891">
        <v>251357</v>
      </c>
      <c r="I1891">
        <v>2884</v>
      </c>
      <c r="J1891">
        <v>0.28</v>
      </c>
      <c r="K1891">
        <v>8.09</v>
      </c>
      <c r="L1891">
        <v>35719.79</v>
      </c>
      <c r="M1891" t="s">
        <v>3829</v>
      </c>
      <c r="N1891" t="s">
        <v>47</v>
      </c>
      <c r="O1891">
        <v>13.68</v>
      </c>
      <c r="P1891">
        <v>14.66</v>
      </c>
      <c r="Q1891">
        <v>13.51</v>
      </c>
      <c r="R1891">
        <v>13.87</v>
      </c>
      <c r="S1891">
        <v>30.27</v>
      </c>
      <c r="T1891">
        <v>1.72</v>
      </c>
      <c r="U1891" t="s">
        <v>221</v>
      </c>
    </row>
    <row r="1892" spans="1:21">
      <c r="A1892" t="str">
        <f>"300424"</f>
        <v>300424</v>
      </c>
      <c r="B1892" t="s">
        <v>3830</v>
      </c>
      <c r="C1892">
        <v>-1.12</v>
      </c>
      <c r="D1892">
        <v>14.95</v>
      </c>
      <c r="E1892">
        <v>-0.17</v>
      </c>
      <c r="F1892">
        <v>14.95</v>
      </c>
      <c r="G1892">
        <v>14.97</v>
      </c>
      <c r="H1892">
        <v>41912</v>
      </c>
      <c r="I1892">
        <v>1388</v>
      </c>
      <c r="J1892">
        <v>-0.19</v>
      </c>
      <c r="K1892">
        <v>2.09</v>
      </c>
      <c r="L1892">
        <v>6302.19</v>
      </c>
      <c r="M1892" t="s">
        <v>3831</v>
      </c>
      <c r="N1892" t="s">
        <v>611</v>
      </c>
      <c r="O1892">
        <v>15.25</v>
      </c>
      <c r="P1892">
        <v>15.25</v>
      </c>
      <c r="Q1892">
        <v>14.94</v>
      </c>
      <c r="R1892">
        <v>15.12</v>
      </c>
      <c r="S1892">
        <v>171.61</v>
      </c>
      <c r="T1892">
        <v>0.76</v>
      </c>
      <c r="U1892" t="s">
        <v>183</v>
      </c>
    </row>
    <row r="1893" spans="1:21">
      <c r="A1893" t="str">
        <f>"300425"</f>
        <v>300425</v>
      </c>
      <c r="B1893" t="s">
        <v>3832</v>
      </c>
      <c r="C1893">
        <v>1.82</v>
      </c>
      <c r="D1893">
        <v>5.04</v>
      </c>
      <c r="E1893">
        <v>0.09</v>
      </c>
      <c r="F1893">
        <v>5.03</v>
      </c>
      <c r="G1893">
        <v>5.04</v>
      </c>
      <c r="H1893">
        <v>120280</v>
      </c>
      <c r="I1893">
        <v>1416</v>
      </c>
      <c r="J1893">
        <v>0.2</v>
      </c>
      <c r="K1893">
        <v>1.79</v>
      </c>
      <c r="L1893">
        <v>5992.61</v>
      </c>
      <c r="M1893" t="s">
        <v>847</v>
      </c>
      <c r="N1893" t="s">
        <v>33</v>
      </c>
      <c r="O1893">
        <v>4.99</v>
      </c>
      <c r="P1893">
        <v>5.04</v>
      </c>
      <c r="Q1893">
        <v>4.9</v>
      </c>
      <c r="R1893">
        <v>4.95</v>
      </c>
      <c r="S1893">
        <v>24.85</v>
      </c>
      <c r="T1893">
        <v>1.1</v>
      </c>
      <c r="U1893" t="s">
        <v>196</v>
      </c>
    </row>
    <row r="1894" spans="1:21">
      <c r="A1894" t="str">
        <f>"300426"</f>
        <v>300426</v>
      </c>
      <c r="B1894" t="s">
        <v>3833</v>
      </c>
      <c r="C1894">
        <v>1.98</v>
      </c>
      <c r="D1894">
        <v>6.69</v>
      </c>
      <c r="E1894">
        <v>0.13</v>
      </c>
      <c r="F1894">
        <v>6.68</v>
      </c>
      <c r="G1894">
        <v>6.69</v>
      </c>
      <c r="H1894">
        <v>26680</v>
      </c>
      <c r="I1894">
        <v>411</v>
      </c>
      <c r="J1894">
        <v>0.15</v>
      </c>
      <c r="K1894">
        <v>0.67</v>
      </c>
      <c r="L1894">
        <v>1771.99</v>
      </c>
      <c r="M1894" t="s">
        <v>3834</v>
      </c>
      <c r="N1894" t="s">
        <v>199</v>
      </c>
      <c r="O1894">
        <v>6.55</v>
      </c>
      <c r="P1894">
        <v>6.72</v>
      </c>
      <c r="Q1894">
        <v>6.5</v>
      </c>
      <c r="R1894">
        <v>6.56</v>
      </c>
      <c r="S1894" t="s">
        <v>40</v>
      </c>
      <c r="T1894">
        <v>0.69</v>
      </c>
      <c r="U1894" t="s">
        <v>200</v>
      </c>
    </row>
    <row r="1895" spans="1:21">
      <c r="A1895" t="str">
        <f>"300427"</f>
        <v>300427</v>
      </c>
      <c r="B1895" t="s">
        <v>3835</v>
      </c>
      <c r="C1895">
        <v>1.83</v>
      </c>
      <c r="D1895">
        <v>13.93</v>
      </c>
      <c r="E1895">
        <v>0.25</v>
      </c>
      <c r="F1895">
        <v>13.93</v>
      </c>
      <c r="G1895">
        <v>13.94</v>
      </c>
      <c r="H1895">
        <v>73305</v>
      </c>
      <c r="I1895">
        <v>953</v>
      </c>
      <c r="J1895">
        <v>0.07</v>
      </c>
      <c r="K1895">
        <v>2.29</v>
      </c>
      <c r="L1895">
        <v>10157.4</v>
      </c>
      <c r="M1895" t="s">
        <v>3836</v>
      </c>
      <c r="N1895" t="s">
        <v>47</v>
      </c>
      <c r="O1895">
        <v>13.69</v>
      </c>
      <c r="P1895">
        <v>14.04</v>
      </c>
      <c r="Q1895">
        <v>13.56</v>
      </c>
      <c r="R1895">
        <v>13.68</v>
      </c>
      <c r="S1895">
        <v>43.22</v>
      </c>
      <c r="T1895">
        <v>1.18</v>
      </c>
      <c r="U1895" t="s">
        <v>339</v>
      </c>
    </row>
    <row r="1896" spans="1:21">
      <c r="A1896" t="str">
        <f>"300428"</f>
        <v>300428</v>
      </c>
      <c r="B1896" t="s">
        <v>3837</v>
      </c>
      <c r="C1896">
        <v>-0.66</v>
      </c>
      <c r="D1896">
        <v>19.43</v>
      </c>
      <c r="E1896">
        <v>-0.13</v>
      </c>
      <c r="F1896">
        <v>19.43</v>
      </c>
      <c r="G1896">
        <v>19.44</v>
      </c>
      <c r="H1896">
        <v>132277</v>
      </c>
      <c r="I1896">
        <v>2126</v>
      </c>
      <c r="J1896">
        <v>-0.14</v>
      </c>
      <c r="K1896">
        <v>6.7</v>
      </c>
      <c r="L1896">
        <v>25721.79</v>
      </c>
      <c r="M1896" t="s">
        <v>3838</v>
      </c>
      <c r="N1896" t="s">
        <v>91</v>
      </c>
      <c r="O1896">
        <v>19.06</v>
      </c>
      <c r="P1896">
        <v>19.78</v>
      </c>
      <c r="Q1896">
        <v>18.95</v>
      </c>
      <c r="R1896">
        <v>19.56</v>
      </c>
      <c r="S1896">
        <v>26.69</v>
      </c>
      <c r="T1896">
        <v>1.03</v>
      </c>
      <c r="U1896" t="s">
        <v>207</v>
      </c>
    </row>
    <row r="1897" spans="1:21">
      <c r="A1897" t="str">
        <f>"300429"</f>
        <v>300429</v>
      </c>
      <c r="B1897" t="s">
        <v>3839</v>
      </c>
      <c r="C1897">
        <v>2.05</v>
      </c>
      <c r="D1897">
        <v>12.47</v>
      </c>
      <c r="E1897">
        <v>0.25</v>
      </c>
      <c r="F1897">
        <v>12.46</v>
      </c>
      <c r="G1897">
        <v>12.47</v>
      </c>
      <c r="H1897">
        <v>79375</v>
      </c>
      <c r="I1897">
        <v>910</v>
      </c>
      <c r="J1897">
        <v>0.08</v>
      </c>
      <c r="K1897">
        <v>2.17</v>
      </c>
      <c r="L1897">
        <v>9853.38</v>
      </c>
      <c r="M1897" t="s">
        <v>3840</v>
      </c>
      <c r="N1897" t="s">
        <v>309</v>
      </c>
      <c r="O1897">
        <v>12.3</v>
      </c>
      <c r="P1897">
        <v>12.54</v>
      </c>
      <c r="Q1897">
        <v>12.22</v>
      </c>
      <c r="R1897">
        <v>12.22</v>
      </c>
      <c r="S1897">
        <v>51.08</v>
      </c>
      <c r="T1897">
        <v>0.86</v>
      </c>
      <c r="U1897" t="s">
        <v>102</v>
      </c>
    </row>
    <row r="1898" spans="1:21">
      <c r="A1898" t="str">
        <f>"300430"</f>
        <v>300430</v>
      </c>
      <c r="B1898" t="s">
        <v>3841</v>
      </c>
      <c r="C1898">
        <v>-0.1</v>
      </c>
      <c r="D1898">
        <v>10.36</v>
      </c>
      <c r="E1898">
        <v>-0.01</v>
      </c>
      <c r="F1898">
        <v>10.35</v>
      </c>
      <c r="G1898">
        <v>10.36</v>
      </c>
      <c r="H1898">
        <v>43433</v>
      </c>
      <c r="I1898">
        <v>667</v>
      </c>
      <c r="J1898">
        <v>0.1</v>
      </c>
      <c r="K1898">
        <v>1.69</v>
      </c>
      <c r="L1898">
        <v>4509.3</v>
      </c>
      <c r="M1898" t="s">
        <v>3842</v>
      </c>
      <c r="N1898" t="s">
        <v>1028</v>
      </c>
      <c r="O1898">
        <v>10.07</v>
      </c>
      <c r="P1898">
        <v>10.52</v>
      </c>
      <c r="Q1898">
        <v>10.07</v>
      </c>
      <c r="R1898">
        <v>10.37</v>
      </c>
      <c r="S1898">
        <v>34.94</v>
      </c>
      <c r="T1898">
        <v>0.95</v>
      </c>
      <c r="U1898" t="s">
        <v>44</v>
      </c>
    </row>
    <row r="1899" spans="1:21">
      <c r="A1899" t="str">
        <f>"300432"</f>
        <v>300432</v>
      </c>
      <c r="B1899" t="s">
        <v>3843</v>
      </c>
      <c r="C1899">
        <v>-4.86</v>
      </c>
      <c r="D1899">
        <v>34.27</v>
      </c>
      <c r="E1899">
        <v>-1.75</v>
      </c>
      <c r="F1899">
        <v>34.26</v>
      </c>
      <c r="G1899">
        <v>34.27</v>
      </c>
      <c r="H1899">
        <v>415230</v>
      </c>
      <c r="I1899">
        <v>2939</v>
      </c>
      <c r="J1899">
        <v>0.26</v>
      </c>
      <c r="K1899">
        <v>5.72</v>
      </c>
      <c r="L1899">
        <v>145015.78</v>
      </c>
      <c r="M1899" t="s">
        <v>3844</v>
      </c>
      <c r="N1899" t="s">
        <v>91</v>
      </c>
      <c r="O1899">
        <v>36.6</v>
      </c>
      <c r="P1899">
        <v>36.75</v>
      </c>
      <c r="Q1899">
        <v>34.13</v>
      </c>
      <c r="R1899">
        <v>36.02</v>
      </c>
      <c r="S1899">
        <v>80.07</v>
      </c>
      <c r="T1899">
        <v>1.19</v>
      </c>
      <c r="U1899" t="s">
        <v>196</v>
      </c>
    </row>
    <row r="1900" spans="1:21">
      <c r="A1900" t="str">
        <f>"300433"</f>
        <v>300433</v>
      </c>
      <c r="B1900" t="s">
        <v>3845</v>
      </c>
      <c r="C1900">
        <v>3.63</v>
      </c>
      <c r="D1900">
        <v>23.1</v>
      </c>
      <c r="E1900">
        <v>0.81</v>
      </c>
      <c r="F1900">
        <v>23.1</v>
      </c>
      <c r="G1900">
        <v>23.11</v>
      </c>
      <c r="H1900">
        <v>407062</v>
      </c>
      <c r="I1900">
        <v>3717</v>
      </c>
      <c r="J1900">
        <v>-0.03</v>
      </c>
      <c r="K1900">
        <v>0.82</v>
      </c>
      <c r="L1900">
        <v>94393.51</v>
      </c>
      <c r="M1900" t="s">
        <v>3846</v>
      </c>
      <c r="N1900" t="s">
        <v>69</v>
      </c>
      <c r="O1900">
        <v>22.28</v>
      </c>
      <c r="P1900">
        <v>23.75</v>
      </c>
      <c r="Q1900">
        <v>22.2</v>
      </c>
      <c r="R1900">
        <v>22.29</v>
      </c>
      <c r="S1900">
        <v>26.13</v>
      </c>
      <c r="T1900">
        <v>0.98</v>
      </c>
      <c r="U1900" t="s">
        <v>204</v>
      </c>
    </row>
    <row r="1901" spans="1:21">
      <c r="A1901" t="str">
        <f>"300434"</f>
        <v>300434</v>
      </c>
      <c r="B1901" t="s">
        <v>3847</v>
      </c>
      <c r="C1901">
        <v>1.74</v>
      </c>
      <c r="D1901">
        <v>9.33</v>
      </c>
      <c r="E1901">
        <v>0.16</v>
      </c>
      <c r="F1901">
        <v>9.33</v>
      </c>
      <c r="G1901">
        <v>9.34</v>
      </c>
      <c r="H1901">
        <v>12064</v>
      </c>
      <c r="I1901">
        <v>110</v>
      </c>
      <c r="J1901">
        <v>-0.1</v>
      </c>
      <c r="K1901">
        <v>0.37</v>
      </c>
      <c r="L1901">
        <v>1122.99</v>
      </c>
      <c r="M1901" t="s">
        <v>3003</v>
      </c>
      <c r="N1901" t="s">
        <v>192</v>
      </c>
      <c r="O1901">
        <v>9.17</v>
      </c>
      <c r="P1901">
        <v>9.38</v>
      </c>
      <c r="Q1901">
        <v>9.17</v>
      </c>
      <c r="R1901">
        <v>9.17</v>
      </c>
      <c r="S1901">
        <v>34.73</v>
      </c>
      <c r="T1901">
        <v>0.68</v>
      </c>
      <c r="U1901" t="s">
        <v>196</v>
      </c>
    </row>
    <row r="1902" spans="1:21">
      <c r="A1902" t="str">
        <f>"300435"</f>
        <v>300435</v>
      </c>
      <c r="B1902" t="s">
        <v>3848</v>
      </c>
      <c r="C1902">
        <v>20.01</v>
      </c>
      <c r="D1902">
        <v>24.59</v>
      </c>
      <c r="E1902">
        <v>4.1</v>
      </c>
      <c r="F1902">
        <v>24.59</v>
      </c>
      <c r="G1902" t="s">
        <v>40</v>
      </c>
      <c r="H1902">
        <v>475332</v>
      </c>
      <c r="I1902">
        <v>776</v>
      </c>
      <c r="J1902">
        <v>0</v>
      </c>
      <c r="K1902">
        <v>15.2</v>
      </c>
      <c r="L1902">
        <v>108078.85</v>
      </c>
      <c r="M1902" t="s">
        <v>3849</v>
      </c>
      <c r="N1902" t="s">
        <v>238</v>
      </c>
      <c r="O1902">
        <v>19.82</v>
      </c>
      <c r="P1902">
        <v>24.59</v>
      </c>
      <c r="Q1902">
        <v>19.81</v>
      </c>
      <c r="R1902">
        <v>20.49</v>
      </c>
      <c r="S1902">
        <v>37.91</v>
      </c>
      <c r="T1902">
        <v>1.94</v>
      </c>
      <c r="U1902" t="s">
        <v>200</v>
      </c>
    </row>
    <row r="1903" spans="1:21">
      <c r="A1903" t="str">
        <f>"300436"</f>
        <v>300436</v>
      </c>
      <c r="B1903" t="s">
        <v>3850</v>
      </c>
      <c r="C1903">
        <v>1.05</v>
      </c>
      <c r="D1903">
        <v>29.82</v>
      </c>
      <c r="E1903">
        <v>0.31</v>
      </c>
      <c r="F1903">
        <v>29.82</v>
      </c>
      <c r="G1903">
        <v>29.83</v>
      </c>
      <c r="H1903">
        <v>3569</v>
      </c>
      <c r="I1903">
        <v>37</v>
      </c>
      <c r="J1903">
        <v>0.07</v>
      </c>
      <c r="K1903">
        <v>0.31</v>
      </c>
      <c r="L1903">
        <v>1066.77</v>
      </c>
      <c r="M1903" t="s">
        <v>1561</v>
      </c>
      <c r="N1903" t="s">
        <v>192</v>
      </c>
      <c r="O1903">
        <v>29.8</v>
      </c>
      <c r="P1903">
        <v>30.15</v>
      </c>
      <c r="Q1903">
        <v>29.61</v>
      </c>
      <c r="R1903">
        <v>29.51</v>
      </c>
      <c r="S1903" t="s">
        <v>40</v>
      </c>
      <c r="T1903">
        <v>0.71</v>
      </c>
      <c r="U1903" t="s">
        <v>339</v>
      </c>
    </row>
    <row r="1904" spans="1:21">
      <c r="A1904" t="str">
        <f>"300437"</f>
        <v>300437</v>
      </c>
      <c r="B1904" t="s">
        <v>3851</v>
      </c>
      <c r="C1904">
        <v>0.29</v>
      </c>
      <c r="D1904">
        <v>38.38</v>
      </c>
      <c r="E1904">
        <v>0.11</v>
      </c>
      <c r="F1904">
        <v>38.38</v>
      </c>
      <c r="G1904">
        <v>38.39</v>
      </c>
      <c r="H1904">
        <v>327818</v>
      </c>
      <c r="I1904">
        <v>4121</v>
      </c>
      <c r="J1904">
        <v>0.47</v>
      </c>
      <c r="K1904">
        <v>20.53</v>
      </c>
      <c r="L1904">
        <v>125625.18</v>
      </c>
      <c r="M1904" t="s">
        <v>3852</v>
      </c>
      <c r="N1904" t="s">
        <v>309</v>
      </c>
      <c r="O1904">
        <v>37.06</v>
      </c>
      <c r="P1904">
        <v>40</v>
      </c>
      <c r="Q1904">
        <v>36.5</v>
      </c>
      <c r="R1904">
        <v>38.27</v>
      </c>
      <c r="S1904">
        <v>344.65</v>
      </c>
      <c r="T1904">
        <v>0.75</v>
      </c>
      <c r="U1904" t="s">
        <v>224</v>
      </c>
    </row>
    <row r="1905" spans="1:21">
      <c r="A1905" t="str">
        <f>"300438"</f>
        <v>300438</v>
      </c>
      <c r="B1905" t="s">
        <v>3853</v>
      </c>
      <c r="C1905">
        <v>-5.16</v>
      </c>
      <c r="D1905">
        <v>53.11</v>
      </c>
      <c r="E1905">
        <v>-2.89</v>
      </c>
      <c r="F1905">
        <v>53.1</v>
      </c>
      <c r="G1905">
        <v>53.11</v>
      </c>
      <c r="H1905">
        <v>349190</v>
      </c>
      <c r="I1905">
        <v>3903</v>
      </c>
      <c r="J1905">
        <v>0.23</v>
      </c>
      <c r="K1905">
        <v>10.84</v>
      </c>
      <c r="L1905">
        <v>185966.28</v>
      </c>
      <c r="M1905" t="s">
        <v>3854</v>
      </c>
      <c r="N1905" t="s">
        <v>47</v>
      </c>
      <c r="O1905">
        <v>54.86</v>
      </c>
      <c r="P1905">
        <v>55.69</v>
      </c>
      <c r="Q1905">
        <v>51.01</v>
      </c>
      <c r="R1905">
        <v>56</v>
      </c>
      <c r="S1905">
        <v>103.47</v>
      </c>
      <c r="T1905">
        <v>1.07</v>
      </c>
      <c r="U1905" t="s">
        <v>183</v>
      </c>
    </row>
    <row r="1906" spans="1:21">
      <c r="A1906" t="str">
        <f>"300439"</f>
        <v>300439</v>
      </c>
      <c r="B1906" t="s">
        <v>3855</v>
      </c>
      <c r="C1906">
        <v>0.95</v>
      </c>
      <c r="D1906">
        <v>19.16</v>
      </c>
      <c r="E1906">
        <v>0.18</v>
      </c>
      <c r="F1906">
        <v>19.15</v>
      </c>
      <c r="G1906">
        <v>19.16</v>
      </c>
      <c r="H1906">
        <v>24180</v>
      </c>
      <c r="I1906">
        <v>229</v>
      </c>
      <c r="J1906">
        <v>0</v>
      </c>
      <c r="K1906">
        <v>0.87</v>
      </c>
      <c r="L1906">
        <v>4641.02</v>
      </c>
      <c r="M1906" t="s">
        <v>3856</v>
      </c>
      <c r="N1906" t="s">
        <v>186</v>
      </c>
      <c r="O1906">
        <v>19</v>
      </c>
      <c r="P1906">
        <v>19.46</v>
      </c>
      <c r="Q1906">
        <v>18.98</v>
      </c>
      <c r="R1906">
        <v>18.98</v>
      </c>
      <c r="S1906">
        <v>31.88</v>
      </c>
      <c r="T1906">
        <v>0.64</v>
      </c>
      <c r="U1906" t="s">
        <v>200</v>
      </c>
    </row>
    <row r="1907" spans="1:21">
      <c r="A1907" t="str">
        <f>"300440"</f>
        <v>300440</v>
      </c>
      <c r="B1907" t="s">
        <v>3857</v>
      </c>
      <c r="C1907">
        <v>-1.39</v>
      </c>
      <c r="D1907">
        <v>9.95</v>
      </c>
      <c r="E1907">
        <v>-0.14</v>
      </c>
      <c r="F1907">
        <v>9.95</v>
      </c>
      <c r="G1907">
        <v>9.96</v>
      </c>
      <c r="H1907">
        <v>172138</v>
      </c>
      <c r="I1907">
        <v>5282</v>
      </c>
      <c r="J1907">
        <v>0.2</v>
      </c>
      <c r="K1907">
        <v>3.9</v>
      </c>
      <c r="L1907">
        <v>17144.03</v>
      </c>
      <c r="M1907" t="s">
        <v>3858</v>
      </c>
      <c r="N1907" t="s">
        <v>30</v>
      </c>
      <c r="O1907">
        <v>10.2</v>
      </c>
      <c r="P1907">
        <v>10.27</v>
      </c>
      <c r="Q1907">
        <v>9.71</v>
      </c>
      <c r="R1907">
        <v>10.09</v>
      </c>
      <c r="S1907">
        <v>54.77</v>
      </c>
      <c r="T1907">
        <v>0.52</v>
      </c>
      <c r="U1907" t="s">
        <v>196</v>
      </c>
    </row>
    <row r="1908" spans="1:21">
      <c r="A1908" t="str">
        <f>"300441"</f>
        <v>300441</v>
      </c>
      <c r="B1908" t="s">
        <v>3859</v>
      </c>
      <c r="C1908">
        <v>5.62</v>
      </c>
      <c r="D1908">
        <v>10.34</v>
      </c>
      <c r="E1908">
        <v>0.55</v>
      </c>
      <c r="F1908">
        <v>10.33</v>
      </c>
      <c r="G1908">
        <v>10.34</v>
      </c>
      <c r="H1908">
        <v>309150</v>
      </c>
      <c r="I1908">
        <v>2451</v>
      </c>
      <c r="J1908">
        <v>-0.38</v>
      </c>
      <c r="K1908">
        <v>4.93</v>
      </c>
      <c r="L1908">
        <v>31406.6</v>
      </c>
      <c r="M1908" t="s">
        <v>3860</v>
      </c>
      <c r="N1908" t="s">
        <v>247</v>
      </c>
      <c r="O1908">
        <v>9.69</v>
      </c>
      <c r="P1908">
        <v>10.4</v>
      </c>
      <c r="Q1908">
        <v>9.68</v>
      </c>
      <c r="R1908">
        <v>9.79</v>
      </c>
      <c r="S1908">
        <v>21.52</v>
      </c>
      <c r="T1908">
        <v>2.6</v>
      </c>
      <c r="U1908" t="s">
        <v>200</v>
      </c>
    </row>
    <row r="1909" spans="1:21">
      <c r="A1909" t="str">
        <f>"300442"</f>
        <v>300442</v>
      </c>
      <c r="B1909" t="s">
        <v>3861</v>
      </c>
      <c r="C1909">
        <v>0.34</v>
      </c>
      <c r="D1909">
        <v>38.66</v>
      </c>
      <c r="E1909">
        <v>0.13</v>
      </c>
      <c r="F1909">
        <v>38.65</v>
      </c>
      <c r="G1909">
        <v>38.66</v>
      </c>
      <c r="H1909">
        <v>3901</v>
      </c>
      <c r="I1909">
        <v>18</v>
      </c>
      <c r="J1909">
        <v>-0.02</v>
      </c>
      <c r="K1909">
        <v>0.39</v>
      </c>
      <c r="L1909">
        <v>1505.2</v>
      </c>
      <c r="M1909" t="s">
        <v>3862</v>
      </c>
      <c r="N1909" t="s">
        <v>111</v>
      </c>
      <c r="O1909">
        <v>38.17</v>
      </c>
      <c r="P1909">
        <v>39.1</v>
      </c>
      <c r="Q1909">
        <v>38.11</v>
      </c>
      <c r="R1909">
        <v>38.53</v>
      </c>
      <c r="S1909">
        <v>442.73</v>
      </c>
      <c r="T1909">
        <v>1.25</v>
      </c>
      <c r="U1909" t="s">
        <v>848</v>
      </c>
    </row>
    <row r="1910" spans="1:21">
      <c r="A1910" t="str">
        <f>"300443"</f>
        <v>300443</v>
      </c>
      <c r="B1910" t="s">
        <v>3863</v>
      </c>
      <c r="C1910">
        <v>0.21</v>
      </c>
      <c r="D1910">
        <v>70.13</v>
      </c>
      <c r="E1910">
        <v>0.15</v>
      </c>
      <c r="F1910">
        <v>70.12</v>
      </c>
      <c r="G1910">
        <v>70.13</v>
      </c>
      <c r="H1910">
        <v>72931</v>
      </c>
      <c r="I1910">
        <v>654</v>
      </c>
      <c r="J1910">
        <v>-0.18</v>
      </c>
      <c r="K1910">
        <v>3.99</v>
      </c>
      <c r="L1910">
        <v>50897.4</v>
      </c>
      <c r="M1910" t="s">
        <v>3864</v>
      </c>
      <c r="N1910" t="s">
        <v>47</v>
      </c>
      <c r="O1910">
        <v>69.98</v>
      </c>
      <c r="P1910">
        <v>71.62</v>
      </c>
      <c r="Q1910">
        <v>68.51</v>
      </c>
      <c r="R1910">
        <v>69.98</v>
      </c>
      <c r="S1910">
        <v>33.76</v>
      </c>
      <c r="T1910">
        <v>0.61</v>
      </c>
      <c r="U1910" t="s">
        <v>221</v>
      </c>
    </row>
    <row r="1911" spans="1:21">
      <c r="A1911" t="str">
        <f>"300444"</f>
        <v>300444</v>
      </c>
      <c r="B1911" t="s">
        <v>3865</v>
      </c>
      <c r="C1911">
        <v>-1.26</v>
      </c>
      <c r="D1911">
        <v>7.85</v>
      </c>
      <c r="E1911">
        <v>-0.1</v>
      </c>
      <c r="F1911">
        <v>7.84</v>
      </c>
      <c r="G1911">
        <v>7.85</v>
      </c>
      <c r="H1911">
        <v>446653</v>
      </c>
      <c r="I1911">
        <v>6029</v>
      </c>
      <c r="J1911">
        <v>0</v>
      </c>
      <c r="K1911">
        <v>8.64</v>
      </c>
      <c r="L1911">
        <v>35211.87</v>
      </c>
      <c r="M1911" t="s">
        <v>3866</v>
      </c>
      <c r="N1911" t="s">
        <v>47</v>
      </c>
      <c r="O1911">
        <v>7.98</v>
      </c>
      <c r="P1911">
        <v>8.08</v>
      </c>
      <c r="Q1911">
        <v>7.79</v>
      </c>
      <c r="R1911">
        <v>7.95</v>
      </c>
      <c r="S1911">
        <v>1317.56</v>
      </c>
      <c r="T1911">
        <v>0.68</v>
      </c>
      <c r="U1911" t="s">
        <v>44</v>
      </c>
    </row>
    <row r="1912" spans="1:21">
      <c r="A1912" t="str">
        <f>"300445"</f>
        <v>300445</v>
      </c>
      <c r="B1912" t="s">
        <v>3867</v>
      </c>
      <c r="C1912">
        <v>1.61</v>
      </c>
      <c r="D1912">
        <v>14.56</v>
      </c>
      <c r="E1912">
        <v>0.23</v>
      </c>
      <c r="F1912">
        <v>14.55</v>
      </c>
      <c r="G1912">
        <v>14.56</v>
      </c>
      <c r="H1912">
        <v>19775</v>
      </c>
      <c r="I1912">
        <v>173</v>
      </c>
      <c r="J1912">
        <v>0.07</v>
      </c>
      <c r="K1912">
        <v>1.46</v>
      </c>
      <c r="L1912">
        <v>2879.08</v>
      </c>
      <c r="M1912" t="s">
        <v>3868</v>
      </c>
      <c r="N1912" t="s">
        <v>1028</v>
      </c>
      <c r="O1912">
        <v>14.23</v>
      </c>
      <c r="P1912">
        <v>14.8</v>
      </c>
      <c r="Q1912">
        <v>14.23</v>
      </c>
      <c r="R1912">
        <v>14.33</v>
      </c>
      <c r="S1912">
        <v>42.88</v>
      </c>
      <c r="T1912">
        <v>1.04</v>
      </c>
      <c r="U1912" t="s">
        <v>44</v>
      </c>
    </row>
    <row r="1913" spans="1:21">
      <c r="A1913" t="str">
        <f>"300446"</f>
        <v>300446</v>
      </c>
      <c r="B1913" t="s">
        <v>3869</v>
      </c>
      <c r="C1913">
        <v>1.6</v>
      </c>
      <c r="D1913">
        <v>8.9</v>
      </c>
      <c r="E1913">
        <v>0.14</v>
      </c>
      <c r="F1913">
        <v>8.9</v>
      </c>
      <c r="G1913">
        <v>8.91</v>
      </c>
      <c r="H1913">
        <v>19657</v>
      </c>
      <c r="I1913">
        <v>332</v>
      </c>
      <c r="J1913">
        <v>0</v>
      </c>
      <c r="K1913">
        <v>0.99</v>
      </c>
      <c r="L1913">
        <v>1745.14</v>
      </c>
      <c r="M1913" t="s">
        <v>3870</v>
      </c>
      <c r="N1913" t="s">
        <v>309</v>
      </c>
      <c r="O1913">
        <v>8.8</v>
      </c>
      <c r="P1913">
        <v>8.96</v>
      </c>
      <c r="Q1913">
        <v>8.75</v>
      </c>
      <c r="R1913">
        <v>8.76</v>
      </c>
      <c r="S1913">
        <v>220.94</v>
      </c>
      <c r="T1913">
        <v>1.02</v>
      </c>
      <c r="U1913" t="s">
        <v>207</v>
      </c>
    </row>
    <row r="1914" spans="1:21">
      <c r="A1914" t="str">
        <f>"300447"</f>
        <v>300447</v>
      </c>
      <c r="B1914" t="s">
        <v>3871</v>
      </c>
      <c r="C1914">
        <v>3.63</v>
      </c>
      <c r="D1914">
        <v>24.86</v>
      </c>
      <c r="E1914">
        <v>0.87</v>
      </c>
      <c r="F1914">
        <v>24.86</v>
      </c>
      <c r="G1914">
        <v>24.87</v>
      </c>
      <c r="H1914">
        <v>112857</v>
      </c>
      <c r="I1914">
        <v>2062</v>
      </c>
      <c r="J1914">
        <v>-0.23</v>
      </c>
      <c r="K1914">
        <v>6.49</v>
      </c>
      <c r="L1914">
        <v>27956.28</v>
      </c>
      <c r="M1914" t="s">
        <v>3872</v>
      </c>
      <c r="N1914" t="s">
        <v>47</v>
      </c>
      <c r="O1914">
        <v>24.11</v>
      </c>
      <c r="P1914">
        <v>25.27</v>
      </c>
      <c r="Q1914">
        <v>24.11</v>
      </c>
      <c r="R1914">
        <v>23.99</v>
      </c>
      <c r="S1914">
        <v>43.42</v>
      </c>
      <c r="T1914">
        <v>0.7</v>
      </c>
      <c r="U1914" t="s">
        <v>102</v>
      </c>
    </row>
    <row r="1915" spans="1:21">
      <c r="A1915" t="str">
        <f>"300448"</f>
        <v>300448</v>
      </c>
      <c r="B1915" t="s">
        <v>3873</v>
      </c>
      <c r="C1915">
        <v>1.2</v>
      </c>
      <c r="D1915">
        <v>6.75</v>
      </c>
      <c r="E1915">
        <v>0.08</v>
      </c>
      <c r="F1915">
        <v>6.74</v>
      </c>
      <c r="G1915">
        <v>6.75</v>
      </c>
      <c r="H1915">
        <v>60972</v>
      </c>
      <c r="I1915">
        <v>1761</v>
      </c>
      <c r="J1915">
        <v>0.3</v>
      </c>
      <c r="K1915">
        <v>1.33</v>
      </c>
      <c r="L1915">
        <v>4086.12</v>
      </c>
      <c r="M1915" t="s">
        <v>3874</v>
      </c>
      <c r="N1915" t="s">
        <v>30</v>
      </c>
      <c r="O1915">
        <v>6.69</v>
      </c>
      <c r="P1915">
        <v>6.75</v>
      </c>
      <c r="Q1915">
        <v>6.62</v>
      </c>
      <c r="R1915">
        <v>6.67</v>
      </c>
      <c r="S1915">
        <v>190.37</v>
      </c>
      <c r="T1915">
        <v>0.52</v>
      </c>
      <c r="U1915" t="s">
        <v>183</v>
      </c>
    </row>
    <row r="1916" spans="1:21">
      <c r="A1916" t="str">
        <f>"300449"</f>
        <v>300449</v>
      </c>
      <c r="B1916" t="s">
        <v>3875</v>
      </c>
      <c r="C1916">
        <v>1.59</v>
      </c>
      <c r="D1916">
        <v>7.04</v>
      </c>
      <c r="E1916">
        <v>0.11</v>
      </c>
      <c r="F1916">
        <v>7.04</v>
      </c>
      <c r="G1916">
        <v>7.05</v>
      </c>
      <c r="H1916">
        <v>46776</v>
      </c>
      <c r="I1916">
        <v>464</v>
      </c>
      <c r="J1916">
        <v>0</v>
      </c>
      <c r="K1916">
        <v>1.86</v>
      </c>
      <c r="L1916">
        <v>3289</v>
      </c>
      <c r="M1916" t="s">
        <v>3876</v>
      </c>
      <c r="N1916" t="s">
        <v>72</v>
      </c>
      <c r="O1916">
        <v>7.03</v>
      </c>
      <c r="P1916">
        <v>7.12</v>
      </c>
      <c r="Q1916">
        <v>6.92</v>
      </c>
      <c r="R1916">
        <v>6.93</v>
      </c>
      <c r="S1916" t="s">
        <v>40</v>
      </c>
      <c r="T1916">
        <v>1.13</v>
      </c>
      <c r="U1916" t="s">
        <v>44</v>
      </c>
    </row>
    <row r="1917" spans="1:21">
      <c r="A1917" t="str">
        <f>"300450"</f>
        <v>300450</v>
      </c>
      <c r="B1917" t="s">
        <v>3877</v>
      </c>
      <c r="C1917">
        <v>-0.89</v>
      </c>
      <c r="D1917">
        <v>79.29</v>
      </c>
      <c r="E1917">
        <v>-0.71</v>
      </c>
      <c r="F1917">
        <v>79.29</v>
      </c>
      <c r="G1917">
        <v>79.3</v>
      </c>
      <c r="H1917">
        <v>104002</v>
      </c>
      <c r="I1917">
        <v>1833</v>
      </c>
      <c r="J1917">
        <v>0.15</v>
      </c>
      <c r="K1917">
        <v>0.72</v>
      </c>
      <c r="L1917">
        <v>82489.96</v>
      </c>
      <c r="M1917" t="s">
        <v>3878</v>
      </c>
      <c r="N1917" t="s">
        <v>324</v>
      </c>
      <c r="O1917">
        <v>80.54</v>
      </c>
      <c r="P1917">
        <v>80.58</v>
      </c>
      <c r="Q1917">
        <v>78.33</v>
      </c>
      <c r="R1917">
        <v>80</v>
      </c>
      <c r="S1917">
        <v>92.73</v>
      </c>
      <c r="T1917">
        <v>0.85</v>
      </c>
      <c r="U1917" t="s">
        <v>102</v>
      </c>
    </row>
    <row r="1918" spans="1:21">
      <c r="A1918" t="str">
        <f>"300451"</f>
        <v>300451</v>
      </c>
      <c r="B1918" t="s">
        <v>3879</v>
      </c>
      <c r="C1918">
        <v>1.53</v>
      </c>
      <c r="D1918">
        <v>9.3</v>
      </c>
      <c r="E1918">
        <v>0.14</v>
      </c>
      <c r="F1918">
        <v>9.29</v>
      </c>
      <c r="G1918">
        <v>9.3</v>
      </c>
      <c r="H1918">
        <v>252090</v>
      </c>
      <c r="I1918">
        <v>4309</v>
      </c>
      <c r="J1918">
        <v>0</v>
      </c>
      <c r="K1918">
        <v>1.92</v>
      </c>
      <c r="L1918">
        <v>23388.33</v>
      </c>
      <c r="M1918" t="s">
        <v>3880</v>
      </c>
      <c r="N1918" t="s">
        <v>30</v>
      </c>
      <c r="O1918">
        <v>9.07</v>
      </c>
      <c r="P1918">
        <v>9.46</v>
      </c>
      <c r="Q1918">
        <v>9.02</v>
      </c>
      <c r="R1918">
        <v>9.16</v>
      </c>
      <c r="S1918">
        <v>46.99</v>
      </c>
      <c r="T1918">
        <v>1.09</v>
      </c>
      <c r="U1918" t="s">
        <v>200</v>
      </c>
    </row>
    <row r="1919" spans="1:21">
      <c r="A1919" t="str">
        <f>"300452"</f>
        <v>300452</v>
      </c>
      <c r="B1919" t="s">
        <v>3881</v>
      </c>
      <c r="C1919">
        <v>-1.55</v>
      </c>
      <c r="D1919">
        <v>16.56</v>
      </c>
      <c r="E1919">
        <v>-0.26</v>
      </c>
      <c r="F1919">
        <v>16.56</v>
      </c>
      <c r="G1919">
        <v>16.57</v>
      </c>
      <c r="H1919">
        <v>72757</v>
      </c>
      <c r="I1919">
        <v>1690</v>
      </c>
      <c r="J1919">
        <v>-0.11</v>
      </c>
      <c r="K1919">
        <v>5.15</v>
      </c>
      <c r="L1919">
        <v>12149.87</v>
      </c>
      <c r="M1919" t="s">
        <v>3882</v>
      </c>
      <c r="N1919" t="s">
        <v>192</v>
      </c>
      <c r="O1919">
        <v>16.73</v>
      </c>
      <c r="P1919">
        <v>17.1</v>
      </c>
      <c r="Q1919">
        <v>16.35</v>
      </c>
      <c r="R1919">
        <v>16.82</v>
      </c>
      <c r="S1919">
        <v>30.9</v>
      </c>
      <c r="T1919">
        <v>0.72</v>
      </c>
      <c r="U1919" t="s">
        <v>193</v>
      </c>
    </row>
    <row r="1920" spans="1:21">
      <c r="A1920" t="str">
        <f>"300453"</f>
        <v>300453</v>
      </c>
      <c r="B1920" t="s">
        <v>3883</v>
      </c>
      <c r="C1920">
        <v>-0.24</v>
      </c>
      <c r="D1920">
        <v>12.3</v>
      </c>
      <c r="E1920">
        <v>-0.03</v>
      </c>
      <c r="F1920">
        <v>12.29</v>
      </c>
      <c r="G1920">
        <v>12.3</v>
      </c>
      <c r="H1920">
        <v>19668</v>
      </c>
      <c r="I1920">
        <v>531</v>
      </c>
      <c r="J1920">
        <v>0</v>
      </c>
      <c r="K1920">
        <v>0.73</v>
      </c>
      <c r="L1920">
        <v>2416.76</v>
      </c>
      <c r="M1920" t="s">
        <v>3884</v>
      </c>
      <c r="N1920" t="s">
        <v>186</v>
      </c>
      <c r="O1920">
        <v>12.26</v>
      </c>
      <c r="P1920">
        <v>12.35</v>
      </c>
      <c r="Q1920">
        <v>12.17</v>
      </c>
      <c r="R1920">
        <v>12.33</v>
      </c>
      <c r="S1920">
        <v>31.75</v>
      </c>
      <c r="T1920">
        <v>0.43</v>
      </c>
      <c r="U1920" t="s">
        <v>235</v>
      </c>
    </row>
    <row r="1921" spans="1:21">
      <c r="A1921" t="str">
        <f>"300454"</f>
        <v>300454</v>
      </c>
      <c r="B1921" t="s">
        <v>3885</v>
      </c>
      <c r="C1921">
        <v>0.44</v>
      </c>
      <c r="D1921">
        <v>203.39</v>
      </c>
      <c r="E1921">
        <v>0.89</v>
      </c>
      <c r="F1921">
        <v>203.39</v>
      </c>
      <c r="G1921">
        <v>203.97</v>
      </c>
      <c r="H1921">
        <v>10191</v>
      </c>
      <c r="I1921">
        <v>101</v>
      </c>
      <c r="J1921">
        <v>-0.29</v>
      </c>
      <c r="K1921">
        <v>0.38</v>
      </c>
      <c r="L1921">
        <v>20681.73</v>
      </c>
      <c r="M1921" t="s">
        <v>3886</v>
      </c>
      <c r="N1921" t="s">
        <v>30</v>
      </c>
      <c r="O1921">
        <v>202.3</v>
      </c>
      <c r="P1921">
        <v>205.2</v>
      </c>
      <c r="Q1921">
        <v>199.37</v>
      </c>
      <c r="R1921">
        <v>202.5</v>
      </c>
      <c r="S1921" t="s">
        <v>40</v>
      </c>
      <c r="T1921">
        <v>0.67</v>
      </c>
      <c r="U1921" t="s">
        <v>24</v>
      </c>
    </row>
    <row r="1922" spans="1:21">
      <c r="A1922" t="str">
        <f>"300455"</f>
        <v>300455</v>
      </c>
      <c r="B1922" t="s">
        <v>3887</v>
      </c>
      <c r="C1922">
        <v>-1.95</v>
      </c>
      <c r="D1922">
        <v>10.58</v>
      </c>
      <c r="E1922">
        <v>-0.21</v>
      </c>
      <c r="F1922">
        <v>10.58</v>
      </c>
      <c r="G1922">
        <v>10.59</v>
      </c>
      <c r="H1922">
        <v>49671</v>
      </c>
      <c r="I1922">
        <v>720</v>
      </c>
      <c r="J1922">
        <v>0</v>
      </c>
      <c r="K1922">
        <v>0.89</v>
      </c>
      <c r="L1922">
        <v>5236.71</v>
      </c>
      <c r="M1922" t="s">
        <v>3888</v>
      </c>
      <c r="N1922" t="s">
        <v>43</v>
      </c>
      <c r="O1922">
        <v>10.64</v>
      </c>
      <c r="P1922">
        <v>10.64</v>
      </c>
      <c r="Q1922">
        <v>10.41</v>
      </c>
      <c r="R1922">
        <v>10.79</v>
      </c>
      <c r="S1922">
        <v>200.18</v>
      </c>
      <c r="T1922">
        <v>0.73</v>
      </c>
      <c r="U1922" t="s">
        <v>44</v>
      </c>
    </row>
    <row r="1923" spans="1:21">
      <c r="A1923" t="str">
        <f>"300456"</f>
        <v>300456</v>
      </c>
      <c r="B1923" t="s">
        <v>3889</v>
      </c>
      <c r="C1923">
        <v>-0.47</v>
      </c>
      <c r="D1923">
        <v>25.43</v>
      </c>
      <c r="E1923">
        <v>-0.12</v>
      </c>
      <c r="F1923">
        <v>25.42</v>
      </c>
      <c r="G1923">
        <v>25.43</v>
      </c>
      <c r="H1923">
        <v>91162</v>
      </c>
      <c r="I1923">
        <v>1123</v>
      </c>
      <c r="J1923">
        <v>-0.07</v>
      </c>
      <c r="K1923">
        <v>2.49</v>
      </c>
      <c r="L1923">
        <v>23223.04</v>
      </c>
      <c r="M1923" t="s">
        <v>3890</v>
      </c>
      <c r="N1923" t="s">
        <v>69</v>
      </c>
      <c r="O1923">
        <v>25.55</v>
      </c>
      <c r="P1923">
        <v>25.86</v>
      </c>
      <c r="Q1923">
        <v>25.18</v>
      </c>
      <c r="R1923">
        <v>25.55</v>
      </c>
      <c r="S1923">
        <v>159.03</v>
      </c>
      <c r="T1923">
        <v>0.9</v>
      </c>
      <c r="U1923" t="s">
        <v>44</v>
      </c>
    </row>
    <row r="1924" spans="1:21">
      <c r="A1924" t="str">
        <f>"300457"</f>
        <v>300457</v>
      </c>
      <c r="B1924" t="s">
        <v>3891</v>
      </c>
      <c r="C1924">
        <v>-0.09</v>
      </c>
      <c r="D1924">
        <v>34.33</v>
      </c>
      <c r="E1924">
        <v>-0.03</v>
      </c>
      <c r="F1924">
        <v>34.32</v>
      </c>
      <c r="G1924">
        <v>34.33</v>
      </c>
      <c r="H1924">
        <v>136518</v>
      </c>
      <c r="I1924">
        <v>3723</v>
      </c>
      <c r="J1924">
        <v>-0.11</v>
      </c>
      <c r="K1924">
        <v>2.91</v>
      </c>
      <c r="L1924">
        <v>47193.75</v>
      </c>
      <c r="M1924" t="s">
        <v>3892</v>
      </c>
      <c r="N1924" t="s">
        <v>324</v>
      </c>
      <c r="O1924">
        <v>34.02</v>
      </c>
      <c r="P1924">
        <v>35.51</v>
      </c>
      <c r="Q1924">
        <v>34.02</v>
      </c>
      <c r="R1924">
        <v>34.36</v>
      </c>
      <c r="S1924">
        <v>99.36</v>
      </c>
      <c r="T1924">
        <v>0.55</v>
      </c>
      <c r="U1924" t="s">
        <v>24</v>
      </c>
    </row>
    <row r="1925" spans="1:21">
      <c r="A1925" t="str">
        <f>"300458"</f>
        <v>300458</v>
      </c>
      <c r="B1925" t="s">
        <v>3893</v>
      </c>
      <c r="C1925">
        <v>3.62</v>
      </c>
      <c r="D1925">
        <v>68.08</v>
      </c>
      <c r="E1925">
        <v>2.38</v>
      </c>
      <c r="F1925">
        <v>68.08</v>
      </c>
      <c r="G1925">
        <v>68.09</v>
      </c>
      <c r="H1925">
        <v>240814</v>
      </c>
      <c r="I1925">
        <v>1493</v>
      </c>
      <c r="J1925">
        <v>0.09</v>
      </c>
      <c r="K1925">
        <v>9.25</v>
      </c>
      <c r="L1925">
        <v>166211.96</v>
      </c>
      <c r="M1925" t="s">
        <v>3894</v>
      </c>
      <c r="N1925" t="s">
        <v>69</v>
      </c>
      <c r="O1925">
        <v>65.5</v>
      </c>
      <c r="P1925">
        <v>71.88</v>
      </c>
      <c r="Q1925">
        <v>65.5</v>
      </c>
      <c r="R1925">
        <v>65.7</v>
      </c>
      <c r="S1925">
        <v>43.44</v>
      </c>
      <c r="T1925">
        <v>1.62</v>
      </c>
      <c r="U1925" t="s">
        <v>183</v>
      </c>
    </row>
    <row r="1926" spans="1:21">
      <c r="A1926" t="str">
        <f>"300459"</f>
        <v>300459</v>
      </c>
      <c r="B1926" t="s">
        <v>3895</v>
      </c>
      <c r="C1926">
        <v>0.22</v>
      </c>
      <c r="D1926">
        <v>4.5</v>
      </c>
      <c r="E1926">
        <v>0.01</v>
      </c>
      <c r="F1926">
        <v>4.5</v>
      </c>
      <c r="G1926">
        <v>4.51</v>
      </c>
      <c r="H1926">
        <v>1994706</v>
      </c>
      <c r="I1926">
        <v>32878</v>
      </c>
      <c r="J1926">
        <v>-0.21</v>
      </c>
      <c r="K1926">
        <v>6.99</v>
      </c>
      <c r="L1926">
        <v>90577.57</v>
      </c>
      <c r="M1926" t="s">
        <v>3896</v>
      </c>
      <c r="N1926" t="s">
        <v>479</v>
      </c>
      <c r="O1926">
        <v>4.48</v>
      </c>
      <c r="P1926">
        <v>4.67</v>
      </c>
      <c r="Q1926">
        <v>4.45</v>
      </c>
      <c r="R1926">
        <v>4.49</v>
      </c>
      <c r="S1926">
        <v>19.77</v>
      </c>
      <c r="T1926">
        <v>0.64</v>
      </c>
      <c r="U1926" t="s">
        <v>200</v>
      </c>
    </row>
    <row r="1927" spans="1:21">
      <c r="A1927" t="str">
        <f>"300460"</f>
        <v>300460</v>
      </c>
      <c r="B1927" t="s">
        <v>3897</v>
      </c>
      <c r="C1927">
        <v>5.79</v>
      </c>
      <c r="D1927">
        <v>21.57</v>
      </c>
      <c r="E1927">
        <v>1.18</v>
      </c>
      <c r="F1927">
        <v>21.57</v>
      </c>
      <c r="G1927">
        <v>21.58</v>
      </c>
      <c r="H1927">
        <v>287591</v>
      </c>
      <c r="I1927">
        <v>2116</v>
      </c>
      <c r="J1927">
        <v>-0.08</v>
      </c>
      <c r="K1927">
        <v>10.42</v>
      </c>
      <c r="L1927">
        <v>61476.41</v>
      </c>
      <c r="M1927" t="s">
        <v>3898</v>
      </c>
      <c r="N1927" t="s">
        <v>69</v>
      </c>
      <c r="O1927">
        <v>20.44</v>
      </c>
      <c r="P1927">
        <v>22.16</v>
      </c>
      <c r="Q1927">
        <v>20.34</v>
      </c>
      <c r="R1927">
        <v>20.39</v>
      </c>
      <c r="S1927">
        <v>32.33</v>
      </c>
      <c r="T1927">
        <v>1.51</v>
      </c>
      <c r="U1927" t="s">
        <v>183</v>
      </c>
    </row>
    <row r="1928" spans="1:21">
      <c r="A1928" t="str">
        <f>"300461"</f>
        <v>300461</v>
      </c>
      <c r="B1928" t="s">
        <v>3899</v>
      </c>
      <c r="C1928">
        <v>0.7</v>
      </c>
      <c r="D1928">
        <v>20.18</v>
      </c>
      <c r="E1928">
        <v>0.14</v>
      </c>
      <c r="F1928">
        <v>20.18</v>
      </c>
      <c r="G1928">
        <v>20.2</v>
      </c>
      <c r="H1928">
        <v>18864</v>
      </c>
      <c r="I1928">
        <v>654</v>
      </c>
      <c r="J1928">
        <v>-0.09</v>
      </c>
      <c r="K1928">
        <v>2.67</v>
      </c>
      <c r="L1928">
        <v>3815.9</v>
      </c>
      <c r="M1928" t="s">
        <v>3900</v>
      </c>
      <c r="N1928" t="s">
        <v>324</v>
      </c>
      <c r="O1928">
        <v>20.25</v>
      </c>
      <c r="P1928">
        <v>20.5</v>
      </c>
      <c r="Q1928">
        <v>19.91</v>
      </c>
      <c r="R1928">
        <v>20.04</v>
      </c>
      <c r="S1928">
        <v>158.52</v>
      </c>
      <c r="T1928">
        <v>0.63</v>
      </c>
      <c r="U1928" t="s">
        <v>200</v>
      </c>
    </row>
    <row r="1929" spans="1:21">
      <c r="A1929" t="str">
        <f>"300462"</f>
        <v>300462</v>
      </c>
      <c r="B1929" t="s">
        <v>3901</v>
      </c>
      <c r="C1929">
        <v>1.35</v>
      </c>
      <c r="D1929">
        <v>12.02</v>
      </c>
      <c r="E1929">
        <v>0.16</v>
      </c>
      <c r="F1929">
        <v>12.02</v>
      </c>
      <c r="G1929">
        <v>12.03</v>
      </c>
      <c r="H1929">
        <v>25119</v>
      </c>
      <c r="I1929">
        <v>559</v>
      </c>
      <c r="J1929">
        <v>0.17</v>
      </c>
      <c r="K1929">
        <v>1.84</v>
      </c>
      <c r="L1929">
        <v>3012.33</v>
      </c>
      <c r="M1929" t="s">
        <v>3902</v>
      </c>
      <c r="N1929" t="s">
        <v>324</v>
      </c>
      <c r="O1929">
        <v>11.84</v>
      </c>
      <c r="P1929">
        <v>12.08</v>
      </c>
      <c r="Q1929">
        <v>11.84</v>
      </c>
      <c r="R1929">
        <v>11.86</v>
      </c>
      <c r="S1929">
        <v>152.66</v>
      </c>
      <c r="T1929">
        <v>0.74</v>
      </c>
      <c r="U1929" t="s">
        <v>848</v>
      </c>
    </row>
    <row r="1930" spans="1:21">
      <c r="A1930" t="str">
        <f>"300463"</f>
        <v>300463</v>
      </c>
      <c r="B1930" t="s">
        <v>3903</v>
      </c>
      <c r="C1930">
        <v>0.62</v>
      </c>
      <c r="D1930">
        <v>29.06</v>
      </c>
      <c r="E1930">
        <v>0.18</v>
      </c>
      <c r="F1930">
        <v>29.06</v>
      </c>
      <c r="G1930">
        <v>29.07</v>
      </c>
      <c r="H1930">
        <v>45711</v>
      </c>
      <c r="I1930">
        <v>661</v>
      </c>
      <c r="J1930">
        <v>0.14</v>
      </c>
      <c r="K1930">
        <v>1.13</v>
      </c>
      <c r="L1930">
        <v>13220.06</v>
      </c>
      <c r="M1930" t="s">
        <v>3904</v>
      </c>
      <c r="N1930" t="s">
        <v>186</v>
      </c>
      <c r="O1930">
        <v>28.68</v>
      </c>
      <c r="P1930">
        <v>29.22</v>
      </c>
      <c r="Q1930">
        <v>28.68</v>
      </c>
      <c r="R1930">
        <v>28.88</v>
      </c>
      <c r="S1930">
        <v>15.24</v>
      </c>
      <c r="T1930">
        <v>0.68</v>
      </c>
      <c r="U1930" t="s">
        <v>196</v>
      </c>
    </row>
    <row r="1931" spans="1:21">
      <c r="A1931" t="str">
        <f>"300464"</f>
        <v>300464</v>
      </c>
      <c r="B1931" t="s">
        <v>3905</v>
      </c>
      <c r="C1931">
        <v>0.5</v>
      </c>
      <c r="D1931">
        <v>8.04</v>
      </c>
      <c r="E1931">
        <v>0.04</v>
      </c>
      <c r="F1931">
        <v>8.03</v>
      </c>
      <c r="G1931">
        <v>8.04</v>
      </c>
      <c r="H1931">
        <v>37456</v>
      </c>
      <c r="I1931">
        <v>332</v>
      </c>
      <c r="J1931">
        <v>0.12</v>
      </c>
      <c r="K1931">
        <v>1.24</v>
      </c>
      <c r="L1931">
        <v>3007.21</v>
      </c>
      <c r="M1931" t="s">
        <v>3906</v>
      </c>
      <c r="N1931" t="s">
        <v>347</v>
      </c>
      <c r="O1931">
        <v>8.03</v>
      </c>
      <c r="P1931">
        <v>8.12</v>
      </c>
      <c r="Q1931">
        <v>7.92</v>
      </c>
      <c r="R1931">
        <v>8</v>
      </c>
      <c r="S1931" t="s">
        <v>40</v>
      </c>
      <c r="T1931">
        <v>0.55</v>
      </c>
      <c r="U1931" t="s">
        <v>183</v>
      </c>
    </row>
    <row r="1932" spans="1:21">
      <c r="A1932" t="str">
        <f>"300465"</f>
        <v>300465</v>
      </c>
      <c r="B1932" t="s">
        <v>3907</v>
      </c>
      <c r="C1932">
        <v>3.18</v>
      </c>
      <c r="D1932">
        <v>10.72</v>
      </c>
      <c r="E1932">
        <v>0.33</v>
      </c>
      <c r="F1932">
        <v>10.71</v>
      </c>
      <c r="G1932">
        <v>10.72</v>
      </c>
      <c r="H1932">
        <v>113992</v>
      </c>
      <c r="I1932">
        <v>1581</v>
      </c>
      <c r="J1932">
        <v>-0.18</v>
      </c>
      <c r="K1932">
        <v>2.55</v>
      </c>
      <c r="L1932">
        <v>12121.96</v>
      </c>
      <c r="M1932" t="s">
        <v>3908</v>
      </c>
      <c r="N1932" t="s">
        <v>30</v>
      </c>
      <c r="O1932">
        <v>10.34</v>
      </c>
      <c r="P1932">
        <v>10.76</v>
      </c>
      <c r="Q1932">
        <v>10.33</v>
      </c>
      <c r="R1932">
        <v>10.39</v>
      </c>
      <c r="S1932">
        <v>47.55</v>
      </c>
      <c r="T1932">
        <v>1.21</v>
      </c>
      <c r="U1932" t="s">
        <v>44</v>
      </c>
    </row>
    <row r="1933" spans="1:21">
      <c r="A1933" t="str">
        <f>"300466"</f>
        <v>300466</v>
      </c>
      <c r="B1933" t="s">
        <v>3909</v>
      </c>
      <c r="C1933">
        <v>2.62</v>
      </c>
      <c r="D1933">
        <v>6.27</v>
      </c>
      <c r="E1933">
        <v>0.16</v>
      </c>
      <c r="F1933">
        <v>6.26</v>
      </c>
      <c r="G1933">
        <v>6.27</v>
      </c>
      <c r="H1933">
        <v>122167</v>
      </c>
      <c r="I1933">
        <v>852</v>
      </c>
      <c r="J1933">
        <v>0</v>
      </c>
      <c r="K1933">
        <v>2.91</v>
      </c>
      <c r="L1933">
        <v>7643.9</v>
      </c>
      <c r="M1933" t="s">
        <v>3910</v>
      </c>
      <c r="N1933" t="s">
        <v>1028</v>
      </c>
      <c r="O1933">
        <v>6.07</v>
      </c>
      <c r="P1933">
        <v>6.32</v>
      </c>
      <c r="Q1933">
        <v>6.06</v>
      </c>
      <c r="R1933">
        <v>6.11</v>
      </c>
      <c r="S1933">
        <v>150.07</v>
      </c>
      <c r="T1933">
        <v>1.2</v>
      </c>
      <c r="U1933" t="s">
        <v>102</v>
      </c>
    </row>
    <row r="1934" spans="1:21">
      <c r="A1934" t="str">
        <f>"300467"</f>
        <v>300467</v>
      </c>
      <c r="B1934" t="s">
        <v>3911</v>
      </c>
      <c r="C1934">
        <v>1.55</v>
      </c>
      <c r="D1934">
        <v>15.04</v>
      </c>
      <c r="E1934">
        <v>0.23</v>
      </c>
      <c r="F1934">
        <v>15.03</v>
      </c>
      <c r="G1934">
        <v>15.04</v>
      </c>
      <c r="H1934">
        <v>96622</v>
      </c>
      <c r="I1934">
        <v>818</v>
      </c>
      <c r="J1934">
        <v>0.07</v>
      </c>
      <c r="K1934">
        <v>6.53</v>
      </c>
      <c r="L1934">
        <v>14852.64</v>
      </c>
      <c r="M1934" t="s">
        <v>3912</v>
      </c>
      <c r="N1934" t="s">
        <v>479</v>
      </c>
      <c r="O1934">
        <v>15.17</v>
      </c>
      <c r="P1934">
        <v>16.05</v>
      </c>
      <c r="Q1934">
        <v>14.83</v>
      </c>
      <c r="R1934">
        <v>14.81</v>
      </c>
      <c r="S1934">
        <v>60.67</v>
      </c>
      <c r="T1934">
        <v>1.12</v>
      </c>
      <c r="U1934" t="s">
        <v>196</v>
      </c>
    </row>
    <row r="1935" spans="1:21">
      <c r="A1935" t="str">
        <f>"300468"</f>
        <v>300468</v>
      </c>
      <c r="B1935" t="s">
        <v>3913</v>
      </c>
      <c r="C1935">
        <v>3.99</v>
      </c>
      <c r="D1935">
        <v>17.48</v>
      </c>
      <c r="E1935">
        <v>0.67</v>
      </c>
      <c r="F1935">
        <v>17.47</v>
      </c>
      <c r="G1935">
        <v>17.48</v>
      </c>
      <c r="H1935">
        <v>115807</v>
      </c>
      <c r="I1935">
        <v>1851</v>
      </c>
      <c r="J1935">
        <v>0.17</v>
      </c>
      <c r="K1935">
        <v>4.1</v>
      </c>
      <c r="L1935">
        <v>19999.2</v>
      </c>
      <c r="M1935" t="s">
        <v>3914</v>
      </c>
      <c r="N1935" t="s">
        <v>30</v>
      </c>
      <c r="O1935">
        <v>16.79</v>
      </c>
      <c r="P1935">
        <v>17.68</v>
      </c>
      <c r="Q1935">
        <v>16.66</v>
      </c>
      <c r="R1935">
        <v>16.81</v>
      </c>
      <c r="S1935">
        <v>69.41</v>
      </c>
      <c r="T1935">
        <v>1.65</v>
      </c>
      <c r="U1935" t="s">
        <v>24</v>
      </c>
    </row>
    <row r="1936" spans="1:21">
      <c r="A1936" t="str">
        <f>"300469"</f>
        <v>300469</v>
      </c>
      <c r="B1936" t="s">
        <v>3915</v>
      </c>
      <c r="C1936">
        <v>-1.03</v>
      </c>
      <c r="D1936">
        <v>14.37</v>
      </c>
      <c r="E1936">
        <v>-0.15</v>
      </c>
      <c r="F1936">
        <v>14.37</v>
      </c>
      <c r="G1936">
        <v>14.39</v>
      </c>
      <c r="H1936">
        <v>48636</v>
      </c>
      <c r="I1936">
        <v>752</v>
      </c>
      <c r="J1936">
        <v>0.35</v>
      </c>
      <c r="K1936">
        <v>2.63</v>
      </c>
      <c r="L1936">
        <v>7011.78</v>
      </c>
      <c r="M1936" t="s">
        <v>3916</v>
      </c>
      <c r="N1936" t="s">
        <v>30</v>
      </c>
      <c r="O1936">
        <v>14.21</v>
      </c>
      <c r="P1936">
        <v>14.74</v>
      </c>
      <c r="Q1936">
        <v>14.11</v>
      </c>
      <c r="R1936">
        <v>14.52</v>
      </c>
      <c r="S1936" t="s">
        <v>40</v>
      </c>
      <c r="T1936">
        <v>0.83</v>
      </c>
      <c r="U1936" t="s">
        <v>848</v>
      </c>
    </row>
    <row r="1937" spans="1:21">
      <c r="A1937" t="str">
        <f>"300470"</f>
        <v>300470</v>
      </c>
      <c r="B1937" t="s">
        <v>3917</v>
      </c>
      <c r="C1937">
        <v>-0.42</v>
      </c>
      <c r="D1937">
        <v>43.12</v>
      </c>
      <c r="E1937">
        <v>-0.18</v>
      </c>
      <c r="F1937">
        <v>43.09</v>
      </c>
      <c r="G1937">
        <v>43.12</v>
      </c>
      <c r="H1937">
        <v>10168</v>
      </c>
      <c r="I1937">
        <v>111</v>
      </c>
      <c r="J1937">
        <v>0.07</v>
      </c>
      <c r="K1937">
        <v>0.52</v>
      </c>
      <c r="L1937">
        <v>4386.3</v>
      </c>
      <c r="M1937" t="s">
        <v>3918</v>
      </c>
      <c r="N1937" t="s">
        <v>347</v>
      </c>
      <c r="O1937">
        <v>43.01</v>
      </c>
      <c r="P1937">
        <v>43.58</v>
      </c>
      <c r="Q1937">
        <v>42.9</v>
      </c>
      <c r="R1937">
        <v>43.3</v>
      </c>
      <c r="S1937">
        <v>31.56</v>
      </c>
      <c r="T1937">
        <v>0.57</v>
      </c>
      <c r="U1937" t="s">
        <v>196</v>
      </c>
    </row>
    <row r="1938" spans="1:21">
      <c r="A1938" t="str">
        <f>"300471"</f>
        <v>300471</v>
      </c>
      <c r="B1938" t="s">
        <v>3919</v>
      </c>
      <c r="C1938">
        <v>15.01</v>
      </c>
      <c r="D1938">
        <v>28.88</v>
      </c>
      <c r="E1938">
        <v>3.77</v>
      </c>
      <c r="F1938">
        <v>28.87</v>
      </c>
      <c r="G1938">
        <v>28.88</v>
      </c>
      <c r="H1938">
        <v>675639</v>
      </c>
      <c r="I1938">
        <v>7232</v>
      </c>
      <c r="J1938">
        <v>0.59</v>
      </c>
      <c r="K1938">
        <v>20.04</v>
      </c>
      <c r="L1938">
        <v>185716.58</v>
      </c>
      <c r="M1938" t="s">
        <v>3920</v>
      </c>
      <c r="N1938" t="s">
        <v>324</v>
      </c>
      <c r="O1938">
        <v>24.6</v>
      </c>
      <c r="P1938">
        <v>29.3</v>
      </c>
      <c r="Q1938">
        <v>24.5</v>
      </c>
      <c r="R1938">
        <v>25.11</v>
      </c>
      <c r="S1938">
        <v>679.56</v>
      </c>
      <c r="T1938">
        <v>2.42</v>
      </c>
      <c r="U1938" t="s">
        <v>196</v>
      </c>
    </row>
    <row r="1939" spans="1:21">
      <c r="A1939" t="str">
        <f>"300472"</f>
        <v>300472</v>
      </c>
      <c r="B1939" t="s">
        <v>3921</v>
      </c>
      <c r="C1939">
        <v>-1.48</v>
      </c>
      <c r="D1939">
        <v>18.63</v>
      </c>
      <c r="E1939">
        <v>-0.28</v>
      </c>
      <c r="F1939">
        <v>18.62</v>
      </c>
      <c r="G1939">
        <v>18.63</v>
      </c>
      <c r="H1939">
        <v>181679</v>
      </c>
      <c r="I1939">
        <v>2659</v>
      </c>
      <c r="J1939">
        <v>0.27</v>
      </c>
      <c r="K1939">
        <v>7.93</v>
      </c>
      <c r="L1939">
        <v>33990.77</v>
      </c>
      <c r="M1939" t="s">
        <v>3922</v>
      </c>
      <c r="N1939" t="s">
        <v>324</v>
      </c>
      <c r="O1939">
        <v>19.01</v>
      </c>
      <c r="P1939">
        <v>19.08</v>
      </c>
      <c r="Q1939">
        <v>18.41</v>
      </c>
      <c r="R1939">
        <v>18.91</v>
      </c>
      <c r="S1939">
        <v>71.19</v>
      </c>
      <c r="T1939">
        <v>0.59</v>
      </c>
      <c r="U1939" t="s">
        <v>235</v>
      </c>
    </row>
    <row r="1940" spans="1:21">
      <c r="A1940" t="str">
        <f>"300473"</f>
        <v>300473</v>
      </c>
      <c r="B1940" t="s">
        <v>3923</v>
      </c>
      <c r="C1940">
        <v>2.32</v>
      </c>
      <c r="D1940">
        <v>23.83</v>
      </c>
      <c r="E1940">
        <v>0.54</v>
      </c>
      <c r="F1940">
        <v>23.82</v>
      </c>
      <c r="G1940">
        <v>23.83</v>
      </c>
      <c r="H1940">
        <v>42550</v>
      </c>
      <c r="I1940">
        <v>787</v>
      </c>
      <c r="J1940">
        <v>0</v>
      </c>
      <c r="K1940">
        <v>3.2</v>
      </c>
      <c r="L1940">
        <v>9907.48</v>
      </c>
      <c r="M1940" t="s">
        <v>2379</v>
      </c>
      <c r="N1940" t="s">
        <v>91</v>
      </c>
      <c r="O1940">
        <v>22.98</v>
      </c>
      <c r="P1940">
        <v>23.88</v>
      </c>
      <c r="Q1940">
        <v>22.6</v>
      </c>
      <c r="R1940">
        <v>23.29</v>
      </c>
      <c r="S1940">
        <v>79.48</v>
      </c>
      <c r="T1940">
        <v>1.31</v>
      </c>
      <c r="U1940" t="s">
        <v>141</v>
      </c>
    </row>
    <row r="1941" spans="1:21">
      <c r="A1941" t="str">
        <f>"300474"</f>
        <v>300474</v>
      </c>
      <c r="B1941" t="s">
        <v>3924</v>
      </c>
      <c r="C1941">
        <v>0.43</v>
      </c>
      <c r="D1941">
        <v>194.91</v>
      </c>
      <c r="E1941">
        <v>0.83</v>
      </c>
      <c r="F1941">
        <v>194.91</v>
      </c>
      <c r="G1941">
        <v>194.98</v>
      </c>
      <c r="H1941">
        <v>95364</v>
      </c>
      <c r="I1941">
        <v>920</v>
      </c>
      <c r="J1941">
        <v>0.34</v>
      </c>
      <c r="K1941">
        <v>5.98</v>
      </c>
      <c r="L1941">
        <v>186222.41</v>
      </c>
      <c r="M1941" t="s">
        <v>3925</v>
      </c>
      <c r="N1941" t="s">
        <v>69</v>
      </c>
      <c r="O1941">
        <v>193.03</v>
      </c>
      <c r="P1941">
        <v>200.91</v>
      </c>
      <c r="Q1941">
        <v>191.11</v>
      </c>
      <c r="R1941">
        <v>194.08</v>
      </c>
      <c r="S1941">
        <v>176.53</v>
      </c>
      <c r="T1941">
        <v>1.14</v>
      </c>
      <c r="U1941" t="s">
        <v>204</v>
      </c>
    </row>
    <row r="1942" spans="1:21">
      <c r="A1942" t="str">
        <f>"300475"</f>
        <v>300475</v>
      </c>
      <c r="B1942" t="s">
        <v>3926</v>
      </c>
      <c r="C1942">
        <v>-1</v>
      </c>
      <c r="D1942">
        <v>23.84</v>
      </c>
      <c r="E1942">
        <v>-0.24</v>
      </c>
      <c r="F1942">
        <v>23.84</v>
      </c>
      <c r="G1942">
        <v>23.85</v>
      </c>
      <c r="H1942">
        <v>13047</v>
      </c>
      <c r="I1942">
        <v>759</v>
      </c>
      <c r="J1942">
        <v>-0.62</v>
      </c>
      <c r="K1942">
        <v>0.31</v>
      </c>
      <c r="L1942">
        <v>3149.36</v>
      </c>
      <c r="M1942" t="s">
        <v>3927</v>
      </c>
      <c r="N1942" t="s">
        <v>60</v>
      </c>
      <c r="O1942">
        <v>24</v>
      </c>
      <c r="P1942">
        <v>24.59</v>
      </c>
      <c r="Q1942">
        <v>23.84</v>
      </c>
      <c r="R1942">
        <v>24.08</v>
      </c>
      <c r="S1942">
        <v>53.39</v>
      </c>
      <c r="T1942">
        <v>1.05</v>
      </c>
      <c r="U1942" t="s">
        <v>193</v>
      </c>
    </row>
    <row r="1943" spans="1:21">
      <c r="A1943" t="str">
        <f>"300476"</f>
        <v>300476</v>
      </c>
      <c r="B1943" t="s">
        <v>3928</v>
      </c>
      <c r="C1943">
        <v>7.09</v>
      </c>
      <c r="D1943">
        <v>29.89</v>
      </c>
      <c r="E1943">
        <v>1.98</v>
      </c>
      <c r="F1943">
        <v>29.89</v>
      </c>
      <c r="G1943">
        <v>29.9</v>
      </c>
      <c r="H1943">
        <v>376060</v>
      </c>
      <c r="I1943">
        <v>4081</v>
      </c>
      <c r="J1943">
        <v>0.07</v>
      </c>
      <c r="K1943">
        <v>4.91</v>
      </c>
      <c r="L1943">
        <v>111844.67</v>
      </c>
      <c r="M1943" t="s">
        <v>3929</v>
      </c>
      <c r="N1943" t="s">
        <v>69</v>
      </c>
      <c r="O1943">
        <v>28.23</v>
      </c>
      <c r="P1943">
        <v>30.55</v>
      </c>
      <c r="Q1943">
        <v>28.2</v>
      </c>
      <c r="R1943">
        <v>27.91</v>
      </c>
      <c r="S1943">
        <v>28.01</v>
      </c>
      <c r="T1943">
        <v>2.04</v>
      </c>
      <c r="U1943" t="s">
        <v>183</v>
      </c>
    </row>
    <row r="1944" spans="1:21">
      <c r="A1944" t="str">
        <f>"300477"</f>
        <v>300477</v>
      </c>
      <c r="B1944" t="s">
        <v>3930</v>
      </c>
      <c r="C1944">
        <v>1.73</v>
      </c>
      <c r="D1944">
        <v>9.39</v>
      </c>
      <c r="E1944">
        <v>0.16</v>
      </c>
      <c r="F1944">
        <v>9.39</v>
      </c>
      <c r="G1944">
        <v>9.4</v>
      </c>
      <c r="H1944">
        <v>570045</v>
      </c>
      <c r="I1944">
        <v>8240</v>
      </c>
      <c r="J1944">
        <v>0.32</v>
      </c>
      <c r="K1944">
        <v>9.45</v>
      </c>
      <c r="L1944">
        <v>53287.85</v>
      </c>
      <c r="M1944" t="s">
        <v>3931</v>
      </c>
      <c r="N1944" t="s">
        <v>47</v>
      </c>
      <c r="O1944">
        <v>9.22</v>
      </c>
      <c r="P1944">
        <v>9.55</v>
      </c>
      <c r="Q1944">
        <v>9.16</v>
      </c>
      <c r="R1944">
        <v>9.23</v>
      </c>
      <c r="S1944">
        <v>105.54</v>
      </c>
      <c r="T1944">
        <v>0.98</v>
      </c>
      <c r="U1944" t="s">
        <v>44</v>
      </c>
    </row>
    <row r="1945" spans="1:21">
      <c r="A1945" t="str">
        <f>"300478"</f>
        <v>300478</v>
      </c>
      <c r="B1945" t="s">
        <v>3932</v>
      </c>
      <c r="C1945">
        <v>4.55</v>
      </c>
      <c r="D1945">
        <v>10.11</v>
      </c>
      <c r="E1945">
        <v>0.44</v>
      </c>
      <c r="F1945">
        <v>10.11</v>
      </c>
      <c r="G1945">
        <v>10.12</v>
      </c>
      <c r="H1945">
        <v>49530</v>
      </c>
      <c r="I1945">
        <v>606</v>
      </c>
      <c r="J1945">
        <v>0.3</v>
      </c>
      <c r="K1945">
        <v>3.91</v>
      </c>
      <c r="L1945">
        <v>4902.46</v>
      </c>
      <c r="M1945" t="s">
        <v>3933</v>
      </c>
      <c r="N1945" t="s">
        <v>1509</v>
      </c>
      <c r="O1945">
        <v>9.67</v>
      </c>
      <c r="P1945">
        <v>10.15</v>
      </c>
      <c r="Q1945">
        <v>9.6</v>
      </c>
      <c r="R1945">
        <v>9.67</v>
      </c>
      <c r="S1945">
        <v>55.41</v>
      </c>
      <c r="T1945">
        <v>0.82</v>
      </c>
      <c r="U1945" t="s">
        <v>200</v>
      </c>
    </row>
    <row r="1946" spans="1:21">
      <c r="A1946" t="str">
        <f>"300479"</f>
        <v>300479</v>
      </c>
      <c r="B1946" t="s">
        <v>3934</v>
      </c>
      <c r="C1946">
        <v>2.56</v>
      </c>
      <c r="D1946">
        <v>15.23</v>
      </c>
      <c r="E1946">
        <v>0.38</v>
      </c>
      <c r="F1946">
        <v>15.23</v>
      </c>
      <c r="G1946">
        <v>15.24</v>
      </c>
      <c r="H1946">
        <v>84662</v>
      </c>
      <c r="I1946">
        <v>1817</v>
      </c>
      <c r="J1946">
        <v>0</v>
      </c>
      <c r="K1946">
        <v>4.99</v>
      </c>
      <c r="L1946">
        <v>12945.89</v>
      </c>
      <c r="M1946" t="s">
        <v>3935</v>
      </c>
      <c r="N1946" t="s">
        <v>30</v>
      </c>
      <c r="O1946">
        <v>14.78</v>
      </c>
      <c r="P1946">
        <v>15.62</v>
      </c>
      <c r="Q1946">
        <v>14.78</v>
      </c>
      <c r="R1946">
        <v>14.85</v>
      </c>
      <c r="S1946" t="s">
        <v>40</v>
      </c>
      <c r="T1946">
        <v>0.77</v>
      </c>
      <c r="U1946" t="s">
        <v>221</v>
      </c>
    </row>
    <row r="1947" spans="1:21">
      <c r="A1947" t="str">
        <f>"300480"</f>
        <v>300480</v>
      </c>
      <c r="B1947" t="s">
        <v>3936</v>
      </c>
      <c r="C1947">
        <v>-0.44</v>
      </c>
      <c r="D1947">
        <v>33.73</v>
      </c>
      <c r="E1947">
        <v>-0.15</v>
      </c>
      <c r="F1947">
        <v>33.72</v>
      </c>
      <c r="G1947">
        <v>33.73</v>
      </c>
      <c r="H1947">
        <v>25123</v>
      </c>
      <c r="I1947">
        <v>108</v>
      </c>
      <c r="J1947">
        <v>0.09</v>
      </c>
      <c r="K1947">
        <v>1.5</v>
      </c>
      <c r="L1947">
        <v>8500.39</v>
      </c>
      <c r="M1947" t="s">
        <v>3937</v>
      </c>
      <c r="N1947" t="s">
        <v>324</v>
      </c>
      <c r="O1947">
        <v>33.88</v>
      </c>
      <c r="P1947">
        <v>34.15</v>
      </c>
      <c r="Q1947">
        <v>33.63</v>
      </c>
      <c r="R1947">
        <v>33.88</v>
      </c>
      <c r="S1947">
        <v>85.25</v>
      </c>
      <c r="T1947">
        <v>0.71</v>
      </c>
      <c r="U1947" t="s">
        <v>224</v>
      </c>
    </row>
    <row r="1948" spans="1:21">
      <c r="A1948" t="str">
        <f>"300481"</f>
        <v>300481</v>
      </c>
      <c r="B1948" t="s">
        <v>3938</v>
      </c>
      <c r="C1948">
        <v>1.38</v>
      </c>
      <c r="D1948">
        <v>23.5</v>
      </c>
      <c r="E1948">
        <v>0.32</v>
      </c>
      <c r="F1948">
        <v>23.49</v>
      </c>
      <c r="G1948">
        <v>23.5</v>
      </c>
      <c r="H1948">
        <v>29367</v>
      </c>
      <c r="I1948">
        <v>172</v>
      </c>
      <c r="J1948">
        <v>0.13</v>
      </c>
      <c r="K1948">
        <v>1.14</v>
      </c>
      <c r="L1948">
        <v>6926.35</v>
      </c>
      <c r="M1948" t="s">
        <v>3939</v>
      </c>
      <c r="N1948" t="s">
        <v>309</v>
      </c>
      <c r="O1948">
        <v>23.45</v>
      </c>
      <c r="P1948">
        <v>23.98</v>
      </c>
      <c r="Q1948">
        <v>23.13</v>
      </c>
      <c r="R1948">
        <v>23.18</v>
      </c>
      <c r="S1948">
        <v>29.58</v>
      </c>
      <c r="T1948">
        <v>0.56</v>
      </c>
      <c r="U1948" t="s">
        <v>224</v>
      </c>
    </row>
    <row r="1949" spans="1:21">
      <c r="A1949" t="str">
        <f>"300482"</f>
        <v>300482</v>
      </c>
      <c r="B1949" t="s">
        <v>3940</v>
      </c>
      <c r="C1949">
        <v>0.14</v>
      </c>
      <c r="D1949">
        <v>35.38</v>
      </c>
      <c r="E1949">
        <v>0.05</v>
      </c>
      <c r="F1949">
        <v>35.37</v>
      </c>
      <c r="G1949">
        <v>35.38</v>
      </c>
      <c r="H1949">
        <v>29676</v>
      </c>
      <c r="I1949">
        <v>349</v>
      </c>
      <c r="J1949">
        <v>0.03</v>
      </c>
      <c r="K1949">
        <v>0.93</v>
      </c>
      <c r="L1949">
        <v>10449.23</v>
      </c>
      <c r="M1949" t="s">
        <v>3941</v>
      </c>
      <c r="N1949" t="s">
        <v>186</v>
      </c>
      <c r="O1949">
        <v>35.34</v>
      </c>
      <c r="P1949">
        <v>35.5</v>
      </c>
      <c r="Q1949">
        <v>34.92</v>
      </c>
      <c r="R1949">
        <v>35.33</v>
      </c>
      <c r="S1949">
        <v>18.82</v>
      </c>
      <c r="T1949">
        <v>0.54</v>
      </c>
      <c r="U1949" t="s">
        <v>183</v>
      </c>
    </row>
    <row r="1950" spans="1:21">
      <c r="A1950" t="str">
        <f>"300483"</f>
        <v>300483</v>
      </c>
      <c r="B1950" t="s">
        <v>3942</v>
      </c>
      <c r="C1950">
        <v>2.01</v>
      </c>
      <c r="D1950">
        <v>19.33</v>
      </c>
      <c r="E1950">
        <v>0.38</v>
      </c>
      <c r="F1950">
        <v>19.32</v>
      </c>
      <c r="G1950">
        <v>19.33</v>
      </c>
      <c r="H1950">
        <v>82437</v>
      </c>
      <c r="I1950">
        <v>904</v>
      </c>
      <c r="J1950">
        <v>-0.09</v>
      </c>
      <c r="K1950">
        <v>3.83</v>
      </c>
      <c r="L1950">
        <v>15720.49</v>
      </c>
      <c r="M1950" t="s">
        <v>3943</v>
      </c>
      <c r="N1950" t="s">
        <v>996</v>
      </c>
      <c r="O1950">
        <v>18.61</v>
      </c>
      <c r="P1950">
        <v>19.48</v>
      </c>
      <c r="Q1950">
        <v>18.4</v>
      </c>
      <c r="R1950">
        <v>18.95</v>
      </c>
      <c r="S1950">
        <v>53.97</v>
      </c>
      <c r="T1950">
        <v>1.05</v>
      </c>
      <c r="U1950" t="s">
        <v>848</v>
      </c>
    </row>
    <row r="1951" spans="1:21">
      <c r="A1951" t="str">
        <f>"300484"</f>
        <v>300484</v>
      </c>
      <c r="B1951" t="s">
        <v>3944</v>
      </c>
      <c r="C1951">
        <v>7.16</v>
      </c>
      <c r="D1951">
        <v>17.95</v>
      </c>
      <c r="E1951">
        <v>1.2</v>
      </c>
      <c r="F1951">
        <v>17.95</v>
      </c>
      <c r="G1951">
        <v>17.96</v>
      </c>
      <c r="H1951">
        <v>160215</v>
      </c>
      <c r="I1951">
        <v>1112</v>
      </c>
      <c r="J1951">
        <v>0.06</v>
      </c>
      <c r="K1951">
        <v>10.47</v>
      </c>
      <c r="L1951">
        <v>28084.32</v>
      </c>
      <c r="M1951" t="s">
        <v>3945</v>
      </c>
      <c r="N1951" t="s">
        <v>47</v>
      </c>
      <c r="O1951">
        <v>16.73</v>
      </c>
      <c r="P1951">
        <v>18.05</v>
      </c>
      <c r="Q1951">
        <v>16.73</v>
      </c>
      <c r="R1951">
        <v>16.75</v>
      </c>
      <c r="S1951">
        <v>58.07</v>
      </c>
      <c r="T1951">
        <v>0.97</v>
      </c>
      <c r="U1951" t="s">
        <v>24</v>
      </c>
    </row>
    <row r="1952" spans="1:21">
      <c r="A1952" t="str">
        <f>"300485"</f>
        <v>300485</v>
      </c>
      <c r="B1952" t="s">
        <v>3946</v>
      </c>
      <c r="C1952">
        <v>0.67</v>
      </c>
      <c r="D1952">
        <v>11.95</v>
      </c>
      <c r="E1952">
        <v>0.08</v>
      </c>
      <c r="F1952">
        <v>11.95</v>
      </c>
      <c r="G1952">
        <v>11.96</v>
      </c>
      <c r="H1952">
        <v>36212</v>
      </c>
      <c r="I1952">
        <v>80</v>
      </c>
      <c r="J1952">
        <v>0</v>
      </c>
      <c r="K1952">
        <v>1.38</v>
      </c>
      <c r="L1952">
        <v>4315.41</v>
      </c>
      <c r="M1952" t="s">
        <v>3947</v>
      </c>
      <c r="N1952" t="s">
        <v>231</v>
      </c>
      <c r="O1952">
        <v>11.84</v>
      </c>
      <c r="P1952">
        <v>12.04</v>
      </c>
      <c r="Q1952">
        <v>11.8</v>
      </c>
      <c r="R1952">
        <v>11.87</v>
      </c>
      <c r="S1952">
        <v>31.35</v>
      </c>
      <c r="T1952">
        <v>0.62</v>
      </c>
      <c r="U1952" t="s">
        <v>44</v>
      </c>
    </row>
    <row r="1953" spans="1:21">
      <c r="A1953" t="str">
        <f>"300486"</f>
        <v>300486</v>
      </c>
      <c r="B1953" t="s">
        <v>3948</v>
      </c>
      <c r="C1953">
        <v>2.48</v>
      </c>
      <c r="D1953">
        <v>12</v>
      </c>
      <c r="E1953">
        <v>0.29</v>
      </c>
      <c r="F1953">
        <v>11.99</v>
      </c>
      <c r="G1953">
        <v>12</v>
      </c>
      <c r="H1953">
        <v>61793</v>
      </c>
      <c r="I1953">
        <v>960</v>
      </c>
      <c r="J1953">
        <v>-0.07</v>
      </c>
      <c r="K1953">
        <v>1.64</v>
      </c>
      <c r="L1953">
        <v>7448.26</v>
      </c>
      <c r="M1953" t="s">
        <v>2121</v>
      </c>
      <c r="N1953" t="s">
        <v>324</v>
      </c>
      <c r="O1953">
        <v>11.63</v>
      </c>
      <c r="P1953">
        <v>12.24</v>
      </c>
      <c r="Q1953">
        <v>11.63</v>
      </c>
      <c r="R1953">
        <v>11.71</v>
      </c>
      <c r="S1953">
        <v>58.27</v>
      </c>
      <c r="T1953">
        <v>1.98</v>
      </c>
      <c r="U1953" t="s">
        <v>232</v>
      </c>
    </row>
    <row r="1954" spans="1:21">
      <c r="A1954" t="str">
        <f>"300487"</f>
        <v>300487</v>
      </c>
      <c r="B1954" t="s">
        <v>3949</v>
      </c>
      <c r="C1954">
        <v>-1.56</v>
      </c>
      <c r="D1954">
        <v>88.77</v>
      </c>
      <c r="E1954">
        <v>-1.41</v>
      </c>
      <c r="F1954">
        <v>88.77</v>
      </c>
      <c r="G1954">
        <v>88.78</v>
      </c>
      <c r="H1954">
        <v>52905</v>
      </c>
      <c r="I1954">
        <v>220</v>
      </c>
      <c r="J1954">
        <v>-0.12</v>
      </c>
      <c r="K1954">
        <v>4.13</v>
      </c>
      <c r="L1954">
        <v>47940.32</v>
      </c>
      <c r="M1954" t="s">
        <v>3950</v>
      </c>
      <c r="N1954" t="s">
        <v>309</v>
      </c>
      <c r="O1954">
        <v>89.98</v>
      </c>
      <c r="P1954">
        <v>93.75</v>
      </c>
      <c r="Q1954">
        <v>88.49</v>
      </c>
      <c r="R1954">
        <v>90.18</v>
      </c>
      <c r="S1954">
        <v>61.57</v>
      </c>
      <c r="T1954">
        <v>0.93</v>
      </c>
      <c r="U1954" t="s">
        <v>317</v>
      </c>
    </row>
    <row r="1955" spans="1:21">
      <c r="A1955" t="str">
        <f>"300488"</f>
        <v>300488</v>
      </c>
      <c r="B1955" t="s">
        <v>3951</v>
      </c>
      <c r="C1955">
        <v>3.78</v>
      </c>
      <c r="D1955">
        <v>38.71</v>
      </c>
      <c r="E1955">
        <v>1.41</v>
      </c>
      <c r="F1955">
        <v>38.7</v>
      </c>
      <c r="G1955">
        <v>38.71</v>
      </c>
      <c r="H1955">
        <v>119133</v>
      </c>
      <c r="I1955">
        <v>2025</v>
      </c>
      <c r="J1955">
        <v>-0.09</v>
      </c>
      <c r="K1955">
        <v>8.72</v>
      </c>
      <c r="L1955">
        <v>45559.5</v>
      </c>
      <c r="M1955" t="s">
        <v>3952</v>
      </c>
      <c r="N1955" t="s">
        <v>347</v>
      </c>
      <c r="O1955">
        <v>37.22</v>
      </c>
      <c r="P1955">
        <v>39.4</v>
      </c>
      <c r="Q1955">
        <v>36.4</v>
      </c>
      <c r="R1955">
        <v>37.3</v>
      </c>
      <c r="S1955">
        <v>44.48</v>
      </c>
      <c r="T1955">
        <v>1.5</v>
      </c>
      <c r="U1955" t="s">
        <v>200</v>
      </c>
    </row>
    <row r="1956" spans="1:21">
      <c r="A1956" t="str">
        <f>"300489"</f>
        <v>300489</v>
      </c>
      <c r="B1956" t="s">
        <v>3953</v>
      </c>
      <c r="C1956">
        <v>15.45</v>
      </c>
      <c r="D1956">
        <v>27.5</v>
      </c>
      <c r="E1956">
        <v>3.68</v>
      </c>
      <c r="F1956">
        <v>27.48</v>
      </c>
      <c r="G1956">
        <v>27.5</v>
      </c>
      <c r="H1956">
        <v>145756</v>
      </c>
      <c r="I1956">
        <v>689</v>
      </c>
      <c r="J1956">
        <v>0.04</v>
      </c>
      <c r="K1956">
        <v>10.76</v>
      </c>
      <c r="L1956">
        <v>39990.27</v>
      </c>
      <c r="M1956" t="s">
        <v>3954</v>
      </c>
      <c r="N1956" t="s">
        <v>494</v>
      </c>
      <c r="O1956">
        <v>25.15</v>
      </c>
      <c r="P1956">
        <v>28.58</v>
      </c>
      <c r="Q1956">
        <v>25.11</v>
      </c>
      <c r="R1956">
        <v>23.82</v>
      </c>
      <c r="S1956">
        <v>229.53</v>
      </c>
      <c r="T1956">
        <v>6.46</v>
      </c>
      <c r="U1956" t="s">
        <v>445</v>
      </c>
    </row>
    <row r="1957" spans="1:21">
      <c r="A1957" t="str">
        <f>"300490"</f>
        <v>300490</v>
      </c>
      <c r="B1957" t="s">
        <v>3955</v>
      </c>
      <c r="C1957">
        <v>2.48</v>
      </c>
      <c r="D1957">
        <v>25.61</v>
      </c>
      <c r="E1957">
        <v>0.62</v>
      </c>
      <c r="F1957">
        <v>25.6</v>
      </c>
      <c r="G1957">
        <v>25.61</v>
      </c>
      <c r="H1957">
        <v>481620</v>
      </c>
      <c r="I1957">
        <v>5593</v>
      </c>
      <c r="J1957">
        <v>0.08</v>
      </c>
      <c r="K1957">
        <v>15.26</v>
      </c>
      <c r="L1957">
        <v>121705.96</v>
      </c>
      <c r="M1957" t="s">
        <v>3956</v>
      </c>
      <c r="N1957" t="s">
        <v>47</v>
      </c>
      <c r="O1957">
        <v>24.71</v>
      </c>
      <c r="P1957">
        <v>26.05</v>
      </c>
      <c r="Q1957">
        <v>24.34</v>
      </c>
      <c r="R1957">
        <v>24.99</v>
      </c>
      <c r="S1957">
        <v>196.62</v>
      </c>
      <c r="T1957">
        <v>1.1</v>
      </c>
      <c r="U1957" t="s">
        <v>204</v>
      </c>
    </row>
    <row r="1958" spans="1:21">
      <c r="A1958" t="str">
        <f>"300491"</f>
        <v>300491</v>
      </c>
      <c r="B1958" t="s">
        <v>3957</v>
      </c>
      <c r="C1958">
        <v>3.56</v>
      </c>
      <c r="D1958">
        <v>23.3</v>
      </c>
      <c r="E1958">
        <v>0.8</v>
      </c>
      <c r="F1958">
        <v>23.3</v>
      </c>
      <c r="G1958">
        <v>23.33</v>
      </c>
      <c r="H1958">
        <v>140694</v>
      </c>
      <c r="I1958">
        <v>4476</v>
      </c>
      <c r="J1958">
        <v>-1.18</v>
      </c>
      <c r="K1958">
        <v>11.31</v>
      </c>
      <c r="L1958">
        <v>32294.96</v>
      </c>
      <c r="M1958" t="s">
        <v>3958</v>
      </c>
      <c r="N1958" t="s">
        <v>47</v>
      </c>
      <c r="O1958">
        <v>23.19</v>
      </c>
      <c r="P1958">
        <v>23.69</v>
      </c>
      <c r="Q1958">
        <v>22.35</v>
      </c>
      <c r="R1958">
        <v>22.5</v>
      </c>
      <c r="S1958">
        <v>486.56</v>
      </c>
      <c r="T1958">
        <v>0.9</v>
      </c>
      <c r="U1958" t="s">
        <v>207</v>
      </c>
    </row>
    <row r="1959" spans="1:21">
      <c r="A1959" t="str">
        <f>"300492"</f>
        <v>300492</v>
      </c>
      <c r="B1959" t="s">
        <v>3959</v>
      </c>
      <c r="C1959">
        <v>-2.32</v>
      </c>
      <c r="D1959">
        <v>50.84</v>
      </c>
      <c r="E1959">
        <v>-1.21</v>
      </c>
      <c r="F1959">
        <v>50.7</v>
      </c>
      <c r="G1959">
        <v>50.84</v>
      </c>
      <c r="H1959">
        <v>4547</v>
      </c>
      <c r="I1959">
        <v>56</v>
      </c>
      <c r="J1959">
        <v>0.26</v>
      </c>
      <c r="K1959">
        <v>0.41</v>
      </c>
      <c r="L1959">
        <v>2318.11</v>
      </c>
      <c r="M1959" t="s">
        <v>2410</v>
      </c>
      <c r="N1959" t="s">
        <v>50</v>
      </c>
      <c r="O1959">
        <v>51.75</v>
      </c>
      <c r="P1959">
        <v>52.29</v>
      </c>
      <c r="Q1959">
        <v>50.17</v>
      </c>
      <c r="R1959">
        <v>52.05</v>
      </c>
      <c r="S1959">
        <v>1034.75</v>
      </c>
      <c r="T1959">
        <v>0.9</v>
      </c>
      <c r="U1959" t="s">
        <v>196</v>
      </c>
    </row>
    <row r="1960" spans="1:21">
      <c r="A1960" t="str">
        <f>"300493"</f>
        <v>300493</v>
      </c>
      <c r="B1960" t="s">
        <v>3960</v>
      </c>
      <c r="C1960">
        <v>0.94</v>
      </c>
      <c r="D1960">
        <v>7.53</v>
      </c>
      <c r="E1960">
        <v>0.07</v>
      </c>
      <c r="F1960">
        <v>7.53</v>
      </c>
      <c r="G1960">
        <v>7.54</v>
      </c>
      <c r="H1960">
        <v>63775</v>
      </c>
      <c r="I1960">
        <v>357</v>
      </c>
      <c r="J1960">
        <v>0</v>
      </c>
      <c r="K1960">
        <v>1.34</v>
      </c>
      <c r="L1960">
        <v>4813.01</v>
      </c>
      <c r="M1960" t="s">
        <v>3961</v>
      </c>
      <c r="N1960" t="s">
        <v>153</v>
      </c>
      <c r="O1960">
        <v>7.45</v>
      </c>
      <c r="P1960">
        <v>7.6</v>
      </c>
      <c r="Q1960">
        <v>7.43</v>
      </c>
      <c r="R1960">
        <v>7.46</v>
      </c>
      <c r="S1960">
        <v>61.12</v>
      </c>
      <c r="T1960">
        <v>0.66</v>
      </c>
      <c r="U1960" t="s">
        <v>848</v>
      </c>
    </row>
    <row r="1961" spans="1:21">
      <c r="A1961" t="str">
        <f>"300494"</f>
        <v>300494</v>
      </c>
      <c r="B1961" t="s">
        <v>3962</v>
      </c>
      <c r="C1961">
        <v>-2.67</v>
      </c>
      <c r="D1961">
        <v>19.35</v>
      </c>
      <c r="E1961">
        <v>-0.53</v>
      </c>
      <c r="F1961">
        <v>19.34</v>
      </c>
      <c r="G1961">
        <v>19.35</v>
      </c>
      <c r="H1961">
        <v>238213</v>
      </c>
      <c r="I1961">
        <v>4932</v>
      </c>
      <c r="J1961">
        <v>0.1</v>
      </c>
      <c r="K1961">
        <v>13.26</v>
      </c>
      <c r="L1961">
        <v>47073.12</v>
      </c>
      <c r="M1961" t="s">
        <v>3963</v>
      </c>
      <c r="N1961" t="s">
        <v>479</v>
      </c>
      <c r="O1961">
        <v>19.32</v>
      </c>
      <c r="P1961">
        <v>20.4</v>
      </c>
      <c r="Q1961">
        <v>19.3</v>
      </c>
      <c r="R1961">
        <v>19.88</v>
      </c>
      <c r="S1961">
        <v>31.38</v>
      </c>
      <c r="T1961">
        <v>0.69</v>
      </c>
      <c r="U1961" t="s">
        <v>267</v>
      </c>
    </row>
    <row r="1962" spans="1:21">
      <c r="A1962" t="str">
        <f>"300495"</f>
        <v>300495</v>
      </c>
      <c r="B1962" t="s">
        <v>3964</v>
      </c>
      <c r="C1962">
        <v>1.12</v>
      </c>
      <c r="D1962">
        <v>2.72</v>
      </c>
      <c r="E1962">
        <v>0.03</v>
      </c>
      <c r="F1962">
        <v>2.71</v>
      </c>
      <c r="G1962">
        <v>2.72</v>
      </c>
      <c r="H1962">
        <v>55259</v>
      </c>
      <c r="I1962">
        <v>476</v>
      </c>
      <c r="J1962">
        <v>0</v>
      </c>
      <c r="K1962">
        <v>1.09</v>
      </c>
      <c r="L1962">
        <v>1494.94</v>
      </c>
      <c r="M1962" t="s">
        <v>3965</v>
      </c>
      <c r="N1962" t="s">
        <v>33</v>
      </c>
      <c r="O1962">
        <v>2.69</v>
      </c>
      <c r="P1962">
        <v>2.73</v>
      </c>
      <c r="Q1962">
        <v>2.68</v>
      </c>
      <c r="R1962">
        <v>2.69</v>
      </c>
      <c r="S1962" t="s">
        <v>40</v>
      </c>
      <c r="T1962">
        <v>0.86</v>
      </c>
      <c r="U1962" t="s">
        <v>102</v>
      </c>
    </row>
    <row r="1963" spans="1:21">
      <c r="A1963" t="str">
        <f>"300496"</f>
        <v>300496</v>
      </c>
      <c r="B1963" t="s">
        <v>3966</v>
      </c>
      <c r="C1963">
        <v>7.89</v>
      </c>
      <c r="D1963">
        <v>154.5</v>
      </c>
      <c r="E1963">
        <v>11.3</v>
      </c>
      <c r="F1963">
        <v>154.5</v>
      </c>
      <c r="G1963">
        <v>154.51</v>
      </c>
      <c r="H1963">
        <v>93917</v>
      </c>
      <c r="I1963">
        <v>1290</v>
      </c>
      <c r="J1963">
        <v>0</v>
      </c>
      <c r="K1963">
        <v>2.94</v>
      </c>
      <c r="L1963">
        <v>142092.62</v>
      </c>
      <c r="M1963" t="s">
        <v>3967</v>
      </c>
      <c r="N1963" t="s">
        <v>30</v>
      </c>
      <c r="O1963">
        <v>145.89</v>
      </c>
      <c r="P1963">
        <v>156.03</v>
      </c>
      <c r="Q1963">
        <v>145.5</v>
      </c>
      <c r="R1963">
        <v>143.2</v>
      </c>
      <c r="S1963">
        <v>109.36</v>
      </c>
      <c r="T1963">
        <v>2.08</v>
      </c>
      <c r="U1963" t="s">
        <v>44</v>
      </c>
    </row>
    <row r="1964" spans="1:21">
      <c r="A1964" t="str">
        <f>"300497"</f>
        <v>300497</v>
      </c>
      <c r="B1964" t="s">
        <v>3968</v>
      </c>
      <c r="C1964">
        <v>-0.13</v>
      </c>
      <c r="D1964">
        <v>15.35</v>
      </c>
      <c r="E1964">
        <v>-0.02</v>
      </c>
      <c r="F1964">
        <v>15.33</v>
      </c>
      <c r="G1964">
        <v>15.35</v>
      </c>
      <c r="H1964">
        <v>115304</v>
      </c>
      <c r="I1964">
        <v>4237</v>
      </c>
      <c r="J1964">
        <v>0.2</v>
      </c>
      <c r="K1964">
        <v>2.59</v>
      </c>
      <c r="L1964">
        <v>17662.06</v>
      </c>
      <c r="M1964" t="s">
        <v>3969</v>
      </c>
      <c r="N1964" t="s">
        <v>192</v>
      </c>
      <c r="O1964">
        <v>15.27</v>
      </c>
      <c r="P1964">
        <v>15.58</v>
      </c>
      <c r="Q1964">
        <v>15.16</v>
      </c>
      <c r="R1964">
        <v>15.37</v>
      </c>
      <c r="S1964">
        <v>39.31</v>
      </c>
      <c r="T1964">
        <v>0.56</v>
      </c>
      <c r="U1964" t="s">
        <v>235</v>
      </c>
    </row>
    <row r="1965" spans="1:21">
      <c r="A1965" t="str">
        <f>"300498"</f>
        <v>300498</v>
      </c>
      <c r="B1965" t="s">
        <v>3970</v>
      </c>
      <c r="C1965">
        <v>-2</v>
      </c>
      <c r="D1965">
        <v>17.15</v>
      </c>
      <c r="E1965">
        <v>-0.35</v>
      </c>
      <c r="F1965">
        <v>17.15</v>
      </c>
      <c r="G1965">
        <v>17.16</v>
      </c>
      <c r="H1965">
        <v>375706</v>
      </c>
      <c r="I1965">
        <v>6067</v>
      </c>
      <c r="J1965">
        <v>0.12</v>
      </c>
      <c r="K1965">
        <v>0.78</v>
      </c>
      <c r="L1965">
        <v>64300.56</v>
      </c>
      <c r="M1965" t="s">
        <v>3971</v>
      </c>
      <c r="N1965" t="s">
        <v>147</v>
      </c>
      <c r="O1965">
        <v>17.44</v>
      </c>
      <c r="P1965">
        <v>17.48</v>
      </c>
      <c r="Q1965">
        <v>16.88</v>
      </c>
      <c r="R1965">
        <v>17.5</v>
      </c>
      <c r="S1965" t="s">
        <v>40</v>
      </c>
      <c r="T1965">
        <v>0.93</v>
      </c>
      <c r="U1965" t="s">
        <v>183</v>
      </c>
    </row>
    <row r="1966" spans="1:21">
      <c r="A1966" t="str">
        <f>"300499"</f>
        <v>300499</v>
      </c>
      <c r="B1966" t="s">
        <v>3972</v>
      </c>
      <c r="C1966">
        <v>5.17</v>
      </c>
      <c r="D1966">
        <v>20.56</v>
      </c>
      <c r="E1966">
        <v>1.01</v>
      </c>
      <c r="F1966">
        <v>20.55</v>
      </c>
      <c r="G1966">
        <v>20.56</v>
      </c>
      <c r="H1966">
        <v>391981</v>
      </c>
      <c r="I1966">
        <v>6656</v>
      </c>
      <c r="J1966">
        <v>0.05</v>
      </c>
      <c r="K1966">
        <v>16.39</v>
      </c>
      <c r="L1966">
        <v>76505.43</v>
      </c>
      <c r="M1966" t="s">
        <v>3973</v>
      </c>
      <c r="N1966" t="s">
        <v>324</v>
      </c>
      <c r="O1966">
        <v>19.68</v>
      </c>
      <c r="P1966">
        <v>20.61</v>
      </c>
      <c r="Q1966">
        <v>18.26</v>
      </c>
      <c r="R1966">
        <v>19.55</v>
      </c>
      <c r="S1966">
        <v>120.44</v>
      </c>
      <c r="T1966">
        <v>1.47</v>
      </c>
      <c r="U1966" t="s">
        <v>183</v>
      </c>
    </row>
    <row r="1967" spans="1:21">
      <c r="A1967" t="str">
        <f>"300500"</f>
        <v>300500</v>
      </c>
      <c r="B1967" t="s">
        <v>3974</v>
      </c>
      <c r="C1967">
        <v>2.51</v>
      </c>
      <c r="D1967">
        <v>20.84</v>
      </c>
      <c r="E1967">
        <v>0.51</v>
      </c>
      <c r="F1967">
        <v>20.83</v>
      </c>
      <c r="G1967">
        <v>20.84</v>
      </c>
      <c r="H1967">
        <v>68795</v>
      </c>
      <c r="I1967">
        <v>1189</v>
      </c>
      <c r="J1967">
        <v>0</v>
      </c>
      <c r="K1967">
        <v>4.42</v>
      </c>
      <c r="L1967">
        <v>14151.66</v>
      </c>
      <c r="M1967" t="s">
        <v>3454</v>
      </c>
      <c r="N1967" t="s">
        <v>50</v>
      </c>
      <c r="O1967">
        <v>20.17</v>
      </c>
      <c r="P1967">
        <v>21.17</v>
      </c>
      <c r="Q1967">
        <v>20</v>
      </c>
      <c r="R1967">
        <v>20.33</v>
      </c>
      <c r="S1967">
        <v>32.14</v>
      </c>
      <c r="T1967">
        <v>1.25</v>
      </c>
      <c r="U1967" t="s">
        <v>102</v>
      </c>
    </row>
    <row r="1968" spans="1:21">
      <c r="A1968" t="str">
        <f>"300501"</f>
        <v>300501</v>
      </c>
      <c r="B1968" t="s">
        <v>3975</v>
      </c>
      <c r="C1968">
        <v>9.06</v>
      </c>
      <c r="D1968">
        <v>18.9</v>
      </c>
      <c r="E1968">
        <v>1.57</v>
      </c>
      <c r="F1968">
        <v>18.9</v>
      </c>
      <c r="G1968">
        <v>18.91</v>
      </c>
      <c r="H1968">
        <v>51637</v>
      </c>
      <c r="I1968">
        <v>1552</v>
      </c>
      <c r="J1968">
        <v>0.11</v>
      </c>
      <c r="K1968">
        <v>5.95</v>
      </c>
      <c r="L1968">
        <v>9460.75</v>
      </c>
      <c r="M1968" t="s">
        <v>534</v>
      </c>
      <c r="N1968" t="s">
        <v>482</v>
      </c>
      <c r="O1968">
        <v>17.4</v>
      </c>
      <c r="P1968">
        <v>18.95</v>
      </c>
      <c r="Q1968">
        <v>17.35</v>
      </c>
      <c r="R1968">
        <v>17.33</v>
      </c>
      <c r="S1968">
        <v>34.77</v>
      </c>
      <c r="T1968">
        <v>2.99</v>
      </c>
      <c r="U1968" t="s">
        <v>848</v>
      </c>
    </row>
    <row r="1969" spans="1:21">
      <c r="A1969" t="str">
        <f>"300502"</f>
        <v>300502</v>
      </c>
      <c r="B1969" t="s">
        <v>3976</v>
      </c>
      <c r="C1969">
        <v>1</v>
      </c>
      <c r="D1969">
        <v>30.45</v>
      </c>
      <c r="E1969">
        <v>0.3</v>
      </c>
      <c r="F1969">
        <v>30.45</v>
      </c>
      <c r="G1969">
        <v>30.46</v>
      </c>
      <c r="H1969">
        <v>74182</v>
      </c>
      <c r="I1969">
        <v>1403</v>
      </c>
      <c r="J1969">
        <v>0</v>
      </c>
      <c r="K1969">
        <v>1.69</v>
      </c>
      <c r="L1969">
        <v>22420.39</v>
      </c>
      <c r="M1969" t="s">
        <v>3977</v>
      </c>
      <c r="N1969" t="s">
        <v>153</v>
      </c>
      <c r="O1969">
        <v>30.06</v>
      </c>
      <c r="P1969">
        <v>30.51</v>
      </c>
      <c r="Q1969">
        <v>29.86</v>
      </c>
      <c r="R1969">
        <v>30.15</v>
      </c>
      <c r="S1969">
        <v>24.91</v>
      </c>
      <c r="T1969">
        <v>0.8</v>
      </c>
      <c r="U1969" t="s">
        <v>196</v>
      </c>
    </row>
    <row r="1970" spans="1:21">
      <c r="A1970" t="str">
        <f>"300503"</f>
        <v>300503</v>
      </c>
      <c r="B1970" t="s">
        <v>3978</v>
      </c>
      <c r="C1970">
        <v>3.44</v>
      </c>
      <c r="D1970">
        <v>17.16</v>
      </c>
      <c r="E1970">
        <v>0.57</v>
      </c>
      <c r="F1970">
        <v>17.16</v>
      </c>
      <c r="G1970">
        <v>17.17</v>
      </c>
      <c r="H1970">
        <v>306575</v>
      </c>
      <c r="I1970">
        <v>2758</v>
      </c>
      <c r="J1970">
        <v>-0.16</v>
      </c>
      <c r="K1970">
        <v>14.08</v>
      </c>
      <c r="L1970">
        <v>51705.07</v>
      </c>
      <c r="M1970" t="s">
        <v>3979</v>
      </c>
      <c r="N1970" t="s">
        <v>347</v>
      </c>
      <c r="O1970">
        <v>16.6</v>
      </c>
      <c r="P1970">
        <v>17.48</v>
      </c>
      <c r="Q1970">
        <v>16.2</v>
      </c>
      <c r="R1970">
        <v>16.59</v>
      </c>
      <c r="S1970">
        <v>23.45</v>
      </c>
      <c r="T1970">
        <v>1.38</v>
      </c>
      <c r="U1970" t="s">
        <v>183</v>
      </c>
    </row>
    <row r="1971" spans="1:21">
      <c r="A1971" t="str">
        <f>"300504"</f>
        <v>300504</v>
      </c>
      <c r="B1971" t="s">
        <v>3980</v>
      </c>
      <c r="C1971">
        <v>1.07</v>
      </c>
      <c r="D1971">
        <v>18.86</v>
      </c>
      <c r="E1971">
        <v>0.2</v>
      </c>
      <c r="F1971">
        <v>18.86</v>
      </c>
      <c r="G1971">
        <v>18.87</v>
      </c>
      <c r="H1971">
        <v>47907</v>
      </c>
      <c r="I1971">
        <v>172</v>
      </c>
      <c r="J1971">
        <v>0</v>
      </c>
      <c r="K1971">
        <v>2.3</v>
      </c>
      <c r="L1971">
        <v>8986.22</v>
      </c>
      <c r="M1971" t="s">
        <v>3981</v>
      </c>
      <c r="N1971" t="s">
        <v>153</v>
      </c>
      <c r="O1971">
        <v>19</v>
      </c>
      <c r="P1971">
        <v>19.01</v>
      </c>
      <c r="Q1971">
        <v>18.45</v>
      </c>
      <c r="R1971">
        <v>18.66</v>
      </c>
      <c r="S1971">
        <v>26.28</v>
      </c>
      <c r="T1971">
        <v>0.6</v>
      </c>
      <c r="U1971" t="s">
        <v>196</v>
      </c>
    </row>
    <row r="1972" spans="1:21">
      <c r="A1972" t="str">
        <f>"300505"</f>
        <v>300505</v>
      </c>
      <c r="B1972" t="s">
        <v>3982</v>
      </c>
      <c r="C1972">
        <v>2.22</v>
      </c>
      <c r="D1972">
        <v>36.38</v>
      </c>
      <c r="E1972">
        <v>0.79</v>
      </c>
      <c r="F1972">
        <v>36.38</v>
      </c>
      <c r="G1972">
        <v>36.39</v>
      </c>
      <c r="H1972">
        <v>105801</v>
      </c>
      <c r="I1972">
        <v>962</v>
      </c>
      <c r="J1972">
        <v>-0.02</v>
      </c>
      <c r="K1972">
        <v>9.78</v>
      </c>
      <c r="L1972">
        <v>38418.28</v>
      </c>
      <c r="M1972" t="s">
        <v>3983</v>
      </c>
      <c r="N1972" t="s">
        <v>309</v>
      </c>
      <c r="O1972">
        <v>36.2</v>
      </c>
      <c r="P1972">
        <v>37.21</v>
      </c>
      <c r="Q1972">
        <v>35.55</v>
      </c>
      <c r="R1972">
        <v>35.59</v>
      </c>
      <c r="S1972">
        <v>40.86</v>
      </c>
      <c r="T1972">
        <v>1.08</v>
      </c>
      <c r="U1972" t="s">
        <v>363</v>
      </c>
    </row>
    <row r="1973" spans="1:21">
      <c r="A1973" t="str">
        <f>"300506"</f>
        <v>300506</v>
      </c>
      <c r="B1973" t="s">
        <v>3984</v>
      </c>
      <c r="C1973">
        <v>-1.11</v>
      </c>
      <c r="D1973">
        <v>7.99</v>
      </c>
      <c r="E1973">
        <v>-0.09</v>
      </c>
      <c r="F1973">
        <v>7.99</v>
      </c>
      <c r="G1973">
        <v>8</v>
      </c>
      <c r="H1973">
        <v>228395</v>
      </c>
      <c r="I1973">
        <v>2973</v>
      </c>
      <c r="J1973">
        <v>-0.11</v>
      </c>
      <c r="K1973">
        <v>4.68</v>
      </c>
      <c r="L1973">
        <v>18294.75</v>
      </c>
      <c r="M1973" t="s">
        <v>3985</v>
      </c>
      <c r="N1973" t="s">
        <v>50</v>
      </c>
      <c r="O1973">
        <v>8.03</v>
      </c>
      <c r="P1973">
        <v>8.16</v>
      </c>
      <c r="Q1973">
        <v>7.9</v>
      </c>
      <c r="R1973">
        <v>8.08</v>
      </c>
      <c r="S1973" t="s">
        <v>40</v>
      </c>
      <c r="T1973">
        <v>0.38</v>
      </c>
      <c r="U1973" t="s">
        <v>24</v>
      </c>
    </row>
    <row r="1974" spans="1:21">
      <c r="A1974" t="str">
        <f>"300507"</f>
        <v>300507</v>
      </c>
      <c r="B1974" t="s">
        <v>3986</v>
      </c>
      <c r="C1974">
        <v>19.97</v>
      </c>
      <c r="D1974">
        <v>15.68</v>
      </c>
      <c r="E1974">
        <v>2.61</v>
      </c>
      <c r="F1974">
        <v>15.68</v>
      </c>
      <c r="G1974" t="s">
        <v>40</v>
      </c>
      <c r="H1974">
        <v>921143</v>
      </c>
      <c r="I1974">
        <v>901</v>
      </c>
      <c r="J1974">
        <v>0</v>
      </c>
      <c r="K1974">
        <v>34.04</v>
      </c>
      <c r="L1974">
        <v>133512.5</v>
      </c>
      <c r="M1974" t="s">
        <v>3987</v>
      </c>
      <c r="N1974" t="s">
        <v>91</v>
      </c>
      <c r="O1974">
        <v>13.1</v>
      </c>
      <c r="P1974">
        <v>15.68</v>
      </c>
      <c r="Q1974">
        <v>12.9</v>
      </c>
      <c r="R1974">
        <v>13.07</v>
      </c>
      <c r="S1974">
        <v>82.65</v>
      </c>
      <c r="T1974">
        <v>1.19</v>
      </c>
      <c r="U1974" t="s">
        <v>102</v>
      </c>
    </row>
    <row r="1975" spans="1:21">
      <c r="A1975" t="str">
        <f>"300508"</f>
        <v>300508</v>
      </c>
      <c r="B1975" t="s">
        <v>3988</v>
      </c>
      <c r="C1975">
        <v>0.11</v>
      </c>
      <c r="D1975">
        <v>45.19</v>
      </c>
      <c r="E1975">
        <v>0.05</v>
      </c>
      <c r="F1975">
        <v>45.18</v>
      </c>
      <c r="G1975">
        <v>45.19</v>
      </c>
      <c r="H1975">
        <v>19634</v>
      </c>
      <c r="I1975">
        <v>351</v>
      </c>
      <c r="J1975">
        <v>0.09</v>
      </c>
      <c r="K1975">
        <v>4.34</v>
      </c>
      <c r="L1975">
        <v>8910.27</v>
      </c>
      <c r="M1975" t="s">
        <v>3989</v>
      </c>
      <c r="N1975" t="s">
        <v>30</v>
      </c>
      <c r="O1975">
        <v>44.89</v>
      </c>
      <c r="P1975">
        <v>46.33</v>
      </c>
      <c r="Q1975">
        <v>44.35</v>
      </c>
      <c r="R1975">
        <v>45.14</v>
      </c>
      <c r="S1975">
        <v>53.7</v>
      </c>
      <c r="T1975">
        <v>0.63</v>
      </c>
      <c r="U1975" t="s">
        <v>848</v>
      </c>
    </row>
    <row r="1976" spans="1:21">
      <c r="A1976" t="str">
        <f>"300509"</f>
        <v>300509</v>
      </c>
      <c r="B1976" t="s">
        <v>3990</v>
      </c>
      <c r="C1976">
        <v>1.96</v>
      </c>
      <c r="D1976">
        <v>6.24</v>
      </c>
      <c r="E1976">
        <v>0.12</v>
      </c>
      <c r="F1976">
        <v>6.23</v>
      </c>
      <c r="G1976">
        <v>6.24</v>
      </c>
      <c r="H1976">
        <v>39394</v>
      </c>
      <c r="I1976">
        <v>550</v>
      </c>
      <c r="J1976">
        <v>0</v>
      </c>
      <c r="K1976">
        <v>2.34</v>
      </c>
      <c r="L1976">
        <v>2445.02</v>
      </c>
      <c r="M1976" t="s">
        <v>3991</v>
      </c>
      <c r="N1976" t="s">
        <v>324</v>
      </c>
      <c r="O1976">
        <v>6.11</v>
      </c>
      <c r="P1976">
        <v>6.26</v>
      </c>
      <c r="Q1976">
        <v>6.04</v>
      </c>
      <c r="R1976">
        <v>6.12</v>
      </c>
      <c r="S1976">
        <v>35.31</v>
      </c>
      <c r="T1976">
        <v>1.12</v>
      </c>
      <c r="U1976" t="s">
        <v>102</v>
      </c>
    </row>
    <row r="1977" spans="1:21">
      <c r="A1977" t="str">
        <f>"300510"</f>
        <v>300510</v>
      </c>
      <c r="B1977" t="s">
        <v>3992</v>
      </c>
      <c r="C1977">
        <v>0.39</v>
      </c>
      <c r="D1977">
        <v>7.68</v>
      </c>
      <c r="E1977">
        <v>0.03</v>
      </c>
      <c r="F1977">
        <v>7.68</v>
      </c>
      <c r="G1977">
        <v>7.69</v>
      </c>
      <c r="H1977">
        <v>292180</v>
      </c>
      <c r="I1977">
        <v>2990</v>
      </c>
      <c r="J1977">
        <v>0</v>
      </c>
      <c r="K1977">
        <v>3.55</v>
      </c>
      <c r="L1977">
        <v>22549.17</v>
      </c>
      <c r="M1977" t="s">
        <v>3993</v>
      </c>
      <c r="N1977" t="s">
        <v>47</v>
      </c>
      <c r="O1977">
        <v>7.61</v>
      </c>
      <c r="P1977">
        <v>7.86</v>
      </c>
      <c r="Q1977">
        <v>7.57</v>
      </c>
      <c r="R1977">
        <v>7.65</v>
      </c>
      <c r="S1977">
        <v>424.78</v>
      </c>
      <c r="T1977">
        <v>0.81</v>
      </c>
      <c r="U1977" t="s">
        <v>92</v>
      </c>
    </row>
    <row r="1978" spans="1:21">
      <c r="A1978" t="str">
        <f>"300511"</f>
        <v>300511</v>
      </c>
      <c r="B1978" t="s">
        <v>3994</v>
      </c>
      <c r="C1978">
        <v>0.81</v>
      </c>
      <c r="D1978">
        <v>7.44</v>
      </c>
      <c r="E1978">
        <v>0.06</v>
      </c>
      <c r="F1978">
        <v>7.43</v>
      </c>
      <c r="G1978">
        <v>7.44</v>
      </c>
      <c r="H1978">
        <v>78513</v>
      </c>
      <c r="I1978">
        <v>1519</v>
      </c>
      <c r="J1978">
        <v>0.4</v>
      </c>
      <c r="K1978">
        <v>2.48</v>
      </c>
      <c r="L1978">
        <v>5779.99</v>
      </c>
      <c r="M1978" t="s">
        <v>3995</v>
      </c>
      <c r="N1978" t="s">
        <v>639</v>
      </c>
      <c r="O1978">
        <v>7.37</v>
      </c>
      <c r="P1978">
        <v>7.47</v>
      </c>
      <c r="Q1978">
        <v>7.26</v>
      </c>
      <c r="R1978">
        <v>7.38</v>
      </c>
      <c r="S1978" t="s">
        <v>40</v>
      </c>
      <c r="T1978">
        <v>0.61</v>
      </c>
      <c r="U1978" t="s">
        <v>848</v>
      </c>
    </row>
    <row r="1979" spans="1:21">
      <c r="A1979" t="str">
        <f>"300512"</f>
        <v>300512</v>
      </c>
      <c r="B1979" t="s">
        <v>3996</v>
      </c>
      <c r="C1979">
        <v>1.1</v>
      </c>
      <c r="D1979">
        <v>15.65</v>
      </c>
      <c r="E1979">
        <v>0.17</v>
      </c>
      <c r="F1979">
        <v>15.64</v>
      </c>
      <c r="G1979">
        <v>15.65</v>
      </c>
      <c r="H1979">
        <v>9535</v>
      </c>
      <c r="I1979">
        <v>32</v>
      </c>
      <c r="J1979">
        <v>0.19</v>
      </c>
      <c r="K1979">
        <v>0.44</v>
      </c>
      <c r="L1979">
        <v>1482.14</v>
      </c>
      <c r="M1979" t="s">
        <v>3997</v>
      </c>
      <c r="N1979" t="s">
        <v>324</v>
      </c>
      <c r="O1979">
        <v>15.43</v>
      </c>
      <c r="P1979">
        <v>15.68</v>
      </c>
      <c r="Q1979">
        <v>15.28</v>
      </c>
      <c r="R1979">
        <v>15.48</v>
      </c>
      <c r="S1979">
        <v>25.34</v>
      </c>
      <c r="T1979">
        <v>0.83</v>
      </c>
      <c r="U1979" t="s">
        <v>200</v>
      </c>
    </row>
    <row r="1980" spans="1:21">
      <c r="A1980" t="str">
        <f>"300513"</f>
        <v>300513</v>
      </c>
      <c r="B1980" t="s">
        <v>3998</v>
      </c>
      <c r="C1980">
        <v>-0.77</v>
      </c>
      <c r="D1980">
        <v>12.9</v>
      </c>
      <c r="E1980">
        <v>-0.1</v>
      </c>
      <c r="F1980">
        <v>12.9</v>
      </c>
      <c r="G1980">
        <v>12.91</v>
      </c>
      <c r="H1980">
        <v>165080</v>
      </c>
      <c r="I1980">
        <v>1544</v>
      </c>
      <c r="J1980">
        <v>0.31</v>
      </c>
      <c r="K1980">
        <v>6.73</v>
      </c>
      <c r="L1980">
        <v>21294.75</v>
      </c>
      <c r="M1980" t="s">
        <v>3999</v>
      </c>
      <c r="N1980" t="s">
        <v>30</v>
      </c>
      <c r="O1980">
        <v>12.91</v>
      </c>
      <c r="P1980">
        <v>13.07</v>
      </c>
      <c r="Q1980">
        <v>12.74</v>
      </c>
      <c r="R1980">
        <v>13</v>
      </c>
      <c r="S1980">
        <v>53.49</v>
      </c>
      <c r="T1980">
        <v>0.6</v>
      </c>
      <c r="U1980" t="s">
        <v>44</v>
      </c>
    </row>
    <row r="1981" spans="1:21">
      <c r="A1981" t="str">
        <f>"300514"</f>
        <v>300514</v>
      </c>
      <c r="B1981" t="s">
        <v>4000</v>
      </c>
      <c r="C1981">
        <v>0</v>
      </c>
      <c r="D1981">
        <v>13.91</v>
      </c>
      <c r="E1981">
        <v>0</v>
      </c>
      <c r="F1981">
        <v>13.91</v>
      </c>
      <c r="G1981">
        <v>13.92</v>
      </c>
      <c r="H1981">
        <v>165507</v>
      </c>
      <c r="I1981">
        <v>2378</v>
      </c>
      <c r="J1981">
        <v>-0.06</v>
      </c>
      <c r="K1981">
        <v>10.82</v>
      </c>
      <c r="L1981">
        <v>23635.5</v>
      </c>
      <c r="M1981" t="s">
        <v>2600</v>
      </c>
      <c r="N1981" t="s">
        <v>1028</v>
      </c>
      <c r="O1981">
        <v>14.46</v>
      </c>
      <c r="P1981">
        <v>14.87</v>
      </c>
      <c r="Q1981">
        <v>13.89</v>
      </c>
      <c r="R1981">
        <v>13.91</v>
      </c>
      <c r="S1981">
        <v>67.1</v>
      </c>
      <c r="T1981">
        <v>1.05</v>
      </c>
      <c r="U1981" t="s">
        <v>24</v>
      </c>
    </row>
    <row r="1982" spans="1:21">
      <c r="A1982" t="str">
        <f>"300515"</f>
        <v>300515</v>
      </c>
      <c r="B1982" t="s">
        <v>4001</v>
      </c>
      <c r="C1982">
        <v>3.46</v>
      </c>
      <c r="D1982">
        <v>11.95</v>
      </c>
      <c r="E1982">
        <v>0.4</v>
      </c>
      <c r="F1982">
        <v>11.92</v>
      </c>
      <c r="G1982">
        <v>11.95</v>
      </c>
      <c r="H1982">
        <v>39324</v>
      </c>
      <c r="I1982">
        <v>1088</v>
      </c>
      <c r="J1982">
        <v>0.42</v>
      </c>
      <c r="K1982">
        <v>2.21</v>
      </c>
      <c r="L1982">
        <v>4658.43</v>
      </c>
      <c r="M1982" t="s">
        <v>4002</v>
      </c>
      <c r="N1982" t="s">
        <v>1028</v>
      </c>
      <c r="O1982">
        <v>11.55</v>
      </c>
      <c r="P1982">
        <v>11.97</v>
      </c>
      <c r="Q1982">
        <v>11.46</v>
      </c>
      <c r="R1982">
        <v>11.55</v>
      </c>
      <c r="S1982">
        <v>30.15</v>
      </c>
      <c r="T1982">
        <v>1.01</v>
      </c>
      <c r="U1982" t="s">
        <v>204</v>
      </c>
    </row>
    <row r="1983" spans="1:21">
      <c r="A1983" t="str">
        <f>"300516"</f>
        <v>300516</v>
      </c>
      <c r="B1983" t="s">
        <v>4003</v>
      </c>
      <c r="C1983">
        <v>3</v>
      </c>
      <c r="D1983">
        <v>33.33</v>
      </c>
      <c r="E1983">
        <v>0.97</v>
      </c>
      <c r="F1983">
        <v>33.33</v>
      </c>
      <c r="G1983">
        <v>33.34</v>
      </c>
      <c r="H1983">
        <v>29665</v>
      </c>
      <c r="I1983">
        <v>330</v>
      </c>
      <c r="J1983">
        <v>0.06</v>
      </c>
      <c r="K1983">
        <v>1.65</v>
      </c>
      <c r="L1983">
        <v>9795.42</v>
      </c>
      <c r="M1983" t="s">
        <v>4004</v>
      </c>
      <c r="N1983" t="s">
        <v>1028</v>
      </c>
      <c r="O1983">
        <v>32.22</v>
      </c>
      <c r="P1983">
        <v>33.5</v>
      </c>
      <c r="Q1983">
        <v>32.22</v>
      </c>
      <c r="R1983">
        <v>32.36</v>
      </c>
      <c r="S1983">
        <v>95.94</v>
      </c>
      <c r="T1983">
        <v>1.26</v>
      </c>
      <c r="U1983" t="s">
        <v>267</v>
      </c>
    </row>
    <row r="1984" spans="1:21">
      <c r="A1984" t="str">
        <f>"300517"</f>
        <v>300517</v>
      </c>
      <c r="B1984" t="s">
        <v>4005</v>
      </c>
      <c r="C1984">
        <v>1.25</v>
      </c>
      <c r="D1984">
        <v>13.72</v>
      </c>
      <c r="E1984">
        <v>0.17</v>
      </c>
      <c r="F1984">
        <v>13.71</v>
      </c>
      <c r="G1984">
        <v>13.72</v>
      </c>
      <c r="H1984">
        <v>27865</v>
      </c>
      <c r="I1984">
        <v>368</v>
      </c>
      <c r="J1984">
        <v>0.07</v>
      </c>
      <c r="K1984">
        <v>2.48</v>
      </c>
      <c r="L1984">
        <v>3858.51</v>
      </c>
      <c r="M1984" t="s">
        <v>4006</v>
      </c>
      <c r="N1984" t="s">
        <v>50</v>
      </c>
      <c r="O1984">
        <v>13.88</v>
      </c>
      <c r="P1984">
        <v>14.2</v>
      </c>
      <c r="Q1984">
        <v>13.65</v>
      </c>
      <c r="R1984">
        <v>13.55</v>
      </c>
      <c r="S1984">
        <v>27.38</v>
      </c>
      <c r="T1984">
        <v>0.87</v>
      </c>
      <c r="U1984" t="s">
        <v>267</v>
      </c>
    </row>
    <row r="1985" spans="1:21">
      <c r="A1985" t="str">
        <f>"300518"</f>
        <v>300518</v>
      </c>
      <c r="B1985" t="s">
        <v>4007</v>
      </c>
      <c r="C1985">
        <v>1.05</v>
      </c>
      <c r="D1985">
        <v>43.23</v>
      </c>
      <c r="E1985">
        <v>0.45</v>
      </c>
      <c r="F1985">
        <v>43.22</v>
      </c>
      <c r="G1985">
        <v>43.23</v>
      </c>
      <c r="H1985">
        <v>14400</v>
      </c>
      <c r="I1985">
        <v>235</v>
      </c>
      <c r="J1985">
        <v>0.14</v>
      </c>
      <c r="K1985">
        <v>1.54</v>
      </c>
      <c r="L1985">
        <v>6198.41</v>
      </c>
      <c r="M1985" t="s">
        <v>4008</v>
      </c>
      <c r="N1985" t="s">
        <v>479</v>
      </c>
      <c r="O1985">
        <v>42.45</v>
      </c>
      <c r="P1985">
        <v>43.33</v>
      </c>
      <c r="Q1985">
        <v>42.44</v>
      </c>
      <c r="R1985">
        <v>42.78</v>
      </c>
      <c r="S1985">
        <v>17.15</v>
      </c>
      <c r="T1985">
        <v>0.42</v>
      </c>
      <c r="U1985" t="s">
        <v>24</v>
      </c>
    </row>
    <row r="1986" spans="1:21">
      <c r="A1986" t="str">
        <f>"300519"</f>
        <v>300519</v>
      </c>
      <c r="B1986" t="s">
        <v>4009</v>
      </c>
      <c r="C1986">
        <v>0.5</v>
      </c>
      <c r="D1986">
        <v>16.14</v>
      </c>
      <c r="E1986">
        <v>0.08</v>
      </c>
      <c r="F1986">
        <v>16.14</v>
      </c>
      <c r="G1986">
        <v>16.15</v>
      </c>
      <c r="H1986">
        <v>14200</v>
      </c>
      <c r="I1986">
        <v>222</v>
      </c>
      <c r="J1986">
        <v>0</v>
      </c>
      <c r="K1986">
        <v>1.24</v>
      </c>
      <c r="L1986">
        <v>2287.86</v>
      </c>
      <c r="M1986" t="s">
        <v>3935</v>
      </c>
      <c r="N1986" t="s">
        <v>270</v>
      </c>
      <c r="O1986">
        <v>16</v>
      </c>
      <c r="P1986">
        <v>16.25</v>
      </c>
      <c r="Q1986">
        <v>15.8</v>
      </c>
      <c r="R1986">
        <v>16.06</v>
      </c>
      <c r="S1986">
        <v>22.01</v>
      </c>
      <c r="T1986">
        <v>0.72</v>
      </c>
      <c r="U1986" t="s">
        <v>200</v>
      </c>
    </row>
    <row r="1987" spans="1:21">
      <c r="A1987" t="str">
        <f>"300520"</f>
        <v>300520</v>
      </c>
      <c r="B1987" t="s">
        <v>4010</v>
      </c>
      <c r="C1987">
        <v>2.21</v>
      </c>
      <c r="D1987">
        <v>19.87</v>
      </c>
      <c r="E1987">
        <v>0.43</v>
      </c>
      <c r="F1987">
        <v>19.86</v>
      </c>
      <c r="G1987">
        <v>19.87</v>
      </c>
      <c r="H1987">
        <v>41996</v>
      </c>
      <c r="I1987">
        <v>790</v>
      </c>
      <c r="J1987">
        <v>0.05</v>
      </c>
      <c r="K1987">
        <v>1.96</v>
      </c>
      <c r="L1987">
        <v>8269.76</v>
      </c>
      <c r="M1987" t="s">
        <v>767</v>
      </c>
      <c r="N1987" t="s">
        <v>30</v>
      </c>
      <c r="O1987">
        <v>19.44</v>
      </c>
      <c r="P1987">
        <v>19.97</v>
      </c>
      <c r="Q1987">
        <v>19.28</v>
      </c>
      <c r="R1987">
        <v>19.44</v>
      </c>
      <c r="S1987">
        <v>71.72</v>
      </c>
      <c r="T1987">
        <v>0.96</v>
      </c>
      <c r="U1987" t="s">
        <v>193</v>
      </c>
    </row>
    <row r="1988" spans="1:21">
      <c r="A1988" t="str">
        <f>"300521"</f>
        <v>300521</v>
      </c>
      <c r="B1988" t="s">
        <v>4011</v>
      </c>
      <c r="C1988">
        <v>2.74</v>
      </c>
      <c r="D1988">
        <v>13.51</v>
      </c>
      <c r="E1988">
        <v>0.36</v>
      </c>
      <c r="F1988">
        <v>13.51</v>
      </c>
      <c r="G1988">
        <v>13.52</v>
      </c>
      <c r="H1988">
        <v>28421</v>
      </c>
      <c r="I1988">
        <v>339</v>
      </c>
      <c r="J1988">
        <v>0.37</v>
      </c>
      <c r="K1988">
        <v>1.97</v>
      </c>
      <c r="L1988">
        <v>3847.63</v>
      </c>
      <c r="M1988" t="s">
        <v>4012</v>
      </c>
      <c r="N1988" t="s">
        <v>324</v>
      </c>
      <c r="O1988">
        <v>13.05</v>
      </c>
      <c r="P1988">
        <v>13.88</v>
      </c>
      <c r="Q1988">
        <v>13.05</v>
      </c>
      <c r="R1988">
        <v>13.15</v>
      </c>
      <c r="S1988" t="s">
        <v>40</v>
      </c>
      <c r="T1988">
        <v>1.74</v>
      </c>
      <c r="U1988" t="s">
        <v>183</v>
      </c>
    </row>
    <row r="1989" spans="1:21">
      <c r="A1989" t="str">
        <f>"300522"</f>
        <v>300522</v>
      </c>
      <c r="B1989" t="s">
        <v>4013</v>
      </c>
      <c r="C1989">
        <v>1.85</v>
      </c>
      <c r="D1989">
        <v>17.11</v>
      </c>
      <c r="E1989">
        <v>0.31</v>
      </c>
      <c r="F1989">
        <v>17.1</v>
      </c>
      <c r="G1989">
        <v>17.11</v>
      </c>
      <c r="H1989">
        <v>17116</v>
      </c>
      <c r="I1989">
        <v>725</v>
      </c>
      <c r="J1989">
        <v>0</v>
      </c>
      <c r="K1989">
        <v>0.94</v>
      </c>
      <c r="L1989">
        <v>2917.59</v>
      </c>
      <c r="M1989" t="s">
        <v>4014</v>
      </c>
      <c r="N1989" t="s">
        <v>416</v>
      </c>
      <c r="O1989">
        <v>16.96</v>
      </c>
      <c r="P1989">
        <v>17.17</v>
      </c>
      <c r="Q1989">
        <v>16.81</v>
      </c>
      <c r="R1989">
        <v>16.8</v>
      </c>
      <c r="S1989">
        <v>35.53</v>
      </c>
      <c r="T1989">
        <v>0.88</v>
      </c>
      <c r="U1989" t="s">
        <v>102</v>
      </c>
    </row>
    <row r="1990" spans="1:21">
      <c r="A1990" t="str">
        <f>"300523"</f>
        <v>300523</v>
      </c>
      <c r="B1990" t="s">
        <v>4015</v>
      </c>
      <c r="C1990">
        <v>-0.58</v>
      </c>
      <c r="D1990">
        <v>22.1</v>
      </c>
      <c r="E1990">
        <v>-0.13</v>
      </c>
      <c r="F1990">
        <v>22.1</v>
      </c>
      <c r="G1990">
        <v>22.14</v>
      </c>
      <c r="H1990">
        <v>5638</v>
      </c>
      <c r="I1990">
        <v>141</v>
      </c>
      <c r="J1990">
        <v>-0.22</v>
      </c>
      <c r="K1990">
        <v>0.24</v>
      </c>
      <c r="L1990">
        <v>1252.19</v>
      </c>
      <c r="M1990" t="s">
        <v>4016</v>
      </c>
      <c r="N1990" t="s">
        <v>30</v>
      </c>
      <c r="O1990">
        <v>22.1</v>
      </c>
      <c r="P1990">
        <v>22.47</v>
      </c>
      <c r="Q1990">
        <v>21.82</v>
      </c>
      <c r="R1990">
        <v>22.23</v>
      </c>
      <c r="S1990" t="s">
        <v>40</v>
      </c>
      <c r="T1990">
        <v>0.65</v>
      </c>
      <c r="U1990" t="s">
        <v>44</v>
      </c>
    </row>
    <row r="1991" spans="1:21">
      <c r="A1991" t="str">
        <f>"300525"</f>
        <v>300525</v>
      </c>
      <c r="B1991" t="s">
        <v>4017</v>
      </c>
      <c r="C1991">
        <v>-1.03</v>
      </c>
      <c r="D1991">
        <v>22.15</v>
      </c>
      <c r="E1991">
        <v>-0.23</v>
      </c>
      <c r="F1991">
        <v>22.15</v>
      </c>
      <c r="G1991">
        <v>22.16</v>
      </c>
      <c r="H1991">
        <v>67270</v>
      </c>
      <c r="I1991">
        <v>1671</v>
      </c>
      <c r="J1991">
        <v>0.23</v>
      </c>
      <c r="K1991">
        <v>2.2</v>
      </c>
      <c r="L1991">
        <v>14750.02</v>
      </c>
      <c r="M1991" t="s">
        <v>4018</v>
      </c>
      <c r="N1991" t="s">
        <v>30</v>
      </c>
      <c r="O1991">
        <v>22</v>
      </c>
      <c r="P1991">
        <v>22.28</v>
      </c>
      <c r="Q1991">
        <v>21.66</v>
      </c>
      <c r="R1991">
        <v>22.38</v>
      </c>
      <c r="S1991">
        <v>2331.04</v>
      </c>
      <c r="T1991">
        <v>0.82</v>
      </c>
      <c r="U1991" t="s">
        <v>339</v>
      </c>
    </row>
    <row r="1992" spans="1:21">
      <c r="A1992" t="str">
        <f>"300526"</f>
        <v>300526</v>
      </c>
      <c r="B1992" t="s">
        <v>4019</v>
      </c>
      <c r="C1992">
        <v>-0.74</v>
      </c>
      <c r="D1992">
        <v>21.5</v>
      </c>
      <c r="E1992">
        <v>-0.16</v>
      </c>
      <c r="F1992">
        <v>21.5</v>
      </c>
      <c r="G1992">
        <v>21.51</v>
      </c>
      <c r="H1992">
        <v>42814</v>
      </c>
      <c r="I1992">
        <v>1332</v>
      </c>
      <c r="J1992">
        <v>-0.08</v>
      </c>
      <c r="K1992">
        <v>2.1</v>
      </c>
      <c r="L1992">
        <v>9203.14</v>
      </c>
      <c r="M1992" t="s">
        <v>4020</v>
      </c>
      <c r="N1992" t="s">
        <v>324</v>
      </c>
      <c r="O1992">
        <v>21.66</v>
      </c>
      <c r="P1992">
        <v>21.79</v>
      </c>
      <c r="Q1992">
        <v>21.28</v>
      </c>
      <c r="R1992">
        <v>21.66</v>
      </c>
      <c r="S1992" t="s">
        <v>40</v>
      </c>
      <c r="T1992">
        <v>0.71</v>
      </c>
      <c r="U1992" t="s">
        <v>183</v>
      </c>
    </row>
    <row r="1993" spans="1:21">
      <c r="A1993" t="str">
        <f>"300527"</f>
        <v>300527</v>
      </c>
      <c r="B1993" t="s">
        <v>4021</v>
      </c>
      <c r="C1993">
        <v>0.83</v>
      </c>
      <c r="D1993">
        <v>9.7</v>
      </c>
      <c r="E1993">
        <v>0.08</v>
      </c>
      <c r="F1993">
        <v>9.7</v>
      </c>
      <c r="G1993">
        <v>9.71</v>
      </c>
      <c r="H1993">
        <v>313218</v>
      </c>
      <c r="I1993">
        <v>7144</v>
      </c>
      <c r="J1993">
        <v>-0.4</v>
      </c>
      <c r="K1993">
        <v>3.25</v>
      </c>
      <c r="L1993">
        <v>30577.64</v>
      </c>
      <c r="M1993" t="s">
        <v>4022</v>
      </c>
      <c r="N1993" t="s">
        <v>324</v>
      </c>
      <c r="O1993">
        <v>9.78</v>
      </c>
      <c r="P1993">
        <v>9.89</v>
      </c>
      <c r="Q1993">
        <v>9.62</v>
      </c>
      <c r="R1993">
        <v>9.62</v>
      </c>
      <c r="S1993">
        <v>834.24</v>
      </c>
      <c r="T1993">
        <v>0.66</v>
      </c>
      <c r="U1993" t="s">
        <v>267</v>
      </c>
    </row>
    <row r="1994" spans="1:21">
      <c r="A1994" t="str">
        <f>"300528"</f>
        <v>300528</v>
      </c>
      <c r="B1994" t="s">
        <v>4023</v>
      </c>
      <c r="C1994">
        <v>0.72</v>
      </c>
      <c r="D1994">
        <v>5.57</v>
      </c>
      <c r="E1994">
        <v>0.04</v>
      </c>
      <c r="F1994">
        <v>5.56</v>
      </c>
      <c r="G1994">
        <v>5.57</v>
      </c>
      <c r="H1994">
        <v>16047</v>
      </c>
      <c r="I1994">
        <v>103</v>
      </c>
      <c r="J1994">
        <v>0.18</v>
      </c>
      <c r="K1994">
        <v>0.43</v>
      </c>
      <c r="L1994">
        <v>892.12</v>
      </c>
      <c r="M1994" t="s">
        <v>4024</v>
      </c>
      <c r="N1994" t="s">
        <v>199</v>
      </c>
      <c r="O1994">
        <v>5.49</v>
      </c>
      <c r="P1994">
        <v>5.6</v>
      </c>
      <c r="Q1994">
        <v>5.49</v>
      </c>
      <c r="R1994">
        <v>5.53</v>
      </c>
      <c r="S1994" t="s">
        <v>40</v>
      </c>
      <c r="T1994">
        <v>0.78</v>
      </c>
      <c r="U1994" t="s">
        <v>102</v>
      </c>
    </row>
    <row r="1995" spans="1:21">
      <c r="A1995" t="str">
        <f>"300529"</f>
        <v>300529</v>
      </c>
      <c r="B1995" t="s">
        <v>4025</v>
      </c>
      <c r="C1995">
        <v>-0.74</v>
      </c>
      <c r="D1995">
        <v>53.7</v>
      </c>
      <c r="E1995">
        <v>-0.4</v>
      </c>
      <c r="F1995">
        <v>53.7</v>
      </c>
      <c r="G1995">
        <v>53.72</v>
      </c>
      <c r="H1995">
        <v>45948</v>
      </c>
      <c r="I1995">
        <v>612</v>
      </c>
      <c r="J1995">
        <v>0.09</v>
      </c>
      <c r="K1995">
        <v>0.89</v>
      </c>
      <c r="L1995">
        <v>24680.53</v>
      </c>
      <c r="M1995" t="s">
        <v>4026</v>
      </c>
      <c r="N1995" t="s">
        <v>186</v>
      </c>
      <c r="O1995">
        <v>54.31</v>
      </c>
      <c r="P1995">
        <v>54.49</v>
      </c>
      <c r="Q1995">
        <v>53.3</v>
      </c>
      <c r="R1995">
        <v>54.1</v>
      </c>
      <c r="S1995">
        <v>37.59</v>
      </c>
      <c r="T1995">
        <v>0.45</v>
      </c>
      <c r="U1995" t="s">
        <v>183</v>
      </c>
    </row>
    <row r="1996" spans="1:21">
      <c r="A1996" t="str">
        <f>"300530"</f>
        <v>300530</v>
      </c>
      <c r="B1996" t="s">
        <v>4027</v>
      </c>
      <c r="C1996">
        <v>-0.14</v>
      </c>
      <c r="D1996">
        <v>36.79</v>
      </c>
      <c r="E1996">
        <v>-0.05</v>
      </c>
      <c r="F1996">
        <v>36.78</v>
      </c>
      <c r="G1996">
        <v>36.79</v>
      </c>
      <c r="H1996">
        <v>6364</v>
      </c>
      <c r="I1996">
        <v>172</v>
      </c>
      <c r="J1996">
        <v>-0.04</v>
      </c>
      <c r="K1996">
        <v>0.54</v>
      </c>
      <c r="L1996">
        <v>2344.23</v>
      </c>
      <c r="M1996" t="s">
        <v>4028</v>
      </c>
      <c r="N1996" t="s">
        <v>309</v>
      </c>
      <c r="O1996">
        <v>36.72</v>
      </c>
      <c r="P1996">
        <v>37.26</v>
      </c>
      <c r="Q1996">
        <v>36.5</v>
      </c>
      <c r="R1996">
        <v>36.84</v>
      </c>
      <c r="S1996" t="s">
        <v>40</v>
      </c>
      <c r="T1996">
        <v>0.51</v>
      </c>
      <c r="U1996" t="s">
        <v>183</v>
      </c>
    </row>
    <row r="1997" spans="1:21">
      <c r="A1997" t="str">
        <f>"300531"</f>
        <v>300531</v>
      </c>
      <c r="B1997" t="s">
        <v>4029</v>
      </c>
      <c r="C1997">
        <v>-0.68</v>
      </c>
      <c r="D1997">
        <v>19.05</v>
      </c>
      <c r="E1997">
        <v>-0.13</v>
      </c>
      <c r="F1997">
        <v>19.05</v>
      </c>
      <c r="G1997">
        <v>19.06</v>
      </c>
      <c r="H1997">
        <v>53369</v>
      </c>
      <c r="I1997">
        <v>649</v>
      </c>
      <c r="J1997">
        <v>-0.04</v>
      </c>
      <c r="K1997">
        <v>1.75</v>
      </c>
      <c r="L1997">
        <v>10201.13</v>
      </c>
      <c r="M1997" t="s">
        <v>1427</v>
      </c>
      <c r="N1997" t="s">
        <v>30</v>
      </c>
      <c r="O1997">
        <v>19.05</v>
      </c>
      <c r="P1997">
        <v>19.37</v>
      </c>
      <c r="Q1997">
        <v>18.95</v>
      </c>
      <c r="R1997">
        <v>19.18</v>
      </c>
      <c r="S1997">
        <v>34.42</v>
      </c>
      <c r="T1997">
        <v>0.5</v>
      </c>
      <c r="U1997" t="s">
        <v>24</v>
      </c>
    </row>
    <row r="1998" spans="1:21">
      <c r="A1998" t="str">
        <f>"300532"</f>
        <v>300532</v>
      </c>
      <c r="B1998" t="s">
        <v>4030</v>
      </c>
      <c r="C1998">
        <v>1.11</v>
      </c>
      <c r="D1998">
        <v>10.94</v>
      </c>
      <c r="E1998">
        <v>0.12</v>
      </c>
      <c r="F1998">
        <v>10.93</v>
      </c>
      <c r="G1998">
        <v>10.94</v>
      </c>
      <c r="H1998">
        <v>55133</v>
      </c>
      <c r="I1998">
        <v>341</v>
      </c>
      <c r="J1998">
        <v>0</v>
      </c>
      <c r="K1998">
        <v>2.84</v>
      </c>
      <c r="L1998">
        <v>6055.53</v>
      </c>
      <c r="M1998" t="s">
        <v>2338</v>
      </c>
      <c r="N1998" t="s">
        <v>30</v>
      </c>
      <c r="O1998">
        <v>10.82</v>
      </c>
      <c r="P1998">
        <v>11.1</v>
      </c>
      <c r="Q1998">
        <v>10.76</v>
      </c>
      <c r="R1998">
        <v>10.82</v>
      </c>
      <c r="S1998">
        <v>43.74</v>
      </c>
      <c r="T1998">
        <v>0.7</v>
      </c>
      <c r="U1998" t="s">
        <v>24</v>
      </c>
    </row>
    <row r="1999" spans="1:21">
      <c r="A1999" t="str">
        <f>"300533"</f>
        <v>300533</v>
      </c>
      <c r="B1999" t="s">
        <v>4031</v>
      </c>
      <c r="C1999">
        <v>2.7</v>
      </c>
      <c r="D1999">
        <v>19.42</v>
      </c>
      <c r="E1999">
        <v>0.51</v>
      </c>
      <c r="F1999">
        <v>19.42</v>
      </c>
      <c r="G1999">
        <v>19.47</v>
      </c>
      <c r="H1999">
        <v>25217</v>
      </c>
      <c r="I1999">
        <v>611</v>
      </c>
      <c r="J1999">
        <v>-0.2</v>
      </c>
      <c r="K1999">
        <v>2.51</v>
      </c>
      <c r="L1999">
        <v>4898.47</v>
      </c>
      <c r="M1999" t="s">
        <v>4032</v>
      </c>
      <c r="N1999" t="s">
        <v>479</v>
      </c>
      <c r="O1999">
        <v>19.12</v>
      </c>
      <c r="P1999">
        <v>19.69</v>
      </c>
      <c r="Q1999">
        <v>18.96</v>
      </c>
      <c r="R1999">
        <v>18.91</v>
      </c>
      <c r="S1999">
        <v>325.37</v>
      </c>
      <c r="T1999">
        <v>0.43</v>
      </c>
      <c r="U1999" t="s">
        <v>24</v>
      </c>
    </row>
    <row r="2000" spans="1:21">
      <c r="A2000" t="str">
        <f>"300534"</f>
        <v>300534</v>
      </c>
      <c r="B2000" t="s">
        <v>4033</v>
      </c>
      <c r="C2000">
        <v>1.05</v>
      </c>
      <c r="D2000">
        <v>5.79</v>
      </c>
      <c r="E2000">
        <v>0.06</v>
      </c>
      <c r="F2000">
        <v>5.77</v>
      </c>
      <c r="G2000">
        <v>5.79</v>
      </c>
      <c r="H2000">
        <v>28804</v>
      </c>
      <c r="I2000">
        <v>167</v>
      </c>
      <c r="J2000">
        <v>0.17</v>
      </c>
      <c r="K2000">
        <v>0.96</v>
      </c>
      <c r="L2000">
        <v>1665.33</v>
      </c>
      <c r="M2000" t="s">
        <v>4034</v>
      </c>
      <c r="N2000" t="s">
        <v>270</v>
      </c>
      <c r="O2000">
        <v>5.75</v>
      </c>
      <c r="P2000">
        <v>5.84</v>
      </c>
      <c r="Q2000">
        <v>5.73</v>
      </c>
      <c r="R2000">
        <v>5.73</v>
      </c>
      <c r="S2000" t="s">
        <v>40</v>
      </c>
      <c r="T2000">
        <v>0.55</v>
      </c>
      <c r="U2000" t="s">
        <v>391</v>
      </c>
    </row>
    <row r="2001" spans="1:21">
      <c r="A2001" t="str">
        <f>"300535"</f>
        <v>300535</v>
      </c>
      <c r="B2001" t="s">
        <v>4035</v>
      </c>
      <c r="C2001">
        <v>1.77</v>
      </c>
      <c r="D2001">
        <v>14.93</v>
      </c>
      <c r="E2001">
        <v>0.26</v>
      </c>
      <c r="F2001">
        <v>14.91</v>
      </c>
      <c r="G2001">
        <v>14.93</v>
      </c>
      <c r="H2001">
        <v>13325</v>
      </c>
      <c r="I2001">
        <v>172</v>
      </c>
      <c r="J2001">
        <v>0.27</v>
      </c>
      <c r="K2001">
        <v>1.59</v>
      </c>
      <c r="L2001">
        <v>1979.07</v>
      </c>
      <c r="M2001" t="s">
        <v>4036</v>
      </c>
      <c r="N2001" t="s">
        <v>309</v>
      </c>
      <c r="O2001">
        <v>14.67</v>
      </c>
      <c r="P2001">
        <v>14.96</v>
      </c>
      <c r="Q2001">
        <v>14.6</v>
      </c>
      <c r="R2001">
        <v>14.67</v>
      </c>
      <c r="S2001">
        <v>19.9</v>
      </c>
      <c r="T2001">
        <v>0.99</v>
      </c>
      <c r="U2001" t="s">
        <v>196</v>
      </c>
    </row>
    <row r="2002" spans="1:21">
      <c r="A2002" t="str">
        <f>"300536"</f>
        <v>300536</v>
      </c>
      <c r="B2002" t="s">
        <v>4037</v>
      </c>
      <c r="C2002">
        <v>-0.04</v>
      </c>
      <c r="D2002">
        <v>22.91</v>
      </c>
      <c r="E2002">
        <v>-0.01</v>
      </c>
      <c r="F2002">
        <v>22.91</v>
      </c>
      <c r="G2002">
        <v>22.97</v>
      </c>
      <c r="H2002">
        <v>36946</v>
      </c>
      <c r="I2002">
        <v>1077</v>
      </c>
      <c r="J2002">
        <v>0.22</v>
      </c>
      <c r="K2002">
        <v>1.55</v>
      </c>
      <c r="L2002">
        <v>8571.69</v>
      </c>
      <c r="M2002" t="s">
        <v>4038</v>
      </c>
      <c r="N2002" t="s">
        <v>50</v>
      </c>
      <c r="O2002">
        <v>22.55</v>
      </c>
      <c r="P2002">
        <v>23.78</v>
      </c>
      <c r="Q2002">
        <v>22.55</v>
      </c>
      <c r="R2002">
        <v>22.92</v>
      </c>
      <c r="S2002">
        <v>2076.31</v>
      </c>
      <c r="T2002">
        <v>0.66</v>
      </c>
      <c r="U2002" t="s">
        <v>267</v>
      </c>
    </row>
    <row r="2003" spans="1:21">
      <c r="A2003" t="str">
        <f>"300537"</f>
        <v>300537</v>
      </c>
      <c r="B2003" t="s">
        <v>4039</v>
      </c>
      <c r="C2003">
        <v>1.04</v>
      </c>
      <c r="D2003">
        <v>17.42</v>
      </c>
      <c r="E2003">
        <v>0.18</v>
      </c>
      <c r="F2003">
        <v>17.41</v>
      </c>
      <c r="G2003">
        <v>17.42</v>
      </c>
      <c r="H2003">
        <v>61902</v>
      </c>
      <c r="I2003">
        <v>1005</v>
      </c>
      <c r="J2003">
        <v>0.17</v>
      </c>
      <c r="K2003">
        <v>4.66</v>
      </c>
      <c r="L2003">
        <v>10777.92</v>
      </c>
      <c r="M2003" t="s">
        <v>308</v>
      </c>
      <c r="N2003" t="s">
        <v>416</v>
      </c>
      <c r="O2003">
        <v>17.31</v>
      </c>
      <c r="P2003">
        <v>17.58</v>
      </c>
      <c r="Q2003">
        <v>17.12</v>
      </c>
      <c r="R2003">
        <v>17.24</v>
      </c>
      <c r="S2003" t="s">
        <v>40</v>
      </c>
      <c r="T2003">
        <v>0.6</v>
      </c>
      <c r="U2003" t="s">
        <v>102</v>
      </c>
    </row>
    <row r="2004" spans="1:21">
      <c r="A2004" t="str">
        <f>"300538"</f>
        <v>300538</v>
      </c>
      <c r="B2004" t="s">
        <v>4040</v>
      </c>
      <c r="C2004">
        <v>0.62</v>
      </c>
      <c r="D2004">
        <v>25.76</v>
      </c>
      <c r="E2004">
        <v>0.16</v>
      </c>
      <c r="F2004">
        <v>25.75</v>
      </c>
      <c r="G2004">
        <v>25.76</v>
      </c>
      <c r="H2004">
        <v>10441</v>
      </c>
      <c r="I2004">
        <v>183</v>
      </c>
      <c r="J2004">
        <v>-0.07</v>
      </c>
      <c r="K2004">
        <v>1.31</v>
      </c>
      <c r="L2004">
        <v>2683.33</v>
      </c>
      <c r="M2004" t="s">
        <v>4041</v>
      </c>
      <c r="N2004" t="s">
        <v>150</v>
      </c>
      <c r="O2004">
        <v>25.58</v>
      </c>
      <c r="P2004">
        <v>25.99</v>
      </c>
      <c r="Q2004">
        <v>25.32</v>
      </c>
      <c r="R2004">
        <v>25.6</v>
      </c>
      <c r="S2004">
        <v>92.45</v>
      </c>
      <c r="T2004">
        <v>0.58</v>
      </c>
      <c r="U2004" t="s">
        <v>24</v>
      </c>
    </row>
    <row r="2005" spans="1:21">
      <c r="A2005" t="str">
        <f>"300539"</f>
        <v>300539</v>
      </c>
      <c r="B2005" t="s">
        <v>4042</v>
      </c>
      <c r="C2005">
        <v>2.51</v>
      </c>
      <c r="D2005">
        <v>7.75</v>
      </c>
      <c r="E2005">
        <v>0.19</v>
      </c>
      <c r="F2005">
        <v>7.75</v>
      </c>
      <c r="G2005">
        <v>7.76</v>
      </c>
      <c r="H2005">
        <v>43148</v>
      </c>
      <c r="I2005">
        <v>212</v>
      </c>
      <c r="J2005">
        <v>-0.25</v>
      </c>
      <c r="K2005">
        <v>3.79</v>
      </c>
      <c r="L2005">
        <v>3356.05</v>
      </c>
      <c r="M2005" t="s">
        <v>4043</v>
      </c>
      <c r="N2005" t="s">
        <v>839</v>
      </c>
      <c r="O2005">
        <v>7.62</v>
      </c>
      <c r="P2005">
        <v>7.9</v>
      </c>
      <c r="Q2005">
        <v>7.57</v>
      </c>
      <c r="R2005">
        <v>7.56</v>
      </c>
      <c r="S2005">
        <v>87.03</v>
      </c>
      <c r="T2005">
        <v>1.78</v>
      </c>
      <c r="U2005" t="s">
        <v>200</v>
      </c>
    </row>
    <row r="2006" spans="1:21">
      <c r="A2006" t="str">
        <f>"300540"</f>
        <v>300540</v>
      </c>
      <c r="B2006" t="s">
        <v>4044</v>
      </c>
      <c r="C2006">
        <v>8.04</v>
      </c>
      <c r="D2006">
        <v>32.13</v>
      </c>
      <c r="E2006">
        <v>2.39</v>
      </c>
      <c r="F2006">
        <v>32.12</v>
      </c>
      <c r="G2006">
        <v>32.13</v>
      </c>
      <c r="H2006">
        <v>135824</v>
      </c>
      <c r="I2006">
        <v>1021</v>
      </c>
      <c r="J2006">
        <v>0.03</v>
      </c>
      <c r="K2006">
        <v>14.77</v>
      </c>
      <c r="L2006">
        <v>42747.75</v>
      </c>
      <c r="M2006" t="s">
        <v>4045</v>
      </c>
      <c r="N2006" t="s">
        <v>324</v>
      </c>
      <c r="O2006">
        <v>28.1</v>
      </c>
      <c r="P2006">
        <v>33.6</v>
      </c>
      <c r="Q2006">
        <v>28.1</v>
      </c>
      <c r="R2006">
        <v>29.74</v>
      </c>
      <c r="S2006">
        <v>413.26</v>
      </c>
      <c r="T2006">
        <v>1.8</v>
      </c>
      <c r="U2006" t="s">
        <v>196</v>
      </c>
    </row>
    <row r="2007" spans="1:21">
      <c r="A2007" t="str">
        <f>"300541"</f>
        <v>300541</v>
      </c>
      <c r="B2007" t="s">
        <v>4046</v>
      </c>
      <c r="C2007">
        <v>-2.78</v>
      </c>
      <c r="D2007">
        <v>12.93</v>
      </c>
      <c r="E2007">
        <v>-0.37</v>
      </c>
      <c r="F2007">
        <v>12.93</v>
      </c>
      <c r="G2007">
        <v>12.94</v>
      </c>
      <c r="H2007">
        <v>127054</v>
      </c>
      <c r="I2007">
        <v>563</v>
      </c>
      <c r="J2007">
        <v>0.08</v>
      </c>
      <c r="K2007">
        <v>5.09</v>
      </c>
      <c r="L2007">
        <v>16415.18</v>
      </c>
      <c r="M2007" t="s">
        <v>4047</v>
      </c>
      <c r="N2007" t="s">
        <v>30</v>
      </c>
      <c r="O2007">
        <v>13.11</v>
      </c>
      <c r="P2007">
        <v>13.11</v>
      </c>
      <c r="Q2007">
        <v>12.75</v>
      </c>
      <c r="R2007">
        <v>13.3</v>
      </c>
      <c r="S2007">
        <v>35.71</v>
      </c>
      <c r="T2007">
        <v>1.57</v>
      </c>
      <c r="U2007" t="s">
        <v>44</v>
      </c>
    </row>
    <row r="2008" spans="1:21">
      <c r="A2008" t="str">
        <f>"300542"</f>
        <v>300542</v>
      </c>
      <c r="B2008" t="s">
        <v>4048</v>
      </c>
      <c r="C2008">
        <v>0.38</v>
      </c>
      <c r="D2008">
        <v>13.35</v>
      </c>
      <c r="E2008">
        <v>0.05</v>
      </c>
      <c r="F2008">
        <v>13.3</v>
      </c>
      <c r="G2008">
        <v>13.35</v>
      </c>
      <c r="H2008">
        <v>52044</v>
      </c>
      <c r="I2008">
        <v>1639</v>
      </c>
      <c r="J2008">
        <v>0.98</v>
      </c>
      <c r="K2008">
        <v>2.16</v>
      </c>
      <c r="L2008">
        <v>6919.92</v>
      </c>
      <c r="M2008" t="s">
        <v>4045</v>
      </c>
      <c r="N2008" t="s">
        <v>30</v>
      </c>
      <c r="O2008">
        <v>13.22</v>
      </c>
      <c r="P2008">
        <v>13.48</v>
      </c>
      <c r="Q2008">
        <v>13.17</v>
      </c>
      <c r="R2008">
        <v>13.3</v>
      </c>
      <c r="S2008">
        <v>381.27</v>
      </c>
      <c r="T2008">
        <v>0.54</v>
      </c>
      <c r="U2008" t="s">
        <v>44</v>
      </c>
    </row>
    <row r="2009" spans="1:21">
      <c r="A2009" t="str">
        <f>"300543"</f>
        <v>300543</v>
      </c>
      <c r="B2009" t="s">
        <v>4049</v>
      </c>
      <c r="C2009">
        <v>2.59</v>
      </c>
      <c r="D2009">
        <v>15.03</v>
      </c>
      <c r="E2009">
        <v>0.38</v>
      </c>
      <c r="F2009">
        <v>15.02</v>
      </c>
      <c r="G2009">
        <v>15.03</v>
      </c>
      <c r="H2009">
        <v>79335</v>
      </c>
      <c r="I2009">
        <v>1687</v>
      </c>
      <c r="J2009">
        <v>-0.06</v>
      </c>
      <c r="K2009">
        <v>3.82</v>
      </c>
      <c r="L2009">
        <v>11902.83</v>
      </c>
      <c r="M2009" t="s">
        <v>4050</v>
      </c>
      <c r="N2009" t="s">
        <v>47</v>
      </c>
      <c r="O2009">
        <v>14.61</v>
      </c>
      <c r="P2009">
        <v>15.2</v>
      </c>
      <c r="Q2009">
        <v>14.61</v>
      </c>
      <c r="R2009">
        <v>14.65</v>
      </c>
      <c r="S2009">
        <v>27.16</v>
      </c>
      <c r="T2009">
        <v>0.76</v>
      </c>
      <c r="U2009" t="s">
        <v>24</v>
      </c>
    </row>
    <row r="2010" spans="1:21">
      <c r="A2010" t="str">
        <f>"300545"</f>
        <v>300545</v>
      </c>
      <c r="B2010" t="s">
        <v>4051</v>
      </c>
      <c r="C2010">
        <v>4.14</v>
      </c>
      <c r="D2010">
        <v>23.92</v>
      </c>
      <c r="E2010">
        <v>0.95</v>
      </c>
      <c r="F2010">
        <v>23.92</v>
      </c>
      <c r="G2010">
        <v>23.93</v>
      </c>
      <c r="H2010">
        <v>39766</v>
      </c>
      <c r="I2010">
        <v>373</v>
      </c>
      <c r="J2010">
        <v>0.29</v>
      </c>
      <c r="K2010">
        <v>3.61</v>
      </c>
      <c r="L2010">
        <v>9406.15</v>
      </c>
      <c r="M2010" t="s">
        <v>4052</v>
      </c>
      <c r="N2010" t="s">
        <v>324</v>
      </c>
      <c r="O2010">
        <v>22.85</v>
      </c>
      <c r="P2010">
        <v>24.16</v>
      </c>
      <c r="Q2010">
        <v>22.85</v>
      </c>
      <c r="R2010">
        <v>22.97</v>
      </c>
      <c r="S2010">
        <v>155.2</v>
      </c>
      <c r="T2010">
        <v>1.3</v>
      </c>
      <c r="U2010" t="s">
        <v>24</v>
      </c>
    </row>
    <row r="2011" spans="1:21">
      <c r="A2011" t="str">
        <f>"300546"</f>
        <v>300546</v>
      </c>
      <c r="B2011" t="s">
        <v>4053</v>
      </c>
      <c r="C2011">
        <v>1.15</v>
      </c>
      <c r="D2011">
        <v>16.66</v>
      </c>
      <c r="E2011">
        <v>0.19</v>
      </c>
      <c r="F2011">
        <v>16.65</v>
      </c>
      <c r="G2011">
        <v>16.66</v>
      </c>
      <c r="H2011">
        <v>20374</v>
      </c>
      <c r="I2011">
        <v>217</v>
      </c>
      <c r="J2011">
        <v>0.12</v>
      </c>
      <c r="K2011">
        <v>2.35</v>
      </c>
      <c r="L2011">
        <v>3407.17</v>
      </c>
      <c r="M2011" t="s">
        <v>3902</v>
      </c>
      <c r="N2011" t="s">
        <v>69</v>
      </c>
      <c r="O2011">
        <v>16.43</v>
      </c>
      <c r="P2011">
        <v>16.87</v>
      </c>
      <c r="Q2011">
        <v>16.43</v>
      </c>
      <c r="R2011">
        <v>16.47</v>
      </c>
      <c r="S2011" t="s">
        <v>40</v>
      </c>
      <c r="T2011">
        <v>0.65</v>
      </c>
      <c r="U2011" t="s">
        <v>24</v>
      </c>
    </row>
    <row r="2012" spans="1:21">
      <c r="A2012" t="str">
        <f>"300547"</f>
        <v>300547</v>
      </c>
      <c r="B2012" t="s">
        <v>4054</v>
      </c>
      <c r="C2012">
        <v>6.3</v>
      </c>
      <c r="D2012">
        <v>12.65</v>
      </c>
      <c r="E2012">
        <v>0.75</v>
      </c>
      <c r="F2012">
        <v>12.65</v>
      </c>
      <c r="G2012">
        <v>12.66</v>
      </c>
      <c r="H2012">
        <v>134813</v>
      </c>
      <c r="I2012">
        <v>2045</v>
      </c>
      <c r="J2012">
        <v>0.64</v>
      </c>
      <c r="K2012">
        <v>7.63</v>
      </c>
      <c r="L2012">
        <v>16715.86</v>
      </c>
      <c r="M2012" t="s">
        <v>4055</v>
      </c>
      <c r="N2012" t="s">
        <v>91</v>
      </c>
      <c r="O2012">
        <v>11.91</v>
      </c>
      <c r="P2012">
        <v>12.75</v>
      </c>
      <c r="Q2012">
        <v>11.89</v>
      </c>
      <c r="R2012">
        <v>11.9</v>
      </c>
      <c r="S2012">
        <v>29.91</v>
      </c>
      <c r="T2012">
        <v>1.44</v>
      </c>
      <c r="U2012" t="s">
        <v>196</v>
      </c>
    </row>
    <row r="2013" spans="1:21">
      <c r="A2013" t="str">
        <f>"300548"</f>
        <v>300548</v>
      </c>
      <c r="B2013" t="s">
        <v>4056</v>
      </c>
      <c r="C2013">
        <v>3.56</v>
      </c>
      <c r="D2013">
        <v>33.15</v>
      </c>
      <c r="E2013">
        <v>1.14</v>
      </c>
      <c r="F2013">
        <v>33.15</v>
      </c>
      <c r="G2013">
        <v>33.16</v>
      </c>
      <c r="H2013">
        <v>45777</v>
      </c>
      <c r="I2013">
        <v>789</v>
      </c>
      <c r="J2013">
        <v>0.09</v>
      </c>
      <c r="K2013">
        <v>3.23</v>
      </c>
      <c r="L2013">
        <v>15030.81</v>
      </c>
      <c r="M2013" t="s">
        <v>2336</v>
      </c>
      <c r="N2013" t="s">
        <v>69</v>
      </c>
      <c r="O2013">
        <v>32</v>
      </c>
      <c r="P2013">
        <v>33.2</v>
      </c>
      <c r="Q2013">
        <v>31.72</v>
      </c>
      <c r="R2013">
        <v>32.01</v>
      </c>
      <c r="S2013">
        <v>37.41</v>
      </c>
      <c r="T2013">
        <v>1.55</v>
      </c>
      <c r="U2013" t="s">
        <v>200</v>
      </c>
    </row>
    <row r="2014" spans="1:21">
      <c r="A2014" t="str">
        <f>"300549"</f>
        <v>300549</v>
      </c>
      <c r="B2014" t="s">
        <v>4057</v>
      </c>
      <c r="C2014">
        <v>3.78</v>
      </c>
      <c r="D2014">
        <v>19.24</v>
      </c>
      <c r="E2014">
        <v>0.7</v>
      </c>
      <c r="F2014">
        <v>19.24</v>
      </c>
      <c r="G2014">
        <v>19.25</v>
      </c>
      <c r="H2014">
        <v>46310</v>
      </c>
      <c r="I2014">
        <v>995</v>
      </c>
      <c r="J2014">
        <v>0.05</v>
      </c>
      <c r="K2014">
        <v>4.65</v>
      </c>
      <c r="L2014">
        <v>8869.19</v>
      </c>
      <c r="M2014" t="s">
        <v>2190</v>
      </c>
      <c r="N2014" t="s">
        <v>324</v>
      </c>
      <c r="O2014">
        <v>18.64</v>
      </c>
      <c r="P2014">
        <v>19.54</v>
      </c>
      <c r="Q2014">
        <v>18.6</v>
      </c>
      <c r="R2014">
        <v>18.54</v>
      </c>
      <c r="S2014">
        <v>66.59</v>
      </c>
      <c r="T2014">
        <v>1.33</v>
      </c>
      <c r="U2014" t="s">
        <v>102</v>
      </c>
    </row>
    <row r="2015" spans="1:21">
      <c r="A2015" t="str">
        <f>"300550"</f>
        <v>300550</v>
      </c>
      <c r="B2015" t="s">
        <v>4058</v>
      </c>
      <c r="C2015">
        <v>3.9</v>
      </c>
      <c r="D2015">
        <v>12.26</v>
      </c>
      <c r="E2015">
        <v>0.46</v>
      </c>
      <c r="F2015">
        <v>12.25</v>
      </c>
      <c r="G2015">
        <v>12.26</v>
      </c>
      <c r="H2015">
        <v>31314</v>
      </c>
      <c r="I2015">
        <v>408</v>
      </c>
      <c r="J2015">
        <v>0</v>
      </c>
      <c r="K2015">
        <v>1.2</v>
      </c>
      <c r="L2015">
        <v>3783.74</v>
      </c>
      <c r="M2015" t="s">
        <v>4059</v>
      </c>
      <c r="N2015" t="s">
        <v>30</v>
      </c>
      <c r="O2015">
        <v>11.87</v>
      </c>
      <c r="P2015">
        <v>12.28</v>
      </c>
      <c r="Q2015">
        <v>11.63</v>
      </c>
      <c r="R2015">
        <v>11.8</v>
      </c>
      <c r="S2015">
        <v>69.11</v>
      </c>
      <c r="T2015">
        <v>1.42</v>
      </c>
      <c r="U2015" t="s">
        <v>200</v>
      </c>
    </row>
    <row r="2016" spans="1:21">
      <c r="A2016" t="str">
        <f>"300551"</f>
        <v>300551</v>
      </c>
      <c r="B2016" t="s">
        <v>4060</v>
      </c>
      <c r="C2016">
        <v>-1.2</v>
      </c>
      <c r="D2016">
        <v>16.42</v>
      </c>
      <c r="E2016">
        <v>-0.2</v>
      </c>
      <c r="F2016">
        <v>16.39</v>
      </c>
      <c r="G2016">
        <v>16.42</v>
      </c>
      <c r="H2016">
        <v>47408</v>
      </c>
      <c r="I2016">
        <v>585</v>
      </c>
      <c r="J2016">
        <v>0</v>
      </c>
      <c r="K2016">
        <v>2.01</v>
      </c>
      <c r="L2016">
        <v>7738.89</v>
      </c>
      <c r="M2016" t="s">
        <v>4061</v>
      </c>
      <c r="N2016" t="s">
        <v>72</v>
      </c>
      <c r="O2016">
        <v>16.62</v>
      </c>
      <c r="P2016">
        <v>16.62</v>
      </c>
      <c r="Q2016">
        <v>16.16</v>
      </c>
      <c r="R2016">
        <v>16.62</v>
      </c>
      <c r="S2016" t="s">
        <v>40</v>
      </c>
      <c r="T2016">
        <v>0.84</v>
      </c>
      <c r="U2016" t="s">
        <v>848</v>
      </c>
    </row>
    <row r="2017" spans="1:21">
      <c r="A2017" t="str">
        <f>"300552"</f>
        <v>300552</v>
      </c>
      <c r="B2017" t="s">
        <v>4062</v>
      </c>
      <c r="C2017">
        <v>0.4</v>
      </c>
      <c r="D2017">
        <v>27.86</v>
      </c>
      <c r="E2017">
        <v>0.11</v>
      </c>
      <c r="F2017">
        <v>27.85</v>
      </c>
      <c r="G2017">
        <v>27.86</v>
      </c>
      <c r="H2017">
        <v>23141</v>
      </c>
      <c r="I2017">
        <v>523</v>
      </c>
      <c r="J2017">
        <v>0.36</v>
      </c>
      <c r="K2017">
        <v>2.09</v>
      </c>
      <c r="L2017">
        <v>6432.08</v>
      </c>
      <c r="M2017" t="s">
        <v>4063</v>
      </c>
      <c r="N2017" t="s">
        <v>30</v>
      </c>
      <c r="O2017">
        <v>27.81</v>
      </c>
      <c r="P2017">
        <v>28.34</v>
      </c>
      <c r="Q2017">
        <v>27.3</v>
      </c>
      <c r="R2017">
        <v>27.75</v>
      </c>
      <c r="S2017">
        <v>61.6</v>
      </c>
      <c r="T2017">
        <v>0.61</v>
      </c>
      <c r="U2017" t="s">
        <v>44</v>
      </c>
    </row>
    <row r="2018" spans="1:21">
      <c r="A2018" t="str">
        <f>"300553"</f>
        <v>300553</v>
      </c>
      <c r="B2018" t="s">
        <v>4064</v>
      </c>
      <c r="C2018">
        <v>1.84</v>
      </c>
      <c r="D2018">
        <v>34.28</v>
      </c>
      <c r="E2018">
        <v>0.62</v>
      </c>
      <c r="F2018">
        <v>34.27</v>
      </c>
      <c r="G2018">
        <v>34.28</v>
      </c>
      <c r="H2018">
        <v>3220</v>
      </c>
      <c r="I2018">
        <v>36</v>
      </c>
      <c r="J2018">
        <v>0</v>
      </c>
      <c r="K2018">
        <v>1.09</v>
      </c>
      <c r="L2018">
        <v>1100.22</v>
      </c>
      <c r="M2018" t="s">
        <v>4065</v>
      </c>
      <c r="N2018" t="s">
        <v>1028</v>
      </c>
      <c r="O2018">
        <v>33.66</v>
      </c>
      <c r="P2018">
        <v>34.58</v>
      </c>
      <c r="Q2018">
        <v>33.5</v>
      </c>
      <c r="R2018">
        <v>33.66</v>
      </c>
      <c r="S2018">
        <v>56.61</v>
      </c>
      <c r="T2018">
        <v>0.58</v>
      </c>
      <c r="U2018" t="s">
        <v>200</v>
      </c>
    </row>
    <row r="2019" spans="1:21">
      <c r="A2019" t="str">
        <f>"300554"</f>
        <v>300554</v>
      </c>
      <c r="B2019" t="s">
        <v>4066</v>
      </c>
      <c r="C2019">
        <v>2.18</v>
      </c>
      <c r="D2019">
        <v>16.37</v>
      </c>
      <c r="E2019">
        <v>0.35</v>
      </c>
      <c r="F2019">
        <v>16.36</v>
      </c>
      <c r="G2019">
        <v>16.37</v>
      </c>
      <c r="H2019">
        <v>15578</v>
      </c>
      <c r="I2019">
        <v>426</v>
      </c>
      <c r="J2019">
        <v>0.06</v>
      </c>
      <c r="K2019">
        <v>2.95</v>
      </c>
      <c r="L2019">
        <v>2530.89</v>
      </c>
      <c r="M2019" t="s">
        <v>530</v>
      </c>
      <c r="N2019" t="s">
        <v>750</v>
      </c>
      <c r="O2019">
        <v>16.02</v>
      </c>
      <c r="P2019">
        <v>16.38</v>
      </c>
      <c r="Q2019">
        <v>15.86</v>
      </c>
      <c r="R2019">
        <v>16.02</v>
      </c>
      <c r="S2019">
        <v>102.96</v>
      </c>
      <c r="T2019">
        <v>1.12</v>
      </c>
      <c r="U2019" t="s">
        <v>102</v>
      </c>
    </row>
    <row r="2020" spans="1:21">
      <c r="A2020" t="str">
        <f>"300555"</f>
        <v>300555</v>
      </c>
      <c r="B2020" t="s">
        <v>4067</v>
      </c>
      <c r="C2020">
        <v>2</v>
      </c>
      <c r="D2020">
        <v>8.68</v>
      </c>
      <c r="E2020">
        <v>0.17</v>
      </c>
      <c r="F2020">
        <v>8.68</v>
      </c>
      <c r="G2020">
        <v>8.69</v>
      </c>
      <c r="H2020">
        <v>23490</v>
      </c>
      <c r="I2020">
        <v>606</v>
      </c>
      <c r="J2020">
        <v>-0.11</v>
      </c>
      <c r="K2020">
        <v>1.33</v>
      </c>
      <c r="L2020">
        <v>2030.12</v>
      </c>
      <c r="M2020" t="s">
        <v>2486</v>
      </c>
      <c r="N2020" t="s">
        <v>153</v>
      </c>
      <c r="O2020">
        <v>8.47</v>
      </c>
      <c r="P2020">
        <v>8.71</v>
      </c>
      <c r="Q2020">
        <v>8.47</v>
      </c>
      <c r="R2020">
        <v>8.51</v>
      </c>
      <c r="S2020" t="s">
        <v>40</v>
      </c>
      <c r="T2020">
        <v>0.92</v>
      </c>
      <c r="U2020" t="s">
        <v>102</v>
      </c>
    </row>
    <row r="2021" spans="1:21">
      <c r="A2021" t="str">
        <f>"300556"</f>
        <v>300556</v>
      </c>
      <c r="B2021" t="s">
        <v>4068</v>
      </c>
      <c r="C2021">
        <v>-0.66</v>
      </c>
      <c r="D2021">
        <v>30</v>
      </c>
      <c r="E2021">
        <v>-0.2</v>
      </c>
      <c r="F2021">
        <v>29.99</v>
      </c>
      <c r="G2021">
        <v>30</v>
      </c>
      <c r="H2021">
        <v>138545</v>
      </c>
      <c r="I2021">
        <v>3336</v>
      </c>
      <c r="J2021">
        <v>0.07</v>
      </c>
      <c r="K2021">
        <v>15.36</v>
      </c>
      <c r="L2021">
        <v>42382.79</v>
      </c>
      <c r="M2021" t="s">
        <v>1755</v>
      </c>
      <c r="N2021" t="s">
        <v>30</v>
      </c>
      <c r="O2021">
        <v>30.2</v>
      </c>
      <c r="P2021">
        <v>31.46</v>
      </c>
      <c r="Q2021">
        <v>29.92</v>
      </c>
      <c r="R2021">
        <v>30.2</v>
      </c>
      <c r="S2021">
        <v>64.41</v>
      </c>
      <c r="T2021">
        <v>0.65</v>
      </c>
      <c r="U2021" t="s">
        <v>24</v>
      </c>
    </row>
    <row r="2022" spans="1:21">
      <c r="A2022" t="str">
        <f>"300557"</f>
        <v>300557</v>
      </c>
      <c r="B2022" t="s">
        <v>4069</v>
      </c>
      <c r="C2022">
        <v>3.02</v>
      </c>
      <c r="D2022">
        <v>28.28</v>
      </c>
      <c r="E2022">
        <v>0.83</v>
      </c>
      <c r="F2022">
        <v>28.26</v>
      </c>
      <c r="G2022">
        <v>28.28</v>
      </c>
      <c r="H2022">
        <v>7268</v>
      </c>
      <c r="I2022">
        <v>348</v>
      </c>
      <c r="J2022">
        <v>0.11</v>
      </c>
      <c r="K2022">
        <v>1.31</v>
      </c>
      <c r="L2022">
        <v>2041.48</v>
      </c>
      <c r="M2022" t="s">
        <v>4070</v>
      </c>
      <c r="N2022" t="s">
        <v>1028</v>
      </c>
      <c r="O2022">
        <v>27.45</v>
      </c>
      <c r="P2022">
        <v>28.45</v>
      </c>
      <c r="Q2022">
        <v>27.43</v>
      </c>
      <c r="R2022">
        <v>27.45</v>
      </c>
      <c r="S2022">
        <v>1300.94</v>
      </c>
      <c r="T2022">
        <v>1.16</v>
      </c>
      <c r="U2022" t="s">
        <v>267</v>
      </c>
    </row>
    <row r="2023" spans="1:21">
      <c r="A2023" t="str">
        <f>"300558"</f>
        <v>300558</v>
      </c>
      <c r="B2023" t="s">
        <v>4071</v>
      </c>
      <c r="C2023">
        <v>0.25</v>
      </c>
      <c r="D2023">
        <v>89.13</v>
      </c>
      <c r="E2023">
        <v>0.22</v>
      </c>
      <c r="F2023">
        <v>89.13</v>
      </c>
      <c r="G2023">
        <v>89.16</v>
      </c>
      <c r="H2023">
        <v>12738</v>
      </c>
      <c r="I2023">
        <v>146</v>
      </c>
      <c r="J2023">
        <v>-0.09</v>
      </c>
      <c r="K2023">
        <v>0.31</v>
      </c>
      <c r="L2023">
        <v>11360.59</v>
      </c>
      <c r="M2023" t="s">
        <v>4072</v>
      </c>
      <c r="N2023" t="s">
        <v>192</v>
      </c>
      <c r="O2023">
        <v>88.92</v>
      </c>
      <c r="P2023">
        <v>89.82</v>
      </c>
      <c r="Q2023">
        <v>88.2</v>
      </c>
      <c r="R2023">
        <v>88.91</v>
      </c>
      <c r="S2023">
        <v>80.04</v>
      </c>
      <c r="T2023">
        <v>0.39</v>
      </c>
      <c r="U2023" t="s">
        <v>200</v>
      </c>
    </row>
    <row r="2024" spans="1:21">
      <c r="A2024" t="str">
        <f>"300559"</f>
        <v>300559</v>
      </c>
      <c r="B2024" t="s">
        <v>4073</v>
      </c>
      <c r="C2024">
        <v>0.97</v>
      </c>
      <c r="D2024">
        <v>8.31</v>
      </c>
      <c r="E2024">
        <v>0.08</v>
      </c>
      <c r="F2024">
        <v>8.31</v>
      </c>
      <c r="G2024">
        <v>8.32</v>
      </c>
      <c r="H2024">
        <v>26842</v>
      </c>
      <c r="I2024">
        <v>1175</v>
      </c>
      <c r="J2024">
        <v>0.48</v>
      </c>
      <c r="K2024">
        <v>0.9</v>
      </c>
      <c r="L2024">
        <v>2223.81</v>
      </c>
      <c r="M2024" t="s">
        <v>4074</v>
      </c>
      <c r="N2024" t="s">
        <v>30</v>
      </c>
      <c r="O2024">
        <v>8.16</v>
      </c>
      <c r="P2024">
        <v>8.39</v>
      </c>
      <c r="Q2024">
        <v>8.16</v>
      </c>
      <c r="R2024">
        <v>8.23</v>
      </c>
      <c r="S2024">
        <v>27.11</v>
      </c>
      <c r="T2024">
        <v>0.67</v>
      </c>
      <c r="U2024" t="s">
        <v>196</v>
      </c>
    </row>
    <row r="2025" spans="1:21">
      <c r="A2025" t="str">
        <f>"300560"</f>
        <v>300560</v>
      </c>
      <c r="B2025" t="s">
        <v>4075</v>
      </c>
      <c r="C2025">
        <v>1.19</v>
      </c>
      <c r="D2025">
        <v>13.56</v>
      </c>
      <c r="E2025">
        <v>0.16</v>
      </c>
      <c r="F2025">
        <v>13.55</v>
      </c>
      <c r="G2025">
        <v>13.56</v>
      </c>
      <c r="H2025">
        <v>17172</v>
      </c>
      <c r="I2025">
        <v>206</v>
      </c>
      <c r="J2025">
        <v>0.15</v>
      </c>
      <c r="K2025">
        <v>0.91</v>
      </c>
      <c r="L2025">
        <v>2326.78</v>
      </c>
      <c r="M2025" t="s">
        <v>4076</v>
      </c>
      <c r="N2025" t="s">
        <v>153</v>
      </c>
      <c r="O2025">
        <v>13.4</v>
      </c>
      <c r="P2025">
        <v>13.69</v>
      </c>
      <c r="Q2025">
        <v>13.4</v>
      </c>
      <c r="R2025">
        <v>13.4</v>
      </c>
      <c r="S2025">
        <v>54.52</v>
      </c>
      <c r="T2025">
        <v>0.64</v>
      </c>
      <c r="U2025" t="s">
        <v>339</v>
      </c>
    </row>
    <row r="2026" spans="1:21">
      <c r="A2026" t="str">
        <f>"300561"</f>
        <v>300561</v>
      </c>
      <c r="B2026" t="s">
        <v>4077</v>
      </c>
      <c r="C2026">
        <v>1.91</v>
      </c>
      <c r="D2026">
        <v>10.68</v>
      </c>
      <c r="E2026">
        <v>0.2</v>
      </c>
      <c r="F2026">
        <v>10.68</v>
      </c>
      <c r="G2026">
        <v>10.69</v>
      </c>
      <c r="H2026">
        <v>27330</v>
      </c>
      <c r="I2026">
        <v>489</v>
      </c>
      <c r="J2026">
        <v>-0.08</v>
      </c>
      <c r="K2026">
        <v>1.56</v>
      </c>
      <c r="L2026">
        <v>2906.59</v>
      </c>
      <c r="M2026" t="s">
        <v>4078</v>
      </c>
      <c r="N2026" t="s">
        <v>30</v>
      </c>
      <c r="O2026">
        <v>10.58</v>
      </c>
      <c r="P2026">
        <v>10.72</v>
      </c>
      <c r="Q2026">
        <v>10.52</v>
      </c>
      <c r="R2026">
        <v>10.48</v>
      </c>
      <c r="S2026">
        <v>147.49</v>
      </c>
      <c r="T2026">
        <v>0.86</v>
      </c>
      <c r="U2026" t="s">
        <v>183</v>
      </c>
    </row>
    <row r="2027" spans="1:21">
      <c r="A2027" t="str">
        <f>"300562"</f>
        <v>300562</v>
      </c>
      <c r="B2027" t="s">
        <v>4079</v>
      </c>
      <c r="C2027">
        <v>3.45</v>
      </c>
      <c r="D2027">
        <v>12.9</v>
      </c>
      <c r="E2027">
        <v>0.43</v>
      </c>
      <c r="F2027">
        <v>12.9</v>
      </c>
      <c r="G2027">
        <v>12.91</v>
      </c>
      <c r="H2027">
        <v>67320</v>
      </c>
      <c r="I2027">
        <v>543</v>
      </c>
      <c r="J2027">
        <v>-0.07</v>
      </c>
      <c r="K2027">
        <v>4.6</v>
      </c>
      <c r="L2027">
        <v>8639.67</v>
      </c>
      <c r="M2027" t="s">
        <v>4080</v>
      </c>
      <c r="N2027" t="s">
        <v>186</v>
      </c>
      <c r="O2027">
        <v>12.46</v>
      </c>
      <c r="P2027">
        <v>13.08</v>
      </c>
      <c r="Q2027">
        <v>12.31</v>
      </c>
      <c r="R2027">
        <v>12.47</v>
      </c>
      <c r="S2027">
        <v>53.95</v>
      </c>
      <c r="T2027">
        <v>1.61</v>
      </c>
      <c r="U2027" t="s">
        <v>183</v>
      </c>
    </row>
    <row r="2028" spans="1:21">
      <c r="A2028" t="str">
        <f>"300563"</f>
        <v>300563</v>
      </c>
      <c r="B2028" t="s">
        <v>4081</v>
      </c>
      <c r="C2028">
        <v>8.29</v>
      </c>
      <c r="D2028">
        <v>15.29</v>
      </c>
      <c r="E2028">
        <v>1.17</v>
      </c>
      <c r="F2028">
        <v>15.28</v>
      </c>
      <c r="G2028">
        <v>15.29</v>
      </c>
      <c r="H2028">
        <v>110789</v>
      </c>
      <c r="I2028">
        <v>7307</v>
      </c>
      <c r="J2028">
        <v>1.87</v>
      </c>
      <c r="K2028">
        <v>9.05</v>
      </c>
      <c r="L2028">
        <v>16447.71</v>
      </c>
      <c r="M2028" t="s">
        <v>4082</v>
      </c>
      <c r="N2028" t="s">
        <v>153</v>
      </c>
      <c r="O2028">
        <v>14.4</v>
      </c>
      <c r="P2028">
        <v>15.37</v>
      </c>
      <c r="Q2028">
        <v>14.19</v>
      </c>
      <c r="R2028">
        <v>14.12</v>
      </c>
      <c r="S2028">
        <v>39.13</v>
      </c>
      <c r="T2028">
        <v>3.42</v>
      </c>
      <c r="U2028" t="s">
        <v>102</v>
      </c>
    </row>
    <row r="2029" spans="1:21">
      <c r="A2029" t="str">
        <f>"300564"</f>
        <v>300564</v>
      </c>
      <c r="B2029" t="s">
        <v>4083</v>
      </c>
      <c r="C2029">
        <v>1.1</v>
      </c>
      <c r="D2029">
        <v>21.15</v>
      </c>
      <c r="E2029">
        <v>0.23</v>
      </c>
      <c r="F2029">
        <v>21.15</v>
      </c>
      <c r="G2029">
        <v>21.17</v>
      </c>
      <c r="H2029">
        <v>7986</v>
      </c>
      <c r="I2029">
        <v>100</v>
      </c>
      <c r="J2029">
        <v>0</v>
      </c>
      <c r="K2029">
        <v>2.37</v>
      </c>
      <c r="L2029">
        <v>1685.61</v>
      </c>
      <c r="M2029" t="s">
        <v>4084</v>
      </c>
      <c r="N2029" t="s">
        <v>50</v>
      </c>
      <c r="O2029">
        <v>20.84</v>
      </c>
      <c r="P2029">
        <v>21.28</v>
      </c>
      <c r="Q2029">
        <v>20.8</v>
      </c>
      <c r="R2029">
        <v>20.92</v>
      </c>
      <c r="S2029">
        <v>19.1</v>
      </c>
      <c r="T2029">
        <v>0.74</v>
      </c>
      <c r="U2029" t="s">
        <v>694</v>
      </c>
    </row>
    <row r="2030" spans="1:21">
      <c r="A2030" t="str">
        <f>"300565"</f>
        <v>300565</v>
      </c>
      <c r="B2030" t="s">
        <v>4085</v>
      </c>
      <c r="C2030">
        <v>1.71</v>
      </c>
      <c r="D2030">
        <v>12.49</v>
      </c>
      <c r="E2030">
        <v>0.21</v>
      </c>
      <c r="F2030">
        <v>12.48</v>
      </c>
      <c r="G2030">
        <v>12.49</v>
      </c>
      <c r="H2030">
        <v>32017</v>
      </c>
      <c r="I2030">
        <v>426</v>
      </c>
      <c r="J2030">
        <v>0.08</v>
      </c>
      <c r="K2030">
        <v>1.98</v>
      </c>
      <c r="L2030">
        <v>3996.17</v>
      </c>
      <c r="M2030" t="s">
        <v>1053</v>
      </c>
      <c r="N2030" t="s">
        <v>153</v>
      </c>
      <c r="O2030">
        <v>12.5</v>
      </c>
      <c r="P2030">
        <v>12.64</v>
      </c>
      <c r="Q2030">
        <v>12.32</v>
      </c>
      <c r="R2030">
        <v>12.28</v>
      </c>
      <c r="S2030" t="s">
        <v>40</v>
      </c>
      <c r="T2030">
        <v>0.88</v>
      </c>
      <c r="U2030" t="s">
        <v>24</v>
      </c>
    </row>
    <row r="2031" spans="1:21">
      <c r="A2031" t="str">
        <f>"300566"</f>
        <v>300566</v>
      </c>
      <c r="B2031" t="s">
        <v>4086</v>
      </c>
      <c r="C2031">
        <v>1.23</v>
      </c>
      <c r="D2031">
        <v>26.27</v>
      </c>
      <c r="E2031">
        <v>0.32</v>
      </c>
      <c r="F2031">
        <v>26.27</v>
      </c>
      <c r="G2031">
        <v>26.28</v>
      </c>
      <c r="H2031">
        <v>20685</v>
      </c>
      <c r="I2031">
        <v>202</v>
      </c>
      <c r="J2031">
        <v>0.04</v>
      </c>
      <c r="K2031">
        <v>1.18</v>
      </c>
      <c r="L2031">
        <v>5431.96</v>
      </c>
      <c r="M2031" t="s">
        <v>4087</v>
      </c>
      <c r="N2031" t="s">
        <v>69</v>
      </c>
      <c r="O2031">
        <v>25.95</v>
      </c>
      <c r="P2031">
        <v>26.51</v>
      </c>
      <c r="Q2031">
        <v>25.81</v>
      </c>
      <c r="R2031">
        <v>25.95</v>
      </c>
      <c r="S2031">
        <v>44.98</v>
      </c>
      <c r="T2031">
        <v>0.62</v>
      </c>
      <c r="U2031" t="s">
        <v>200</v>
      </c>
    </row>
    <row r="2032" spans="1:21">
      <c r="A2032" t="str">
        <f>"300567"</f>
        <v>300567</v>
      </c>
      <c r="B2032" t="s">
        <v>4088</v>
      </c>
      <c r="C2032">
        <v>3.6</v>
      </c>
      <c r="D2032">
        <v>57.57</v>
      </c>
      <c r="E2032">
        <v>2</v>
      </c>
      <c r="F2032">
        <v>57.57</v>
      </c>
      <c r="G2032">
        <v>57.58</v>
      </c>
      <c r="H2032">
        <v>60741</v>
      </c>
      <c r="I2032">
        <v>640</v>
      </c>
      <c r="J2032">
        <v>0.07</v>
      </c>
      <c r="K2032">
        <v>3.01</v>
      </c>
      <c r="L2032">
        <v>34874.33</v>
      </c>
      <c r="M2032" t="s">
        <v>4089</v>
      </c>
      <c r="N2032" t="s">
        <v>1028</v>
      </c>
      <c r="O2032">
        <v>55.36</v>
      </c>
      <c r="P2032">
        <v>58.44</v>
      </c>
      <c r="Q2032">
        <v>55.36</v>
      </c>
      <c r="R2032">
        <v>55.57</v>
      </c>
      <c r="S2032">
        <v>65.84</v>
      </c>
      <c r="T2032">
        <v>1.09</v>
      </c>
      <c r="U2032" t="s">
        <v>267</v>
      </c>
    </row>
    <row r="2033" spans="1:21">
      <c r="A2033" t="str">
        <f>"300568"</f>
        <v>300568</v>
      </c>
      <c r="B2033" t="s">
        <v>4090</v>
      </c>
      <c r="C2033">
        <v>0.88</v>
      </c>
      <c r="D2033">
        <v>45.7</v>
      </c>
      <c r="E2033">
        <v>0.4</v>
      </c>
      <c r="F2033">
        <v>45.69</v>
      </c>
      <c r="G2033">
        <v>45.7</v>
      </c>
      <c r="H2033">
        <v>132229</v>
      </c>
      <c r="I2033">
        <v>1392</v>
      </c>
      <c r="J2033">
        <v>-0.12</v>
      </c>
      <c r="K2033">
        <v>1.98</v>
      </c>
      <c r="L2033">
        <v>60043.74</v>
      </c>
      <c r="M2033" t="s">
        <v>4091</v>
      </c>
      <c r="N2033" t="s">
        <v>309</v>
      </c>
      <c r="O2033">
        <v>45.08</v>
      </c>
      <c r="P2033">
        <v>46.15</v>
      </c>
      <c r="Q2033">
        <v>44.86</v>
      </c>
      <c r="R2033">
        <v>45.3</v>
      </c>
      <c r="S2033">
        <v>124.05</v>
      </c>
      <c r="T2033">
        <v>0.72</v>
      </c>
      <c r="U2033" t="s">
        <v>24</v>
      </c>
    </row>
    <row r="2034" spans="1:21">
      <c r="A2034" t="str">
        <f>"300569"</f>
        <v>300569</v>
      </c>
      <c r="B2034" t="s">
        <v>4092</v>
      </c>
      <c r="C2034">
        <v>1.16</v>
      </c>
      <c r="D2034">
        <v>15.65</v>
      </c>
      <c r="E2034">
        <v>0.18</v>
      </c>
      <c r="F2034">
        <v>15.65</v>
      </c>
      <c r="G2034">
        <v>15.66</v>
      </c>
      <c r="H2034">
        <v>819091</v>
      </c>
      <c r="I2034">
        <v>9343</v>
      </c>
      <c r="J2034">
        <v>-0.31</v>
      </c>
      <c r="K2034">
        <v>14.41</v>
      </c>
      <c r="L2034">
        <v>126358.6</v>
      </c>
      <c r="M2034" t="s">
        <v>4093</v>
      </c>
      <c r="N2034" t="s">
        <v>47</v>
      </c>
      <c r="O2034">
        <v>15.11</v>
      </c>
      <c r="P2034">
        <v>15.96</v>
      </c>
      <c r="Q2034">
        <v>14.81</v>
      </c>
      <c r="R2034">
        <v>15.47</v>
      </c>
      <c r="S2034">
        <v>33.23</v>
      </c>
      <c r="T2034">
        <v>1.37</v>
      </c>
      <c r="U2034" t="s">
        <v>221</v>
      </c>
    </row>
    <row r="2035" spans="1:21">
      <c r="A2035" t="str">
        <f>"300570"</f>
        <v>300570</v>
      </c>
      <c r="B2035" t="s">
        <v>4094</v>
      </c>
      <c r="C2035">
        <v>0.98</v>
      </c>
      <c r="D2035">
        <v>17.47</v>
      </c>
      <c r="E2035">
        <v>0.17</v>
      </c>
      <c r="F2035">
        <v>17.45</v>
      </c>
      <c r="G2035">
        <v>17.47</v>
      </c>
      <c r="H2035">
        <v>41841</v>
      </c>
      <c r="I2035">
        <v>738</v>
      </c>
      <c r="J2035">
        <v>0.46</v>
      </c>
      <c r="K2035">
        <v>2.16</v>
      </c>
      <c r="L2035">
        <v>7287.28</v>
      </c>
      <c r="M2035" t="s">
        <v>4095</v>
      </c>
      <c r="N2035" t="s">
        <v>69</v>
      </c>
      <c r="O2035">
        <v>17.54</v>
      </c>
      <c r="P2035">
        <v>17.66</v>
      </c>
      <c r="Q2035">
        <v>17.12</v>
      </c>
      <c r="R2035">
        <v>17.3</v>
      </c>
      <c r="S2035">
        <v>47.5</v>
      </c>
      <c r="T2035">
        <v>0.44</v>
      </c>
      <c r="U2035" t="s">
        <v>24</v>
      </c>
    </row>
    <row r="2036" spans="1:21">
      <c r="A2036" t="str">
        <f>"300571"</f>
        <v>300571</v>
      </c>
      <c r="B2036" t="s">
        <v>4096</v>
      </c>
      <c r="C2036">
        <v>0.96</v>
      </c>
      <c r="D2036">
        <v>44</v>
      </c>
      <c r="E2036">
        <v>0.42</v>
      </c>
      <c r="F2036">
        <v>43.99</v>
      </c>
      <c r="G2036">
        <v>44</v>
      </c>
      <c r="H2036">
        <v>37625</v>
      </c>
      <c r="I2036">
        <v>806</v>
      </c>
      <c r="J2036">
        <v>0.11</v>
      </c>
      <c r="K2036">
        <v>3.9</v>
      </c>
      <c r="L2036">
        <v>16505.72</v>
      </c>
      <c r="M2036" t="s">
        <v>4097</v>
      </c>
      <c r="N2036" t="s">
        <v>479</v>
      </c>
      <c r="O2036">
        <v>43.16</v>
      </c>
      <c r="P2036">
        <v>44.43</v>
      </c>
      <c r="Q2036">
        <v>43.16</v>
      </c>
      <c r="R2036">
        <v>43.58</v>
      </c>
      <c r="S2036">
        <v>16.83</v>
      </c>
      <c r="T2036">
        <v>0.47</v>
      </c>
      <c r="U2036" t="s">
        <v>200</v>
      </c>
    </row>
    <row r="2037" spans="1:21">
      <c r="A2037" t="str">
        <f>"300572"</f>
        <v>300572</v>
      </c>
      <c r="B2037" t="s">
        <v>4098</v>
      </c>
      <c r="C2037">
        <v>1.73</v>
      </c>
      <c r="D2037">
        <v>20.57</v>
      </c>
      <c r="E2037">
        <v>0.35</v>
      </c>
      <c r="F2037">
        <v>20.57</v>
      </c>
      <c r="G2037">
        <v>20.58</v>
      </c>
      <c r="H2037">
        <v>45694</v>
      </c>
      <c r="I2037">
        <v>869</v>
      </c>
      <c r="J2037">
        <v>0.59</v>
      </c>
      <c r="K2037">
        <v>2.59</v>
      </c>
      <c r="L2037">
        <v>9285.85</v>
      </c>
      <c r="M2037" t="s">
        <v>4099</v>
      </c>
      <c r="N2037" t="s">
        <v>1028</v>
      </c>
      <c r="O2037">
        <v>20.21</v>
      </c>
      <c r="P2037">
        <v>20.6</v>
      </c>
      <c r="Q2037">
        <v>19.98</v>
      </c>
      <c r="R2037">
        <v>20.22</v>
      </c>
      <c r="S2037">
        <v>131.02</v>
      </c>
      <c r="T2037">
        <v>0.87</v>
      </c>
      <c r="U2037" t="s">
        <v>24</v>
      </c>
    </row>
    <row r="2038" spans="1:21">
      <c r="A2038" t="str">
        <f>"300573"</f>
        <v>300573</v>
      </c>
      <c r="B2038" t="s">
        <v>4100</v>
      </c>
      <c r="C2038">
        <v>-1</v>
      </c>
      <c r="D2038">
        <v>145.1</v>
      </c>
      <c r="E2038">
        <v>-1.46</v>
      </c>
      <c r="F2038">
        <v>145.1</v>
      </c>
      <c r="G2038">
        <v>145.2</v>
      </c>
      <c r="H2038">
        <v>11154</v>
      </c>
      <c r="I2038">
        <v>114</v>
      </c>
      <c r="J2038">
        <v>-0.3</v>
      </c>
      <c r="K2038">
        <v>1.82</v>
      </c>
      <c r="L2038">
        <v>16181.84</v>
      </c>
      <c r="M2038" t="s">
        <v>4101</v>
      </c>
      <c r="N2038" t="s">
        <v>192</v>
      </c>
      <c r="O2038">
        <v>147.02</v>
      </c>
      <c r="P2038">
        <v>147.35</v>
      </c>
      <c r="Q2038">
        <v>143.34</v>
      </c>
      <c r="R2038">
        <v>146.56</v>
      </c>
      <c r="S2038">
        <v>57.41</v>
      </c>
      <c r="T2038">
        <v>0.59</v>
      </c>
      <c r="U2038" t="s">
        <v>141</v>
      </c>
    </row>
    <row r="2039" spans="1:21">
      <c r="A2039" t="str">
        <f>"300575"</f>
        <v>300575</v>
      </c>
      <c r="B2039" t="s">
        <v>4102</v>
      </c>
      <c r="C2039">
        <v>-0.18</v>
      </c>
      <c r="D2039">
        <v>21.95</v>
      </c>
      <c r="E2039">
        <v>-0.04</v>
      </c>
      <c r="F2039">
        <v>21.95</v>
      </c>
      <c r="G2039">
        <v>22</v>
      </c>
      <c r="H2039">
        <v>9280</v>
      </c>
      <c r="I2039">
        <v>48</v>
      </c>
      <c r="J2039">
        <v>-0.08</v>
      </c>
      <c r="K2039">
        <v>0.71</v>
      </c>
      <c r="L2039">
        <v>2035.33</v>
      </c>
      <c r="M2039" t="s">
        <v>4103</v>
      </c>
      <c r="N2039" t="s">
        <v>241</v>
      </c>
      <c r="O2039">
        <v>21.85</v>
      </c>
      <c r="P2039">
        <v>22.3</v>
      </c>
      <c r="Q2039">
        <v>21.65</v>
      </c>
      <c r="R2039">
        <v>21.99</v>
      </c>
      <c r="S2039">
        <v>26.97</v>
      </c>
      <c r="T2039">
        <v>0.66</v>
      </c>
      <c r="U2039" t="s">
        <v>102</v>
      </c>
    </row>
    <row r="2040" spans="1:21">
      <c r="A2040" t="str">
        <f>"300576"</f>
        <v>300576</v>
      </c>
      <c r="B2040" t="s">
        <v>4104</v>
      </c>
      <c r="C2040">
        <v>1.1</v>
      </c>
      <c r="D2040">
        <v>39.44</v>
      </c>
      <c r="E2040">
        <v>0.43</v>
      </c>
      <c r="F2040">
        <v>39.44</v>
      </c>
      <c r="G2040">
        <v>39.45</v>
      </c>
      <c r="H2040">
        <v>24963</v>
      </c>
      <c r="I2040">
        <v>530</v>
      </c>
      <c r="J2040">
        <v>0.1</v>
      </c>
      <c r="K2040">
        <v>2.25</v>
      </c>
      <c r="L2040">
        <v>9820.1</v>
      </c>
      <c r="M2040" t="s">
        <v>4105</v>
      </c>
      <c r="N2040" t="s">
        <v>416</v>
      </c>
      <c r="O2040">
        <v>39.06</v>
      </c>
      <c r="P2040">
        <v>39.6</v>
      </c>
      <c r="Q2040">
        <v>39.02</v>
      </c>
      <c r="R2040">
        <v>39.01</v>
      </c>
      <c r="S2040">
        <v>130.89</v>
      </c>
      <c r="T2040">
        <v>0.55</v>
      </c>
      <c r="U2040" t="s">
        <v>24</v>
      </c>
    </row>
    <row r="2041" spans="1:21">
      <c r="A2041" t="str">
        <f>"300577"</f>
        <v>300577</v>
      </c>
      <c r="B2041" t="s">
        <v>4106</v>
      </c>
      <c r="C2041">
        <v>-1.03</v>
      </c>
      <c r="D2041">
        <v>23.01</v>
      </c>
      <c r="E2041">
        <v>-0.24</v>
      </c>
      <c r="F2041">
        <v>23.01</v>
      </c>
      <c r="G2041">
        <v>23.08</v>
      </c>
      <c r="H2041">
        <v>15061</v>
      </c>
      <c r="I2041">
        <v>312</v>
      </c>
      <c r="J2041">
        <v>-0.16</v>
      </c>
      <c r="K2041">
        <v>1.17</v>
      </c>
      <c r="L2041">
        <v>3515.45</v>
      </c>
      <c r="M2041" t="s">
        <v>4107</v>
      </c>
      <c r="N2041" t="s">
        <v>664</v>
      </c>
      <c r="O2041">
        <v>23.16</v>
      </c>
      <c r="P2041">
        <v>23.67</v>
      </c>
      <c r="Q2041">
        <v>23</v>
      </c>
      <c r="R2041">
        <v>23.25</v>
      </c>
      <c r="S2041">
        <v>27.36</v>
      </c>
      <c r="T2041">
        <v>0.9</v>
      </c>
      <c r="U2041" t="s">
        <v>193</v>
      </c>
    </row>
    <row r="2042" spans="1:21">
      <c r="A2042" t="str">
        <f>"300578"</f>
        <v>300578</v>
      </c>
      <c r="B2042" t="s">
        <v>4108</v>
      </c>
      <c r="C2042">
        <v>0.52</v>
      </c>
      <c r="D2042">
        <v>26.92</v>
      </c>
      <c r="E2042">
        <v>0.14</v>
      </c>
      <c r="F2042">
        <v>26.92</v>
      </c>
      <c r="G2042">
        <v>26.93</v>
      </c>
      <c r="H2042">
        <v>66217</v>
      </c>
      <c r="I2042">
        <v>679</v>
      </c>
      <c r="J2042">
        <v>-0.1</v>
      </c>
      <c r="K2042">
        <v>4.1</v>
      </c>
      <c r="L2042">
        <v>18062.79</v>
      </c>
      <c r="M2042" t="s">
        <v>4109</v>
      </c>
      <c r="N2042" t="s">
        <v>153</v>
      </c>
      <c r="O2042">
        <v>26.78</v>
      </c>
      <c r="P2042">
        <v>27.96</v>
      </c>
      <c r="Q2042">
        <v>26.78</v>
      </c>
      <c r="R2042">
        <v>26.78</v>
      </c>
      <c r="S2042">
        <v>75.04</v>
      </c>
      <c r="T2042">
        <v>0.56</v>
      </c>
      <c r="U2042" t="s">
        <v>848</v>
      </c>
    </row>
    <row r="2043" spans="1:21">
      <c r="A2043" t="str">
        <f>"300579"</f>
        <v>300579</v>
      </c>
      <c r="B2043" t="s">
        <v>4110</v>
      </c>
      <c r="C2043">
        <v>-0.91</v>
      </c>
      <c r="D2043">
        <v>39.34</v>
      </c>
      <c r="E2043">
        <v>-0.36</v>
      </c>
      <c r="F2043">
        <v>39.34</v>
      </c>
      <c r="G2043">
        <v>39.35</v>
      </c>
      <c r="H2043">
        <v>35026</v>
      </c>
      <c r="I2043">
        <v>276</v>
      </c>
      <c r="J2043">
        <v>0.1</v>
      </c>
      <c r="K2043">
        <v>2.01</v>
      </c>
      <c r="L2043">
        <v>13739.26</v>
      </c>
      <c r="M2043" t="s">
        <v>4111</v>
      </c>
      <c r="N2043" t="s">
        <v>30</v>
      </c>
      <c r="O2043">
        <v>39.52</v>
      </c>
      <c r="P2043">
        <v>39.99</v>
      </c>
      <c r="Q2043">
        <v>38.81</v>
      </c>
      <c r="R2043">
        <v>39.7</v>
      </c>
      <c r="S2043">
        <v>253.28</v>
      </c>
      <c r="T2043">
        <v>0.83</v>
      </c>
      <c r="U2043" t="s">
        <v>44</v>
      </c>
    </row>
    <row r="2044" spans="1:21">
      <c r="A2044" t="str">
        <f>"300580"</f>
        <v>300580</v>
      </c>
      <c r="B2044" t="s">
        <v>4112</v>
      </c>
      <c r="C2044">
        <v>4.74</v>
      </c>
      <c r="D2044">
        <v>23.44</v>
      </c>
      <c r="E2044">
        <v>1.06</v>
      </c>
      <c r="F2044">
        <v>23.43</v>
      </c>
      <c r="G2044">
        <v>23.44</v>
      </c>
      <c r="H2044">
        <v>50697</v>
      </c>
      <c r="I2044">
        <v>569</v>
      </c>
      <c r="J2044">
        <v>-0.12</v>
      </c>
      <c r="K2044">
        <v>2.72</v>
      </c>
      <c r="L2044">
        <v>11772.55</v>
      </c>
      <c r="M2044" t="s">
        <v>4113</v>
      </c>
      <c r="N2044" t="s">
        <v>91</v>
      </c>
      <c r="O2044">
        <v>22.41</v>
      </c>
      <c r="P2044">
        <v>23.83</v>
      </c>
      <c r="Q2044">
        <v>22.32</v>
      </c>
      <c r="R2044">
        <v>22.38</v>
      </c>
      <c r="S2044">
        <v>22.18</v>
      </c>
      <c r="T2044">
        <v>1.14</v>
      </c>
      <c r="U2044" t="s">
        <v>102</v>
      </c>
    </row>
    <row r="2045" spans="1:21">
      <c r="A2045" t="str">
        <f>"300581"</f>
        <v>300581</v>
      </c>
      <c r="B2045" t="s">
        <v>4114</v>
      </c>
      <c r="C2045">
        <v>-1.2</v>
      </c>
      <c r="D2045">
        <v>28.06</v>
      </c>
      <c r="E2045">
        <v>-0.34</v>
      </c>
      <c r="F2045">
        <v>28.06</v>
      </c>
      <c r="G2045">
        <v>28.07</v>
      </c>
      <c r="H2045">
        <v>69658</v>
      </c>
      <c r="I2045">
        <v>959</v>
      </c>
      <c r="J2045">
        <v>0.07</v>
      </c>
      <c r="K2045">
        <v>2.25</v>
      </c>
      <c r="L2045">
        <v>19613.08</v>
      </c>
      <c r="M2045" t="s">
        <v>4115</v>
      </c>
      <c r="N2045" t="s">
        <v>611</v>
      </c>
      <c r="O2045">
        <v>28.15</v>
      </c>
      <c r="P2045">
        <v>28.59</v>
      </c>
      <c r="Q2045">
        <v>27.92</v>
      </c>
      <c r="R2045">
        <v>28.4</v>
      </c>
      <c r="S2045">
        <v>645.09</v>
      </c>
      <c r="T2045">
        <v>0.57</v>
      </c>
      <c r="U2045" t="s">
        <v>317</v>
      </c>
    </row>
    <row r="2046" spans="1:21">
      <c r="A2046" t="str">
        <f>"300582"</f>
        <v>300582</v>
      </c>
      <c r="B2046" t="s">
        <v>4116</v>
      </c>
      <c r="C2046">
        <v>1.6</v>
      </c>
      <c r="D2046">
        <v>27.26</v>
      </c>
      <c r="E2046">
        <v>0.43</v>
      </c>
      <c r="F2046">
        <v>27.25</v>
      </c>
      <c r="G2046">
        <v>27.26</v>
      </c>
      <c r="H2046">
        <v>75890</v>
      </c>
      <c r="I2046">
        <v>994</v>
      </c>
      <c r="J2046">
        <v>0.04</v>
      </c>
      <c r="K2046">
        <v>3.69</v>
      </c>
      <c r="L2046">
        <v>20634.92</v>
      </c>
      <c r="M2046" t="s">
        <v>4117</v>
      </c>
      <c r="N2046" t="s">
        <v>1246</v>
      </c>
      <c r="O2046">
        <v>26.71</v>
      </c>
      <c r="P2046">
        <v>27.56</v>
      </c>
      <c r="Q2046">
        <v>26.71</v>
      </c>
      <c r="R2046">
        <v>26.83</v>
      </c>
      <c r="S2046">
        <v>37.21</v>
      </c>
      <c r="T2046">
        <v>0.6</v>
      </c>
      <c r="U2046" t="s">
        <v>200</v>
      </c>
    </row>
    <row r="2047" spans="1:21">
      <c r="A2047" t="str">
        <f>"300583"</f>
        <v>300583</v>
      </c>
      <c r="B2047" t="s">
        <v>4118</v>
      </c>
      <c r="C2047">
        <v>0.5</v>
      </c>
      <c r="D2047">
        <v>22</v>
      </c>
      <c r="E2047">
        <v>0.11</v>
      </c>
      <c r="F2047">
        <v>21.96</v>
      </c>
      <c r="G2047">
        <v>22</v>
      </c>
      <c r="H2047">
        <v>5162</v>
      </c>
      <c r="I2047">
        <v>65</v>
      </c>
      <c r="J2047">
        <v>0.18</v>
      </c>
      <c r="K2047">
        <v>0.49</v>
      </c>
      <c r="L2047">
        <v>1139.3</v>
      </c>
      <c r="M2047" t="s">
        <v>1690</v>
      </c>
      <c r="N2047" t="s">
        <v>231</v>
      </c>
      <c r="O2047">
        <v>21.82</v>
      </c>
      <c r="P2047">
        <v>22.37</v>
      </c>
      <c r="Q2047">
        <v>21.8</v>
      </c>
      <c r="R2047">
        <v>21.89</v>
      </c>
      <c r="S2047">
        <v>56.03</v>
      </c>
      <c r="T2047">
        <v>0.74</v>
      </c>
      <c r="U2047" t="s">
        <v>221</v>
      </c>
    </row>
    <row r="2048" spans="1:21">
      <c r="A2048" t="str">
        <f>"300584"</f>
        <v>300584</v>
      </c>
      <c r="B2048" t="s">
        <v>4119</v>
      </c>
      <c r="C2048">
        <v>1.51</v>
      </c>
      <c r="D2048">
        <v>16.83</v>
      </c>
      <c r="E2048">
        <v>0.25</v>
      </c>
      <c r="F2048">
        <v>16.83</v>
      </c>
      <c r="G2048">
        <v>16.86</v>
      </c>
      <c r="H2048">
        <v>3610</v>
      </c>
      <c r="I2048">
        <v>27</v>
      </c>
      <c r="J2048">
        <v>-0.17</v>
      </c>
      <c r="K2048">
        <v>0.56</v>
      </c>
      <c r="L2048">
        <v>605.89</v>
      </c>
      <c r="M2048" t="s">
        <v>1749</v>
      </c>
      <c r="N2048" t="s">
        <v>192</v>
      </c>
      <c r="O2048">
        <v>16.61</v>
      </c>
      <c r="P2048">
        <v>16.97</v>
      </c>
      <c r="Q2048">
        <v>16.55</v>
      </c>
      <c r="R2048">
        <v>16.58</v>
      </c>
      <c r="S2048">
        <v>53.65</v>
      </c>
      <c r="T2048">
        <v>0.68</v>
      </c>
      <c r="U2048" t="s">
        <v>102</v>
      </c>
    </row>
    <row r="2049" spans="1:21">
      <c r="A2049" t="str">
        <f>"300585"</f>
        <v>300585</v>
      </c>
      <c r="B2049" t="s">
        <v>4120</v>
      </c>
      <c r="C2049">
        <v>3.22</v>
      </c>
      <c r="D2049">
        <v>14.44</v>
      </c>
      <c r="E2049">
        <v>0.45</v>
      </c>
      <c r="F2049">
        <v>14.43</v>
      </c>
      <c r="G2049">
        <v>14.44</v>
      </c>
      <c r="H2049">
        <v>59275</v>
      </c>
      <c r="I2049">
        <v>516</v>
      </c>
      <c r="J2049">
        <v>0.21</v>
      </c>
      <c r="K2049">
        <v>3.7</v>
      </c>
      <c r="L2049">
        <v>8450.8</v>
      </c>
      <c r="M2049" t="s">
        <v>415</v>
      </c>
      <c r="N2049" t="s">
        <v>91</v>
      </c>
      <c r="O2049">
        <v>13.99</v>
      </c>
      <c r="P2049">
        <v>14.6</v>
      </c>
      <c r="Q2049">
        <v>13.78</v>
      </c>
      <c r="R2049">
        <v>13.99</v>
      </c>
      <c r="S2049">
        <v>59.36</v>
      </c>
      <c r="T2049">
        <v>1.01</v>
      </c>
      <c r="U2049" t="s">
        <v>102</v>
      </c>
    </row>
    <row r="2050" spans="1:21">
      <c r="A2050" t="str">
        <f>"300586"</f>
        <v>300586</v>
      </c>
      <c r="B2050" t="s">
        <v>4121</v>
      </c>
      <c r="C2050">
        <v>9.31</v>
      </c>
      <c r="D2050">
        <v>12.92</v>
      </c>
      <c r="E2050">
        <v>1.1</v>
      </c>
      <c r="F2050">
        <v>12.91</v>
      </c>
      <c r="G2050">
        <v>12.92</v>
      </c>
      <c r="H2050">
        <v>356483</v>
      </c>
      <c r="I2050">
        <v>7157</v>
      </c>
      <c r="J2050">
        <v>1.17</v>
      </c>
      <c r="K2050">
        <v>12.34</v>
      </c>
      <c r="L2050">
        <v>44618.23</v>
      </c>
      <c r="M2050" t="s">
        <v>4122</v>
      </c>
      <c r="N2050" t="s">
        <v>309</v>
      </c>
      <c r="O2050">
        <v>11.7</v>
      </c>
      <c r="P2050">
        <v>13.18</v>
      </c>
      <c r="Q2050">
        <v>11.62</v>
      </c>
      <c r="R2050">
        <v>11.82</v>
      </c>
      <c r="S2050">
        <v>321.37</v>
      </c>
      <c r="T2050">
        <v>2.39</v>
      </c>
      <c r="U2050" t="s">
        <v>183</v>
      </c>
    </row>
    <row r="2051" spans="1:21">
      <c r="A2051" t="str">
        <f>"300587"</f>
        <v>300587</v>
      </c>
      <c r="B2051" t="s">
        <v>4123</v>
      </c>
      <c r="C2051">
        <v>4.26</v>
      </c>
      <c r="D2051">
        <v>20.09</v>
      </c>
      <c r="E2051">
        <v>0.82</v>
      </c>
      <c r="F2051">
        <v>20.08</v>
      </c>
      <c r="G2051">
        <v>20.09</v>
      </c>
      <c r="H2051">
        <v>179676</v>
      </c>
      <c r="I2051">
        <v>1609</v>
      </c>
      <c r="J2051">
        <v>0.15</v>
      </c>
      <c r="K2051">
        <v>3.78</v>
      </c>
      <c r="L2051">
        <v>36066.46</v>
      </c>
      <c r="M2051" t="s">
        <v>4124</v>
      </c>
      <c r="N2051" t="s">
        <v>1509</v>
      </c>
      <c r="O2051">
        <v>19.27</v>
      </c>
      <c r="P2051">
        <v>20.8</v>
      </c>
      <c r="Q2051">
        <v>19.09</v>
      </c>
      <c r="R2051">
        <v>19.27</v>
      </c>
      <c r="S2051">
        <v>30.44</v>
      </c>
      <c r="T2051">
        <v>2.51</v>
      </c>
      <c r="U2051" t="s">
        <v>200</v>
      </c>
    </row>
    <row r="2052" spans="1:21">
      <c r="A2052" t="str">
        <f>"300588"</f>
        <v>300588</v>
      </c>
      <c r="B2052" t="s">
        <v>4125</v>
      </c>
      <c r="C2052">
        <v>-1.57</v>
      </c>
      <c r="D2052">
        <v>12.55</v>
      </c>
      <c r="E2052">
        <v>-0.2</v>
      </c>
      <c r="F2052">
        <v>12.55</v>
      </c>
      <c r="G2052">
        <v>12.56</v>
      </c>
      <c r="H2052">
        <v>80716</v>
      </c>
      <c r="I2052">
        <v>1479</v>
      </c>
      <c r="J2052">
        <v>-0.31</v>
      </c>
      <c r="K2052">
        <v>7.69</v>
      </c>
      <c r="L2052">
        <v>10460.54</v>
      </c>
      <c r="M2052" t="s">
        <v>456</v>
      </c>
      <c r="N2052" t="s">
        <v>30</v>
      </c>
      <c r="O2052">
        <v>12.91</v>
      </c>
      <c r="P2052">
        <v>13.39</v>
      </c>
      <c r="Q2052">
        <v>12.55</v>
      </c>
      <c r="R2052">
        <v>12.75</v>
      </c>
      <c r="S2052" t="s">
        <v>40</v>
      </c>
      <c r="T2052">
        <v>1.02</v>
      </c>
      <c r="U2052" t="s">
        <v>210</v>
      </c>
    </row>
    <row r="2053" spans="1:21">
      <c r="A2053" t="str">
        <f>"300589"</f>
        <v>300589</v>
      </c>
      <c r="B2053" t="s">
        <v>4126</v>
      </c>
      <c r="C2053">
        <v>4.01</v>
      </c>
      <c r="D2053">
        <v>25.17</v>
      </c>
      <c r="E2053">
        <v>0.97</v>
      </c>
      <c r="F2053">
        <v>25.16</v>
      </c>
      <c r="G2053">
        <v>25.17</v>
      </c>
      <c r="H2053">
        <v>138392</v>
      </c>
      <c r="I2053">
        <v>840</v>
      </c>
      <c r="J2053">
        <v>0</v>
      </c>
      <c r="K2053">
        <v>13.52</v>
      </c>
      <c r="L2053">
        <v>34837.77</v>
      </c>
      <c r="M2053" t="s">
        <v>4127</v>
      </c>
      <c r="N2053" t="s">
        <v>3063</v>
      </c>
      <c r="O2053">
        <v>24.23</v>
      </c>
      <c r="P2053">
        <v>26.2</v>
      </c>
      <c r="Q2053">
        <v>24.1</v>
      </c>
      <c r="R2053">
        <v>24.2</v>
      </c>
      <c r="S2053">
        <v>240.34</v>
      </c>
      <c r="T2053">
        <v>2.08</v>
      </c>
      <c r="U2053" t="s">
        <v>183</v>
      </c>
    </row>
    <row r="2054" spans="1:21">
      <c r="A2054" t="str">
        <f>"300590"</f>
        <v>300590</v>
      </c>
      <c r="B2054" t="s">
        <v>4128</v>
      </c>
      <c r="C2054">
        <v>-0.64</v>
      </c>
      <c r="D2054">
        <v>24.82</v>
      </c>
      <c r="E2054">
        <v>-0.16</v>
      </c>
      <c r="F2054">
        <v>24.81</v>
      </c>
      <c r="G2054">
        <v>24.82</v>
      </c>
      <c r="H2054">
        <v>54868</v>
      </c>
      <c r="I2054">
        <v>1287</v>
      </c>
      <c r="J2054">
        <v>-0.19</v>
      </c>
      <c r="K2054">
        <v>2.61</v>
      </c>
      <c r="L2054">
        <v>13732.69</v>
      </c>
      <c r="M2054" t="s">
        <v>2438</v>
      </c>
      <c r="N2054" t="s">
        <v>153</v>
      </c>
      <c r="O2054">
        <v>24.8</v>
      </c>
      <c r="P2054">
        <v>25.38</v>
      </c>
      <c r="Q2054">
        <v>24.71</v>
      </c>
      <c r="R2054">
        <v>24.98</v>
      </c>
      <c r="S2054">
        <v>50.71</v>
      </c>
      <c r="T2054">
        <v>0.71</v>
      </c>
      <c r="U2054" t="s">
        <v>848</v>
      </c>
    </row>
    <row r="2055" spans="1:21">
      <c r="A2055" t="str">
        <f>"300591"</f>
        <v>300591</v>
      </c>
      <c r="B2055" t="s">
        <v>4129</v>
      </c>
      <c r="C2055">
        <v>0.31</v>
      </c>
      <c r="D2055">
        <v>6.54</v>
      </c>
      <c r="E2055">
        <v>0.02</v>
      </c>
      <c r="F2055">
        <v>6.53</v>
      </c>
      <c r="G2055">
        <v>6.54</v>
      </c>
      <c r="H2055">
        <v>55536</v>
      </c>
      <c r="I2055">
        <v>1017</v>
      </c>
      <c r="J2055">
        <v>0.15</v>
      </c>
      <c r="K2055">
        <v>2.47</v>
      </c>
      <c r="L2055">
        <v>3611.87</v>
      </c>
      <c r="M2055" t="s">
        <v>4130</v>
      </c>
      <c r="N2055" t="s">
        <v>1061</v>
      </c>
      <c r="O2055">
        <v>6.48</v>
      </c>
      <c r="P2055">
        <v>6.57</v>
      </c>
      <c r="Q2055">
        <v>6.43</v>
      </c>
      <c r="R2055">
        <v>6.52</v>
      </c>
      <c r="S2055" t="s">
        <v>40</v>
      </c>
      <c r="T2055">
        <v>0.96</v>
      </c>
      <c r="U2055" t="s">
        <v>183</v>
      </c>
    </row>
    <row r="2056" spans="1:21">
      <c r="A2056" t="str">
        <f>"300592"</f>
        <v>300592</v>
      </c>
      <c r="B2056" t="s">
        <v>4131</v>
      </c>
      <c r="C2056">
        <v>-0.69</v>
      </c>
      <c r="D2056">
        <v>20.16</v>
      </c>
      <c r="E2056">
        <v>-0.14</v>
      </c>
      <c r="F2056">
        <v>20.16</v>
      </c>
      <c r="G2056">
        <v>20.17</v>
      </c>
      <c r="H2056">
        <v>18795</v>
      </c>
      <c r="I2056">
        <v>171</v>
      </c>
      <c r="J2056">
        <v>-0.14</v>
      </c>
      <c r="K2056">
        <v>1.97</v>
      </c>
      <c r="L2056">
        <v>3791.27</v>
      </c>
      <c r="M2056" t="s">
        <v>4132</v>
      </c>
      <c r="N2056" t="s">
        <v>63</v>
      </c>
      <c r="O2056">
        <v>20.15</v>
      </c>
      <c r="P2056">
        <v>20.72</v>
      </c>
      <c r="Q2056">
        <v>19.7</v>
      </c>
      <c r="R2056">
        <v>20.3</v>
      </c>
      <c r="S2056" t="s">
        <v>40</v>
      </c>
      <c r="T2056">
        <v>0.49</v>
      </c>
      <c r="U2056" t="s">
        <v>204</v>
      </c>
    </row>
    <row r="2057" spans="1:21">
      <c r="A2057" t="str">
        <f>"300593"</f>
        <v>300593</v>
      </c>
      <c r="B2057" t="s">
        <v>4133</v>
      </c>
      <c r="C2057">
        <v>1.55</v>
      </c>
      <c r="D2057">
        <v>53.7</v>
      </c>
      <c r="E2057">
        <v>0.82</v>
      </c>
      <c r="F2057">
        <v>53.69</v>
      </c>
      <c r="G2057">
        <v>53.7</v>
      </c>
      <c r="H2057">
        <v>31891</v>
      </c>
      <c r="I2057">
        <v>265</v>
      </c>
      <c r="J2057">
        <v>-0.08</v>
      </c>
      <c r="K2057">
        <v>1.5</v>
      </c>
      <c r="L2057">
        <v>16890.78</v>
      </c>
      <c r="M2057" t="s">
        <v>4134</v>
      </c>
      <c r="N2057" t="s">
        <v>47</v>
      </c>
      <c r="O2057">
        <v>52.17</v>
      </c>
      <c r="P2057">
        <v>54.28</v>
      </c>
      <c r="Q2057">
        <v>51.36</v>
      </c>
      <c r="R2057">
        <v>52.88</v>
      </c>
      <c r="S2057">
        <v>54.8</v>
      </c>
      <c r="T2057">
        <v>0.8</v>
      </c>
      <c r="U2057" t="s">
        <v>44</v>
      </c>
    </row>
    <row r="2058" spans="1:21">
      <c r="A2058" t="str">
        <f>"300594"</f>
        <v>300594</v>
      </c>
      <c r="B2058" t="s">
        <v>4135</v>
      </c>
      <c r="C2058">
        <v>-0.98</v>
      </c>
      <c r="D2058">
        <v>19.27</v>
      </c>
      <c r="E2058">
        <v>-0.19</v>
      </c>
      <c r="F2058">
        <v>19.27</v>
      </c>
      <c r="G2058">
        <v>19.28</v>
      </c>
      <c r="H2058">
        <v>27426</v>
      </c>
      <c r="I2058">
        <v>382</v>
      </c>
      <c r="J2058">
        <v>-0.04</v>
      </c>
      <c r="K2058">
        <v>4.06</v>
      </c>
      <c r="L2058">
        <v>5318.79</v>
      </c>
      <c r="M2058" t="s">
        <v>4136</v>
      </c>
      <c r="N2058" t="s">
        <v>43</v>
      </c>
      <c r="O2058">
        <v>19.37</v>
      </c>
      <c r="P2058">
        <v>19.65</v>
      </c>
      <c r="Q2058">
        <v>19.23</v>
      </c>
      <c r="R2058">
        <v>19.46</v>
      </c>
      <c r="S2058" t="s">
        <v>40</v>
      </c>
      <c r="T2058">
        <v>0.82</v>
      </c>
      <c r="U2058" t="s">
        <v>221</v>
      </c>
    </row>
    <row r="2059" spans="1:21">
      <c r="A2059" t="str">
        <f>"300595"</f>
        <v>300595</v>
      </c>
      <c r="B2059" t="s">
        <v>4137</v>
      </c>
      <c r="C2059">
        <v>-1.22</v>
      </c>
      <c r="D2059">
        <v>61.54</v>
      </c>
      <c r="E2059">
        <v>-0.76</v>
      </c>
      <c r="F2059">
        <v>61.54</v>
      </c>
      <c r="G2059">
        <v>61.55</v>
      </c>
      <c r="H2059">
        <v>89602</v>
      </c>
      <c r="I2059">
        <v>504</v>
      </c>
      <c r="J2059">
        <v>0.05</v>
      </c>
      <c r="K2059">
        <v>1.46</v>
      </c>
      <c r="L2059">
        <v>55333.9</v>
      </c>
      <c r="M2059" t="s">
        <v>4138</v>
      </c>
      <c r="N2059" t="s">
        <v>186</v>
      </c>
      <c r="O2059">
        <v>62.18</v>
      </c>
      <c r="P2059">
        <v>62.96</v>
      </c>
      <c r="Q2059">
        <v>60.94</v>
      </c>
      <c r="R2059">
        <v>62.3</v>
      </c>
      <c r="S2059">
        <v>88.62</v>
      </c>
      <c r="T2059">
        <v>0.88</v>
      </c>
      <c r="U2059" t="s">
        <v>193</v>
      </c>
    </row>
    <row r="2060" spans="1:21">
      <c r="A2060" t="str">
        <f>"300596"</f>
        <v>300596</v>
      </c>
      <c r="B2060" t="s">
        <v>4139</v>
      </c>
      <c r="C2060">
        <v>2.21</v>
      </c>
      <c r="D2060">
        <v>42.57</v>
      </c>
      <c r="E2060">
        <v>0.92</v>
      </c>
      <c r="F2060">
        <v>42.57</v>
      </c>
      <c r="G2060">
        <v>42.58</v>
      </c>
      <c r="H2060">
        <v>15791</v>
      </c>
      <c r="I2060">
        <v>219</v>
      </c>
      <c r="J2060">
        <v>0.35</v>
      </c>
      <c r="K2060">
        <v>0.85</v>
      </c>
      <c r="L2060">
        <v>6696.76</v>
      </c>
      <c r="M2060" t="s">
        <v>4140</v>
      </c>
      <c r="N2060" t="s">
        <v>309</v>
      </c>
      <c r="O2060">
        <v>41.66</v>
      </c>
      <c r="P2060">
        <v>42.65</v>
      </c>
      <c r="Q2060">
        <v>41.61</v>
      </c>
      <c r="R2060">
        <v>41.65</v>
      </c>
      <c r="S2060">
        <v>21.84</v>
      </c>
      <c r="T2060">
        <v>0.98</v>
      </c>
      <c r="U2060" t="s">
        <v>360</v>
      </c>
    </row>
    <row r="2061" spans="1:21">
      <c r="A2061" t="str">
        <f>"300597"</f>
        <v>300597</v>
      </c>
      <c r="B2061" t="s">
        <v>4141</v>
      </c>
      <c r="C2061">
        <v>0.55</v>
      </c>
      <c r="D2061">
        <v>9.15</v>
      </c>
      <c r="E2061">
        <v>0.05</v>
      </c>
      <c r="F2061">
        <v>9.15</v>
      </c>
      <c r="G2061">
        <v>9.16</v>
      </c>
      <c r="H2061">
        <v>39719</v>
      </c>
      <c r="I2061">
        <v>524</v>
      </c>
      <c r="J2061">
        <v>-0.1</v>
      </c>
      <c r="K2061">
        <v>1.8</v>
      </c>
      <c r="L2061">
        <v>3633.57</v>
      </c>
      <c r="M2061" t="s">
        <v>4142</v>
      </c>
      <c r="N2061" t="s">
        <v>153</v>
      </c>
      <c r="O2061">
        <v>9.14</v>
      </c>
      <c r="P2061">
        <v>9.24</v>
      </c>
      <c r="Q2061">
        <v>9.01</v>
      </c>
      <c r="R2061">
        <v>9.1</v>
      </c>
      <c r="S2061">
        <v>87.09</v>
      </c>
      <c r="T2061">
        <v>0.82</v>
      </c>
      <c r="U2061" t="s">
        <v>92</v>
      </c>
    </row>
    <row r="2062" spans="1:21">
      <c r="A2062" t="str">
        <f>"300598"</f>
        <v>300598</v>
      </c>
      <c r="B2062" t="s">
        <v>4143</v>
      </c>
      <c r="C2062">
        <v>0.22</v>
      </c>
      <c r="D2062">
        <v>72.48</v>
      </c>
      <c r="E2062">
        <v>0.16</v>
      </c>
      <c r="F2062">
        <v>72.47</v>
      </c>
      <c r="G2062">
        <v>72.48</v>
      </c>
      <c r="H2062">
        <v>54199</v>
      </c>
      <c r="I2062">
        <v>958</v>
      </c>
      <c r="J2062">
        <v>0.12</v>
      </c>
      <c r="K2062">
        <v>3.39</v>
      </c>
      <c r="L2062">
        <v>39147.33</v>
      </c>
      <c r="M2062" t="s">
        <v>4144</v>
      </c>
      <c r="N2062" t="s">
        <v>30</v>
      </c>
      <c r="O2062">
        <v>72.6</v>
      </c>
      <c r="P2062">
        <v>72.96</v>
      </c>
      <c r="Q2062">
        <v>71.44</v>
      </c>
      <c r="R2062">
        <v>72.32</v>
      </c>
      <c r="S2062" t="s">
        <v>40</v>
      </c>
      <c r="T2062">
        <v>0.64</v>
      </c>
      <c r="U2062" t="s">
        <v>102</v>
      </c>
    </row>
    <row r="2063" spans="1:21">
      <c r="A2063" t="str">
        <f>"300599"</f>
        <v>300599</v>
      </c>
      <c r="B2063" t="s">
        <v>4145</v>
      </c>
      <c r="C2063" t="s">
        <v>40</v>
      </c>
      <c r="D2063">
        <v>11.2</v>
      </c>
      <c r="E2063" t="s">
        <v>40</v>
      </c>
      <c r="G2063" t="s">
        <v>40</v>
      </c>
      <c r="H2063">
        <v>0</v>
      </c>
      <c r="I2063">
        <v>0</v>
      </c>
      <c r="J2063" t="s">
        <v>40</v>
      </c>
      <c r="K2063" t="s">
        <v>40</v>
      </c>
      <c r="L2063">
        <v>0</v>
      </c>
      <c r="M2063" t="s">
        <v>4146</v>
      </c>
      <c r="N2063" t="s">
        <v>839</v>
      </c>
      <c r="O2063" t="s">
        <v>40</v>
      </c>
      <c r="P2063" t="s">
        <v>40</v>
      </c>
      <c r="Q2063" t="s">
        <v>40</v>
      </c>
      <c r="R2063">
        <v>11.2</v>
      </c>
      <c r="S2063">
        <v>26.9</v>
      </c>
      <c r="T2063">
        <v>0</v>
      </c>
      <c r="U2063" t="s">
        <v>183</v>
      </c>
    </row>
    <row r="2064" spans="1:21">
      <c r="A2064" t="str">
        <f>"300600"</f>
        <v>300600</v>
      </c>
      <c r="B2064" t="s">
        <v>4147</v>
      </c>
      <c r="C2064">
        <v>-1.97</v>
      </c>
      <c r="D2064">
        <v>10.97</v>
      </c>
      <c r="E2064">
        <v>-0.22</v>
      </c>
      <c r="F2064">
        <v>10.97</v>
      </c>
      <c r="G2064">
        <v>10.98</v>
      </c>
      <c r="H2064">
        <v>121689</v>
      </c>
      <c r="I2064">
        <v>1025</v>
      </c>
      <c r="J2064">
        <v>0.09</v>
      </c>
      <c r="K2064">
        <v>5.34</v>
      </c>
      <c r="L2064">
        <v>13419.32</v>
      </c>
      <c r="M2064" t="s">
        <v>4148</v>
      </c>
      <c r="N2064" t="s">
        <v>3063</v>
      </c>
      <c r="O2064">
        <v>11.13</v>
      </c>
      <c r="P2064">
        <v>11.35</v>
      </c>
      <c r="Q2064">
        <v>10.88</v>
      </c>
      <c r="R2064">
        <v>11.19</v>
      </c>
      <c r="S2064" t="s">
        <v>40</v>
      </c>
      <c r="T2064">
        <v>1.26</v>
      </c>
      <c r="U2064" t="s">
        <v>102</v>
      </c>
    </row>
    <row r="2065" spans="1:21">
      <c r="A2065" t="str">
        <f>"300601"</f>
        <v>300601</v>
      </c>
      <c r="B2065" t="s">
        <v>4149</v>
      </c>
      <c r="C2065">
        <v>0.72</v>
      </c>
      <c r="D2065">
        <v>112.72</v>
      </c>
      <c r="E2065">
        <v>0.81</v>
      </c>
      <c r="F2065">
        <v>112.71</v>
      </c>
      <c r="G2065">
        <v>112.72</v>
      </c>
      <c r="H2065">
        <v>39159</v>
      </c>
      <c r="I2065">
        <v>418</v>
      </c>
      <c r="J2065">
        <v>0.02</v>
      </c>
      <c r="K2065">
        <v>0.73</v>
      </c>
      <c r="L2065">
        <v>44111.57</v>
      </c>
      <c r="M2065" t="s">
        <v>4150</v>
      </c>
      <c r="N2065" t="s">
        <v>231</v>
      </c>
      <c r="O2065">
        <v>112.2</v>
      </c>
      <c r="P2065">
        <v>113.48</v>
      </c>
      <c r="Q2065">
        <v>111.3</v>
      </c>
      <c r="R2065">
        <v>111.91</v>
      </c>
      <c r="S2065">
        <v>56.05</v>
      </c>
      <c r="T2065">
        <v>0.51</v>
      </c>
      <c r="U2065" t="s">
        <v>24</v>
      </c>
    </row>
    <row r="2066" spans="1:21">
      <c r="A2066" t="str">
        <f>"300602"</f>
        <v>300602</v>
      </c>
      <c r="B2066" t="s">
        <v>4151</v>
      </c>
      <c r="C2066">
        <v>0.31</v>
      </c>
      <c r="D2066">
        <v>22.72</v>
      </c>
      <c r="E2066">
        <v>0.07</v>
      </c>
      <c r="F2066">
        <v>22.71</v>
      </c>
      <c r="G2066">
        <v>22.72</v>
      </c>
      <c r="H2066">
        <v>43504</v>
      </c>
      <c r="I2066">
        <v>411</v>
      </c>
      <c r="J2066">
        <v>0.09</v>
      </c>
      <c r="K2066">
        <v>1.4</v>
      </c>
      <c r="L2066">
        <v>9938.47</v>
      </c>
      <c r="M2066" t="s">
        <v>4152</v>
      </c>
      <c r="N2066" t="s">
        <v>69</v>
      </c>
      <c r="O2066">
        <v>22.65</v>
      </c>
      <c r="P2066">
        <v>23.3</v>
      </c>
      <c r="Q2066">
        <v>22.61</v>
      </c>
      <c r="R2066">
        <v>22.65</v>
      </c>
      <c r="S2066">
        <v>60.5</v>
      </c>
      <c r="T2066">
        <v>0.9</v>
      </c>
      <c r="U2066" t="s">
        <v>24</v>
      </c>
    </row>
    <row r="2067" spans="1:21">
      <c r="A2067" t="str">
        <f>"300603"</f>
        <v>300603</v>
      </c>
      <c r="B2067" t="s">
        <v>4153</v>
      </c>
      <c r="C2067">
        <v>1.06</v>
      </c>
      <c r="D2067">
        <v>8.58</v>
      </c>
      <c r="E2067">
        <v>0.09</v>
      </c>
      <c r="F2067">
        <v>8.58</v>
      </c>
      <c r="G2067">
        <v>8.59</v>
      </c>
      <c r="H2067">
        <v>23284</v>
      </c>
      <c r="I2067">
        <v>218</v>
      </c>
      <c r="J2067">
        <v>-0.22</v>
      </c>
      <c r="K2067">
        <v>0.97</v>
      </c>
      <c r="L2067">
        <v>1995.81</v>
      </c>
      <c r="M2067" t="s">
        <v>4154</v>
      </c>
      <c r="N2067" t="s">
        <v>153</v>
      </c>
      <c r="O2067">
        <v>8.49</v>
      </c>
      <c r="P2067">
        <v>8.65</v>
      </c>
      <c r="Q2067">
        <v>8.47</v>
      </c>
      <c r="R2067">
        <v>8.49</v>
      </c>
      <c r="S2067" t="s">
        <v>40</v>
      </c>
      <c r="T2067">
        <v>0.71</v>
      </c>
      <c r="U2067" t="s">
        <v>210</v>
      </c>
    </row>
    <row r="2068" spans="1:21">
      <c r="A2068" t="str">
        <f>"300604"</f>
        <v>300604</v>
      </c>
      <c r="B2068" t="s">
        <v>4155</v>
      </c>
      <c r="C2068">
        <v>1.41</v>
      </c>
      <c r="D2068">
        <v>52.68</v>
      </c>
      <c r="E2068">
        <v>0.73</v>
      </c>
      <c r="F2068">
        <v>52.65</v>
      </c>
      <c r="G2068">
        <v>52.68</v>
      </c>
      <c r="H2068">
        <v>101227</v>
      </c>
      <c r="I2068">
        <v>705</v>
      </c>
      <c r="J2068">
        <v>0.3</v>
      </c>
      <c r="K2068">
        <v>2.37</v>
      </c>
      <c r="L2068">
        <v>52888.31</v>
      </c>
      <c r="M2068" t="s">
        <v>4156</v>
      </c>
      <c r="N2068" t="s">
        <v>324</v>
      </c>
      <c r="O2068">
        <v>51.42</v>
      </c>
      <c r="P2068">
        <v>53.19</v>
      </c>
      <c r="Q2068">
        <v>51.05</v>
      </c>
      <c r="R2068">
        <v>51.95</v>
      </c>
      <c r="S2068">
        <v>184.37</v>
      </c>
      <c r="T2068">
        <v>0.55</v>
      </c>
      <c r="U2068" t="s">
        <v>200</v>
      </c>
    </row>
    <row r="2069" spans="1:21">
      <c r="A2069" t="str">
        <f>"300605"</f>
        <v>300605</v>
      </c>
      <c r="B2069" t="s">
        <v>4157</v>
      </c>
      <c r="C2069">
        <v>3.39</v>
      </c>
      <c r="D2069">
        <v>14.65</v>
      </c>
      <c r="E2069">
        <v>0.48</v>
      </c>
      <c r="F2069">
        <v>14.65</v>
      </c>
      <c r="G2069">
        <v>14.66</v>
      </c>
      <c r="H2069">
        <v>65664</v>
      </c>
      <c r="I2069">
        <v>814</v>
      </c>
      <c r="J2069">
        <v>0.07</v>
      </c>
      <c r="K2069">
        <v>6.38</v>
      </c>
      <c r="L2069">
        <v>9523.9</v>
      </c>
      <c r="M2069" t="s">
        <v>4158</v>
      </c>
      <c r="N2069" t="s">
        <v>30</v>
      </c>
      <c r="O2069">
        <v>14.17</v>
      </c>
      <c r="P2069">
        <v>14.75</v>
      </c>
      <c r="Q2069">
        <v>14.12</v>
      </c>
      <c r="R2069">
        <v>14.17</v>
      </c>
      <c r="S2069">
        <v>42.7</v>
      </c>
      <c r="T2069">
        <v>0.73</v>
      </c>
      <c r="U2069" t="s">
        <v>339</v>
      </c>
    </row>
    <row r="2070" spans="1:21">
      <c r="A2070" t="str">
        <f>"300606"</f>
        <v>300606</v>
      </c>
      <c r="B2070" t="s">
        <v>4159</v>
      </c>
      <c r="C2070">
        <v>0.43</v>
      </c>
      <c r="D2070">
        <v>21.03</v>
      </c>
      <c r="E2070">
        <v>0.09</v>
      </c>
      <c r="F2070">
        <v>21.02</v>
      </c>
      <c r="G2070">
        <v>21.03</v>
      </c>
      <c r="H2070">
        <v>36288</v>
      </c>
      <c r="I2070">
        <v>291</v>
      </c>
      <c r="J2070">
        <v>0.05</v>
      </c>
      <c r="K2070">
        <v>6.54</v>
      </c>
      <c r="L2070">
        <v>7605.06</v>
      </c>
      <c r="M2070" t="s">
        <v>4160</v>
      </c>
      <c r="N2070" t="s">
        <v>347</v>
      </c>
      <c r="O2070">
        <v>20.91</v>
      </c>
      <c r="P2070">
        <v>21.31</v>
      </c>
      <c r="Q2070">
        <v>20.49</v>
      </c>
      <c r="R2070">
        <v>20.94</v>
      </c>
      <c r="S2070">
        <v>50.62</v>
      </c>
      <c r="T2070">
        <v>1.12</v>
      </c>
      <c r="U2070" t="s">
        <v>183</v>
      </c>
    </row>
    <row r="2071" spans="1:21">
      <c r="A2071" t="str">
        <f>"300607"</f>
        <v>300607</v>
      </c>
      <c r="B2071" t="s">
        <v>4161</v>
      </c>
      <c r="C2071">
        <v>1.55</v>
      </c>
      <c r="D2071">
        <v>16.43</v>
      </c>
      <c r="E2071">
        <v>0.25</v>
      </c>
      <c r="F2071">
        <v>16.42</v>
      </c>
      <c r="G2071">
        <v>16.43</v>
      </c>
      <c r="H2071">
        <v>67038</v>
      </c>
      <c r="I2071">
        <v>432</v>
      </c>
      <c r="J2071">
        <v>0.06</v>
      </c>
      <c r="K2071">
        <v>2.41</v>
      </c>
      <c r="L2071">
        <v>10961.11</v>
      </c>
      <c r="M2071" t="s">
        <v>4162</v>
      </c>
      <c r="N2071" t="s">
        <v>324</v>
      </c>
      <c r="O2071">
        <v>16.25</v>
      </c>
      <c r="P2071">
        <v>16.59</v>
      </c>
      <c r="Q2071">
        <v>16.05</v>
      </c>
      <c r="R2071">
        <v>16.18</v>
      </c>
      <c r="S2071">
        <v>39.67</v>
      </c>
      <c r="T2071">
        <v>1.02</v>
      </c>
      <c r="U2071" t="s">
        <v>183</v>
      </c>
    </row>
    <row r="2072" spans="1:21">
      <c r="A2072" t="str">
        <f>"300608"</f>
        <v>300608</v>
      </c>
      <c r="B2072" t="s">
        <v>4163</v>
      </c>
      <c r="C2072">
        <v>-0.14</v>
      </c>
      <c r="D2072">
        <v>13.89</v>
      </c>
      <c r="E2072">
        <v>-0.02</v>
      </c>
      <c r="F2072">
        <v>13.89</v>
      </c>
      <c r="G2072">
        <v>13.9</v>
      </c>
      <c r="H2072">
        <v>144365</v>
      </c>
      <c r="I2072">
        <v>2785</v>
      </c>
      <c r="J2072">
        <v>-0.35</v>
      </c>
      <c r="K2072">
        <v>8.85</v>
      </c>
      <c r="L2072">
        <v>20060</v>
      </c>
      <c r="M2072" t="s">
        <v>1912</v>
      </c>
      <c r="N2072" t="s">
        <v>30</v>
      </c>
      <c r="O2072">
        <v>13.95</v>
      </c>
      <c r="P2072">
        <v>14.14</v>
      </c>
      <c r="Q2072">
        <v>13.71</v>
      </c>
      <c r="R2072">
        <v>13.91</v>
      </c>
      <c r="S2072" t="s">
        <v>40</v>
      </c>
      <c r="T2072">
        <v>0.49</v>
      </c>
      <c r="U2072" t="s">
        <v>44</v>
      </c>
    </row>
    <row r="2073" spans="1:21">
      <c r="A2073" t="str">
        <f>"300609"</f>
        <v>300609</v>
      </c>
      <c r="B2073" t="s">
        <v>4164</v>
      </c>
      <c r="C2073">
        <v>2.98</v>
      </c>
      <c r="D2073">
        <v>17.96</v>
      </c>
      <c r="E2073">
        <v>0.52</v>
      </c>
      <c r="F2073">
        <v>17.96</v>
      </c>
      <c r="G2073">
        <v>17.97</v>
      </c>
      <c r="H2073">
        <v>66246</v>
      </c>
      <c r="I2073">
        <v>650</v>
      </c>
      <c r="J2073">
        <v>-0.05</v>
      </c>
      <c r="K2073">
        <v>7.3</v>
      </c>
      <c r="L2073">
        <v>12010.71</v>
      </c>
      <c r="M2073" t="s">
        <v>2717</v>
      </c>
      <c r="N2073" t="s">
        <v>479</v>
      </c>
      <c r="O2073">
        <v>17.62</v>
      </c>
      <c r="P2073">
        <v>18.42</v>
      </c>
      <c r="Q2073">
        <v>17.62</v>
      </c>
      <c r="R2073">
        <v>17.44</v>
      </c>
      <c r="S2073">
        <v>67.39</v>
      </c>
      <c r="T2073">
        <v>1.17</v>
      </c>
      <c r="U2073" t="s">
        <v>848</v>
      </c>
    </row>
    <row r="2074" spans="1:21">
      <c r="A2074" t="str">
        <f>"300610"</f>
        <v>300610</v>
      </c>
      <c r="B2074" t="s">
        <v>4165</v>
      </c>
      <c r="C2074">
        <v>13.35</v>
      </c>
      <c r="D2074">
        <v>17.32</v>
      </c>
      <c r="E2074">
        <v>2.04</v>
      </c>
      <c r="F2074">
        <v>17.31</v>
      </c>
      <c r="G2074">
        <v>17.32</v>
      </c>
      <c r="H2074">
        <v>338900</v>
      </c>
      <c r="I2074">
        <v>2537</v>
      </c>
      <c r="J2074">
        <v>0.64</v>
      </c>
      <c r="K2074">
        <v>21.28</v>
      </c>
      <c r="L2074">
        <v>56940.37</v>
      </c>
      <c r="M2074" t="s">
        <v>4166</v>
      </c>
      <c r="N2074" t="s">
        <v>309</v>
      </c>
      <c r="O2074">
        <v>15.2</v>
      </c>
      <c r="P2074">
        <v>18.18</v>
      </c>
      <c r="Q2074">
        <v>15</v>
      </c>
      <c r="R2074">
        <v>15.28</v>
      </c>
      <c r="S2074">
        <v>22.46</v>
      </c>
      <c r="T2074">
        <v>4.32</v>
      </c>
      <c r="U2074" t="s">
        <v>102</v>
      </c>
    </row>
    <row r="2075" spans="1:21">
      <c r="A2075" t="str">
        <f>"300611"</f>
        <v>300611</v>
      </c>
      <c r="B2075" t="s">
        <v>4167</v>
      </c>
      <c r="C2075">
        <v>14.74</v>
      </c>
      <c r="D2075">
        <v>11.99</v>
      </c>
      <c r="E2075">
        <v>1.54</v>
      </c>
      <c r="F2075">
        <v>11.99</v>
      </c>
      <c r="G2075">
        <v>12</v>
      </c>
      <c r="H2075">
        <v>190342</v>
      </c>
      <c r="I2075">
        <v>3989</v>
      </c>
      <c r="J2075">
        <v>0.08</v>
      </c>
      <c r="K2075">
        <v>15.64</v>
      </c>
      <c r="L2075">
        <v>21769.48</v>
      </c>
      <c r="M2075" t="s">
        <v>4168</v>
      </c>
      <c r="N2075" t="s">
        <v>91</v>
      </c>
      <c r="O2075">
        <v>10.34</v>
      </c>
      <c r="P2075">
        <v>12.53</v>
      </c>
      <c r="Q2075">
        <v>10.34</v>
      </c>
      <c r="R2075">
        <v>10.45</v>
      </c>
      <c r="S2075">
        <v>57.09</v>
      </c>
      <c r="T2075">
        <v>2.17</v>
      </c>
      <c r="U2075" t="s">
        <v>200</v>
      </c>
    </row>
    <row r="2076" spans="1:21">
      <c r="A2076" t="str">
        <f>"300612"</f>
        <v>300612</v>
      </c>
      <c r="B2076" t="s">
        <v>4169</v>
      </c>
      <c r="C2076">
        <v>0.29</v>
      </c>
      <c r="D2076">
        <v>13.65</v>
      </c>
      <c r="E2076">
        <v>0.04</v>
      </c>
      <c r="F2076">
        <v>13.64</v>
      </c>
      <c r="G2076">
        <v>13.65</v>
      </c>
      <c r="H2076">
        <v>16749</v>
      </c>
      <c r="I2076">
        <v>270</v>
      </c>
      <c r="J2076">
        <v>0.07</v>
      </c>
      <c r="K2076">
        <v>1.05</v>
      </c>
      <c r="L2076">
        <v>2282.55</v>
      </c>
      <c r="M2076" t="s">
        <v>2051</v>
      </c>
      <c r="N2076" t="s">
        <v>482</v>
      </c>
      <c r="O2076">
        <v>13.55</v>
      </c>
      <c r="P2076">
        <v>13.73</v>
      </c>
      <c r="Q2076">
        <v>13.49</v>
      </c>
      <c r="R2076">
        <v>13.61</v>
      </c>
      <c r="S2076" t="s">
        <v>40</v>
      </c>
      <c r="T2076">
        <v>0.58</v>
      </c>
      <c r="U2076" t="s">
        <v>44</v>
      </c>
    </row>
    <row r="2077" spans="1:21">
      <c r="A2077" t="str">
        <f>"300613"</f>
        <v>300613</v>
      </c>
      <c r="B2077" t="s">
        <v>4170</v>
      </c>
      <c r="C2077">
        <v>1.66</v>
      </c>
      <c r="D2077">
        <v>151.68</v>
      </c>
      <c r="E2077">
        <v>2.48</v>
      </c>
      <c r="F2077">
        <v>151.62</v>
      </c>
      <c r="G2077">
        <v>151.68</v>
      </c>
      <c r="H2077">
        <v>19201</v>
      </c>
      <c r="I2077">
        <v>195</v>
      </c>
      <c r="J2077">
        <v>0.07</v>
      </c>
      <c r="K2077">
        <v>1.69</v>
      </c>
      <c r="L2077">
        <v>29037.87</v>
      </c>
      <c r="M2077" t="s">
        <v>4171</v>
      </c>
      <c r="N2077" t="s">
        <v>1246</v>
      </c>
      <c r="O2077">
        <v>149.22</v>
      </c>
      <c r="P2077">
        <v>153.55</v>
      </c>
      <c r="Q2077">
        <v>148.91</v>
      </c>
      <c r="R2077">
        <v>149.2</v>
      </c>
      <c r="S2077">
        <v>50.8</v>
      </c>
      <c r="T2077">
        <v>0.88</v>
      </c>
      <c r="U2077" t="s">
        <v>848</v>
      </c>
    </row>
    <row r="2078" spans="1:21">
      <c r="A2078" t="str">
        <f>"300614"</f>
        <v>300614</v>
      </c>
      <c r="B2078" t="s">
        <v>4172</v>
      </c>
      <c r="C2078">
        <v>-3.2</v>
      </c>
      <c r="D2078">
        <v>53.92</v>
      </c>
      <c r="E2078">
        <v>-1.78</v>
      </c>
      <c r="F2078">
        <v>53.91</v>
      </c>
      <c r="G2078">
        <v>53.92</v>
      </c>
      <c r="H2078">
        <v>45191</v>
      </c>
      <c r="I2078">
        <v>588</v>
      </c>
      <c r="J2078">
        <v>-0.1</v>
      </c>
      <c r="K2078">
        <v>11.88</v>
      </c>
      <c r="L2078">
        <v>24340.73</v>
      </c>
      <c r="M2078" t="s">
        <v>4173</v>
      </c>
      <c r="N2078" t="s">
        <v>33</v>
      </c>
      <c r="O2078">
        <v>55.7</v>
      </c>
      <c r="P2078">
        <v>55.7</v>
      </c>
      <c r="Q2078">
        <v>52.7</v>
      </c>
      <c r="R2078">
        <v>55.7</v>
      </c>
      <c r="S2078">
        <v>67.5</v>
      </c>
      <c r="T2078">
        <v>0.56</v>
      </c>
      <c r="U2078" t="s">
        <v>224</v>
      </c>
    </row>
    <row r="2079" spans="1:21">
      <c r="A2079" t="str">
        <f>"300615"</f>
        <v>300615</v>
      </c>
      <c r="B2079" t="s">
        <v>4174</v>
      </c>
      <c r="C2079">
        <v>5.01</v>
      </c>
      <c r="D2079">
        <v>13.84</v>
      </c>
      <c r="E2079">
        <v>0.66</v>
      </c>
      <c r="F2079">
        <v>13.83</v>
      </c>
      <c r="G2079">
        <v>13.84</v>
      </c>
      <c r="H2079">
        <v>67797</v>
      </c>
      <c r="I2079">
        <v>970</v>
      </c>
      <c r="J2079">
        <v>-0.21</v>
      </c>
      <c r="K2079">
        <v>6.6</v>
      </c>
      <c r="L2079">
        <v>9426.18</v>
      </c>
      <c r="M2079" t="s">
        <v>4175</v>
      </c>
      <c r="N2079" t="s">
        <v>69</v>
      </c>
      <c r="O2079">
        <v>13.28</v>
      </c>
      <c r="P2079">
        <v>14.49</v>
      </c>
      <c r="Q2079">
        <v>13.2</v>
      </c>
      <c r="R2079">
        <v>13.18</v>
      </c>
      <c r="S2079">
        <v>176.36</v>
      </c>
      <c r="T2079">
        <v>1.66</v>
      </c>
      <c r="U2079" t="s">
        <v>24</v>
      </c>
    </row>
    <row r="2080" spans="1:21">
      <c r="A2080" t="str">
        <f>"300616"</f>
        <v>300616</v>
      </c>
      <c r="B2080" t="s">
        <v>4176</v>
      </c>
      <c r="C2080">
        <v>2.67</v>
      </c>
      <c r="D2080">
        <v>45.45</v>
      </c>
      <c r="E2080">
        <v>1.18</v>
      </c>
      <c r="F2080">
        <v>45.43</v>
      </c>
      <c r="G2080">
        <v>45.45</v>
      </c>
      <c r="H2080">
        <v>13718</v>
      </c>
      <c r="I2080">
        <v>289</v>
      </c>
      <c r="J2080">
        <v>0.13</v>
      </c>
      <c r="K2080">
        <v>1.05</v>
      </c>
      <c r="L2080">
        <v>6166.93</v>
      </c>
      <c r="M2080" t="s">
        <v>4177</v>
      </c>
      <c r="N2080" t="s">
        <v>910</v>
      </c>
      <c r="O2080">
        <v>44.18</v>
      </c>
      <c r="P2080">
        <v>45.47</v>
      </c>
      <c r="Q2080">
        <v>43.93</v>
      </c>
      <c r="R2080">
        <v>44.27</v>
      </c>
      <c r="S2080">
        <v>77.8</v>
      </c>
      <c r="T2080">
        <v>0.85</v>
      </c>
      <c r="U2080" t="s">
        <v>183</v>
      </c>
    </row>
    <row r="2081" spans="1:21">
      <c r="A2081" t="str">
        <f>"300617"</f>
        <v>300617</v>
      </c>
      <c r="B2081" t="s">
        <v>4178</v>
      </c>
      <c r="C2081">
        <v>3.21</v>
      </c>
      <c r="D2081">
        <v>76.22</v>
      </c>
      <c r="E2081">
        <v>2.37</v>
      </c>
      <c r="F2081">
        <v>76.22</v>
      </c>
      <c r="G2081">
        <v>76.25</v>
      </c>
      <c r="H2081">
        <v>30158</v>
      </c>
      <c r="I2081">
        <v>138</v>
      </c>
      <c r="J2081">
        <v>0.25</v>
      </c>
      <c r="K2081">
        <v>4.66</v>
      </c>
      <c r="L2081">
        <v>22882.1</v>
      </c>
      <c r="M2081" t="s">
        <v>4179</v>
      </c>
      <c r="N2081" t="s">
        <v>47</v>
      </c>
      <c r="O2081">
        <v>73.86</v>
      </c>
      <c r="P2081">
        <v>77.99</v>
      </c>
      <c r="Q2081">
        <v>72.06</v>
      </c>
      <c r="R2081">
        <v>73.85</v>
      </c>
      <c r="S2081">
        <v>60.76</v>
      </c>
      <c r="T2081">
        <v>1.34</v>
      </c>
      <c r="U2081" t="s">
        <v>102</v>
      </c>
    </row>
    <row r="2082" spans="1:21">
      <c r="A2082" t="str">
        <f>"300618"</f>
        <v>300618</v>
      </c>
      <c r="B2082" t="s">
        <v>4180</v>
      </c>
      <c r="C2082">
        <v>0.98</v>
      </c>
      <c r="D2082">
        <v>79.37</v>
      </c>
      <c r="E2082">
        <v>0.77</v>
      </c>
      <c r="F2082">
        <v>79.37</v>
      </c>
      <c r="G2082">
        <v>79.38</v>
      </c>
      <c r="H2082">
        <v>63294</v>
      </c>
      <c r="I2082">
        <v>1417</v>
      </c>
      <c r="J2082">
        <v>0.21</v>
      </c>
      <c r="K2082">
        <v>2.85</v>
      </c>
      <c r="L2082">
        <v>50360.31</v>
      </c>
      <c r="M2082" t="s">
        <v>4181</v>
      </c>
      <c r="N2082" t="s">
        <v>523</v>
      </c>
      <c r="O2082">
        <v>78.57</v>
      </c>
      <c r="P2082">
        <v>80.8</v>
      </c>
      <c r="Q2082">
        <v>78.1</v>
      </c>
      <c r="R2082">
        <v>78.6</v>
      </c>
      <c r="S2082">
        <v>37.91</v>
      </c>
      <c r="T2082">
        <v>1.27</v>
      </c>
      <c r="U2082" t="s">
        <v>102</v>
      </c>
    </row>
    <row r="2083" spans="1:21">
      <c r="A2083" t="str">
        <f>"300619"</f>
        <v>300619</v>
      </c>
      <c r="B2083" t="s">
        <v>4182</v>
      </c>
      <c r="C2083">
        <v>5.76</v>
      </c>
      <c r="D2083">
        <v>104.7</v>
      </c>
      <c r="E2083">
        <v>5.7</v>
      </c>
      <c r="F2083">
        <v>104.7</v>
      </c>
      <c r="G2083">
        <v>104.74</v>
      </c>
      <c r="H2083">
        <v>118945</v>
      </c>
      <c r="I2083">
        <v>2078</v>
      </c>
      <c r="J2083">
        <v>0.67</v>
      </c>
      <c r="K2083">
        <v>20.73</v>
      </c>
      <c r="L2083">
        <v>120567.05</v>
      </c>
      <c r="M2083" t="s">
        <v>4183</v>
      </c>
      <c r="N2083" t="s">
        <v>324</v>
      </c>
      <c r="O2083">
        <v>97</v>
      </c>
      <c r="P2083">
        <v>108</v>
      </c>
      <c r="Q2083">
        <v>94.23</v>
      </c>
      <c r="R2083">
        <v>99</v>
      </c>
      <c r="S2083">
        <v>307.97</v>
      </c>
      <c r="T2083">
        <v>1.15</v>
      </c>
      <c r="U2083" t="s">
        <v>183</v>
      </c>
    </row>
    <row r="2084" spans="1:21">
      <c r="A2084" t="str">
        <f>"300620"</f>
        <v>300620</v>
      </c>
      <c r="B2084" t="s">
        <v>4184</v>
      </c>
      <c r="C2084">
        <v>2.1</v>
      </c>
      <c r="D2084">
        <v>52.58</v>
      </c>
      <c r="E2084">
        <v>1.08</v>
      </c>
      <c r="F2084">
        <v>52.58</v>
      </c>
      <c r="G2084">
        <v>52.6</v>
      </c>
      <c r="H2084">
        <v>55956</v>
      </c>
      <c r="I2084">
        <v>475</v>
      </c>
      <c r="J2084">
        <v>-0.01</v>
      </c>
      <c r="K2084">
        <v>3.51</v>
      </c>
      <c r="L2084">
        <v>29573.66</v>
      </c>
      <c r="M2084" t="s">
        <v>4185</v>
      </c>
      <c r="N2084" t="s">
        <v>69</v>
      </c>
      <c r="O2084">
        <v>51.78</v>
      </c>
      <c r="P2084">
        <v>54.88</v>
      </c>
      <c r="Q2084">
        <v>51.11</v>
      </c>
      <c r="R2084">
        <v>51.5</v>
      </c>
      <c r="S2084">
        <v>66.33</v>
      </c>
      <c r="T2084">
        <v>1.13</v>
      </c>
      <c r="U2084" t="s">
        <v>183</v>
      </c>
    </row>
    <row r="2085" spans="1:21">
      <c r="A2085" t="str">
        <f>"300621"</f>
        <v>300621</v>
      </c>
      <c r="B2085" t="s">
        <v>4186</v>
      </c>
      <c r="C2085">
        <v>0.88</v>
      </c>
      <c r="D2085">
        <v>9.21</v>
      </c>
      <c r="E2085">
        <v>0.08</v>
      </c>
      <c r="F2085">
        <v>9.21</v>
      </c>
      <c r="G2085">
        <v>9.22</v>
      </c>
      <c r="H2085">
        <v>17300</v>
      </c>
      <c r="I2085">
        <v>236</v>
      </c>
      <c r="J2085">
        <v>0.11</v>
      </c>
      <c r="K2085">
        <v>0.89</v>
      </c>
      <c r="L2085">
        <v>1593.63</v>
      </c>
      <c r="M2085" t="s">
        <v>1659</v>
      </c>
      <c r="N2085" t="s">
        <v>1189</v>
      </c>
      <c r="O2085">
        <v>9.11</v>
      </c>
      <c r="P2085">
        <v>9.25</v>
      </c>
      <c r="Q2085">
        <v>9.11</v>
      </c>
      <c r="R2085">
        <v>9.13</v>
      </c>
      <c r="S2085">
        <v>42.44</v>
      </c>
      <c r="T2085">
        <v>0.77</v>
      </c>
      <c r="U2085" t="s">
        <v>24</v>
      </c>
    </row>
    <row r="2086" spans="1:21">
      <c r="A2086" t="str">
        <f>"300622"</f>
        <v>300622</v>
      </c>
      <c r="B2086" t="s">
        <v>4187</v>
      </c>
      <c r="C2086">
        <v>1.5</v>
      </c>
      <c r="D2086">
        <v>20.94</v>
      </c>
      <c r="E2086">
        <v>0.31</v>
      </c>
      <c r="F2086">
        <v>20.94</v>
      </c>
      <c r="G2086">
        <v>20.95</v>
      </c>
      <c r="H2086">
        <v>19836</v>
      </c>
      <c r="I2086">
        <v>167</v>
      </c>
      <c r="J2086">
        <v>0</v>
      </c>
      <c r="K2086">
        <v>1.86</v>
      </c>
      <c r="L2086">
        <v>4131.24</v>
      </c>
      <c r="M2086" t="s">
        <v>4188</v>
      </c>
      <c r="N2086" t="s">
        <v>66</v>
      </c>
      <c r="O2086">
        <v>20.63</v>
      </c>
      <c r="P2086">
        <v>21.14</v>
      </c>
      <c r="Q2086">
        <v>20.46</v>
      </c>
      <c r="R2086">
        <v>20.63</v>
      </c>
      <c r="S2086">
        <v>41.59</v>
      </c>
      <c r="T2086">
        <v>0.83</v>
      </c>
      <c r="U2086" t="s">
        <v>24</v>
      </c>
    </row>
    <row r="2087" spans="1:21">
      <c r="A2087" t="str">
        <f>"300623"</f>
        <v>300623</v>
      </c>
      <c r="B2087" t="s">
        <v>4189</v>
      </c>
      <c r="C2087">
        <v>4.31</v>
      </c>
      <c r="D2087">
        <v>32.19</v>
      </c>
      <c r="E2087">
        <v>1.33</v>
      </c>
      <c r="F2087">
        <v>32.18</v>
      </c>
      <c r="G2087">
        <v>32.19</v>
      </c>
      <c r="H2087">
        <v>255306</v>
      </c>
      <c r="I2087">
        <v>3094</v>
      </c>
      <c r="J2087">
        <v>0</v>
      </c>
      <c r="K2087">
        <v>3.98</v>
      </c>
      <c r="L2087">
        <v>81046.46</v>
      </c>
      <c r="M2087" t="s">
        <v>4190</v>
      </c>
      <c r="N2087" t="s">
        <v>1246</v>
      </c>
      <c r="O2087">
        <v>30.86</v>
      </c>
      <c r="P2087">
        <v>32.22</v>
      </c>
      <c r="Q2087">
        <v>30.71</v>
      </c>
      <c r="R2087">
        <v>30.86</v>
      </c>
      <c r="S2087">
        <v>45.73</v>
      </c>
      <c r="T2087">
        <v>1.66</v>
      </c>
      <c r="U2087" t="s">
        <v>102</v>
      </c>
    </row>
    <row r="2088" spans="1:21">
      <c r="A2088" t="str">
        <f>"300624"</f>
        <v>300624</v>
      </c>
      <c r="B2088" t="s">
        <v>4191</v>
      </c>
      <c r="C2088">
        <v>0.76</v>
      </c>
      <c r="D2088">
        <v>46.47</v>
      </c>
      <c r="E2088">
        <v>0.35</v>
      </c>
      <c r="F2088">
        <v>46.47</v>
      </c>
      <c r="G2088">
        <v>46.48</v>
      </c>
      <c r="H2088">
        <v>50918</v>
      </c>
      <c r="I2088">
        <v>596</v>
      </c>
      <c r="J2088">
        <v>0.04</v>
      </c>
      <c r="K2088">
        <v>4.6</v>
      </c>
      <c r="L2088">
        <v>23792.4</v>
      </c>
      <c r="M2088" t="s">
        <v>4192</v>
      </c>
      <c r="N2088" t="s">
        <v>30</v>
      </c>
      <c r="O2088">
        <v>45.8</v>
      </c>
      <c r="P2088">
        <v>47.3</v>
      </c>
      <c r="Q2088">
        <v>45.6</v>
      </c>
      <c r="R2088">
        <v>46.12</v>
      </c>
      <c r="S2088">
        <v>206.94</v>
      </c>
      <c r="T2088">
        <v>0.61</v>
      </c>
      <c r="U2088" t="s">
        <v>694</v>
      </c>
    </row>
    <row r="2089" spans="1:21">
      <c r="A2089" t="str">
        <f>"300625"</f>
        <v>300625</v>
      </c>
      <c r="B2089" t="s">
        <v>4193</v>
      </c>
      <c r="C2089">
        <v>0.2</v>
      </c>
      <c r="D2089">
        <v>14.69</v>
      </c>
      <c r="E2089">
        <v>0.03</v>
      </c>
      <c r="F2089">
        <v>14.68</v>
      </c>
      <c r="G2089">
        <v>14.69</v>
      </c>
      <c r="H2089">
        <v>11201</v>
      </c>
      <c r="I2089">
        <v>121</v>
      </c>
      <c r="J2089">
        <v>0</v>
      </c>
      <c r="K2089">
        <v>0.81</v>
      </c>
      <c r="L2089">
        <v>1636.13</v>
      </c>
      <c r="M2089" t="s">
        <v>4194</v>
      </c>
      <c r="N2089" t="s">
        <v>60</v>
      </c>
      <c r="O2089">
        <v>14.6</v>
      </c>
      <c r="P2089">
        <v>14.76</v>
      </c>
      <c r="Q2089">
        <v>14.4</v>
      </c>
      <c r="R2089">
        <v>14.66</v>
      </c>
      <c r="S2089">
        <v>21.27</v>
      </c>
      <c r="T2089">
        <v>1.26</v>
      </c>
      <c r="U2089" t="s">
        <v>183</v>
      </c>
    </row>
    <row r="2090" spans="1:21">
      <c r="A2090" t="str">
        <f>"300626"</f>
        <v>300626</v>
      </c>
      <c r="B2090" t="s">
        <v>4195</v>
      </c>
      <c r="C2090">
        <v>-1.34</v>
      </c>
      <c r="D2090">
        <v>11.76</v>
      </c>
      <c r="E2090">
        <v>-0.16</v>
      </c>
      <c r="F2090">
        <v>11.75</v>
      </c>
      <c r="G2090">
        <v>11.76</v>
      </c>
      <c r="H2090">
        <v>87885</v>
      </c>
      <c r="I2090">
        <v>1260</v>
      </c>
      <c r="J2090">
        <v>-0.07</v>
      </c>
      <c r="K2090">
        <v>6.5</v>
      </c>
      <c r="L2090">
        <v>10375</v>
      </c>
      <c r="M2090" t="s">
        <v>38</v>
      </c>
      <c r="N2090" t="s">
        <v>47</v>
      </c>
      <c r="O2090">
        <v>11.85</v>
      </c>
      <c r="P2090">
        <v>12.1</v>
      </c>
      <c r="Q2090">
        <v>11.61</v>
      </c>
      <c r="R2090">
        <v>11.92</v>
      </c>
      <c r="S2090">
        <v>62.68</v>
      </c>
      <c r="T2090">
        <v>0.55</v>
      </c>
      <c r="U2090" t="s">
        <v>200</v>
      </c>
    </row>
    <row r="2091" spans="1:21">
      <c r="A2091" t="str">
        <f>"300627"</f>
        <v>300627</v>
      </c>
      <c r="B2091" t="s">
        <v>4196</v>
      </c>
      <c r="C2091">
        <v>2.23</v>
      </c>
      <c r="D2091">
        <v>44.92</v>
      </c>
      <c r="E2091">
        <v>0.98</v>
      </c>
      <c r="F2091">
        <v>44.92</v>
      </c>
      <c r="G2091">
        <v>44.94</v>
      </c>
      <c r="H2091">
        <v>32879</v>
      </c>
      <c r="I2091">
        <v>474</v>
      </c>
      <c r="J2091">
        <v>0.04</v>
      </c>
      <c r="K2091">
        <v>1.21</v>
      </c>
      <c r="L2091">
        <v>14781.63</v>
      </c>
      <c r="M2091" t="s">
        <v>4197</v>
      </c>
      <c r="N2091" t="s">
        <v>153</v>
      </c>
      <c r="O2091">
        <v>43.8</v>
      </c>
      <c r="P2091">
        <v>45.42</v>
      </c>
      <c r="Q2091">
        <v>43.75</v>
      </c>
      <c r="R2091">
        <v>43.94</v>
      </c>
      <c r="S2091">
        <v>71.91</v>
      </c>
      <c r="T2091">
        <v>1.1</v>
      </c>
      <c r="U2091" t="s">
        <v>848</v>
      </c>
    </row>
    <row r="2092" spans="1:21">
      <c r="A2092" t="str">
        <f>"300628"</f>
        <v>300628</v>
      </c>
      <c r="B2092" t="s">
        <v>4198</v>
      </c>
      <c r="C2092">
        <v>-0.89</v>
      </c>
      <c r="D2092">
        <v>79.14</v>
      </c>
      <c r="E2092">
        <v>-0.71</v>
      </c>
      <c r="F2092">
        <v>79.12</v>
      </c>
      <c r="G2092">
        <v>79.14</v>
      </c>
      <c r="H2092">
        <v>24076</v>
      </c>
      <c r="I2092">
        <v>210</v>
      </c>
      <c r="J2092">
        <v>-0.13</v>
      </c>
      <c r="K2092">
        <v>0.5</v>
      </c>
      <c r="L2092">
        <v>18972.88</v>
      </c>
      <c r="M2092" t="s">
        <v>4199</v>
      </c>
      <c r="N2092" t="s">
        <v>153</v>
      </c>
      <c r="O2092">
        <v>79.28</v>
      </c>
      <c r="P2092">
        <v>80.8</v>
      </c>
      <c r="Q2092">
        <v>77.8</v>
      </c>
      <c r="R2092">
        <v>79.85</v>
      </c>
      <c r="S2092">
        <v>43.97</v>
      </c>
      <c r="T2092">
        <v>1.03</v>
      </c>
      <c r="U2092" t="s">
        <v>339</v>
      </c>
    </row>
    <row r="2093" spans="1:21">
      <c r="A2093" t="str">
        <f>"300629"</f>
        <v>300629</v>
      </c>
      <c r="B2093" t="s">
        <v>4200</v>
      </c>
      <c r="C2093">
        <v>-1.21</v>
      </c>
      <c r="D2093">
        <v>30.98</v>
      </c>
      <c r="E2093">
        <v>-0.38</v>
      </c>
      <c r="F2093">
        <v>30.98</v>
      </c>
      <c r="G2093">
        <v>30.99</v>
      </c>
      <c r="H2093">
        <v>65961</v>
      </c>
      <c r="I2093">
        <v>738</v>
      </c>
      <c r="J2093">
        <v>-0.15</v>
      </c>
      <c r="K2093">
        <v>7.09</v>
      </c>
      <c r="L2093">
        <v>20588.13</v>
      </c>
      <c r="M2093" t="s">
        <v>1245</v>
      </c>
      <c r="N2093" t="s">
        <v>69</v>
      </c>
      <c r="O2093">
        <v>31.08</v>
      </c>
      <c r="P2093">
        <v>31.75</v>
      </c>
      <c r="Q2093">
        <v>30.8</v>
      </c>
      <c r="R2093">
        <v>31.36</v>
      </c>
      <c r="S2093">
        <v>44.18</v>
      </c>
      <c r="T2093">
        <v>0.64</v>
      </c>
      <c r="U2093" t="s">
        <v>183</v>
      </c>
    </row>
    <row r="2094" spans="1:21">
      <c r="A2094" t="str">
        <f>"300630"</f>
        <v>300630</v>
      </c>
      <c r="B2094" t="s">
        <v>4201</v>
      </c>
      <c r="C2094">
        <v>4.97</v>
      </c>
      <c r="D2094">
        <v>54.75</v>
      </c>
      <c r="E2094">
        <v>2.59</v>
      </c>
      <c r="F2094">
        <v>54.74</v>
      </c>
      <c r="G2094">
        <v>54.75</v>
      </c>
      <c r="H2094">
        <v>30750</v>
      </c>
      <c r="I2094">
        <v>366</v>
      </c>
      <c r="J2094">
        <v>-0.44</v>
      </c>
      <c r="K2094">
        <v>0.95</v>
      </c>
      <c r="L2094">
        <v>16585.67</v>
      </c>
      <c r="M2094" t="s">
        <v>4202</v>
      </c>
      <c r="N2094" t="s">
        <v>192</v>
      </c>
      <c r="O2094">
        <v>52.28</v>
      </c>
      <c r="P2094">
        <v>55.1</v>
      </c>
      <c r="Q2094">
        <v>52.28</v>
      </c>
      <c r="R2094">
        <v>52.16</v>
      </c>
      <c r="S2094">
        <v>45.99</v>
      </c>
      <c r="T2094">
        <v>0.98</v>
      </c>
      <c r="U2094" t="s">
        <v>294</v>
      </c>
    </row>
    <row r="2095" spans="1:21">
      <c r="A2095" t="str">
        <f>"300631"</f>
        <v>300631</v>
      </c>
      <c r="B2095" t="s">
        <v>4203</v>
      </c>
      <c r="C2095">
        <v>-2.93</v>
      </c>
      <c r="D2095">
        <v>44.68</v>
      </c>
      <c r="E2095">
        <v>-1.35</v>
      </c>
      <c r="F2095">
        <v>44.67</v>
      </c>
      <c r="G2095">
        <v>44.68</v>
      </c>
      <c r="H2095">
        <v>175152</v>
      </c>
      <c r="I2095">
        <v>2040</v>
      </c>
      <c r="J2095">
        <v>0.27</v>
      </c>
      <c r="K2095">
        <v>14.95</v>
      </c>
      <c r="L2095">
        <v>79595.68</v>
      </c>
      <c r="M2095" t="s">
        <v>4204</v>
      </c>
      <c r="N2095" t="s">
        <v>465</v>
      </c>
      <c r="O2095">
        <v>44.4</v>
      </c>
      <c r="P2095">
        <v>47.45</v>
      </c>
      <c r="Q2095">
        <v>44.05</v>
      </c>
      <c r="R2095">
        <v>46.03</v>
      </c>
      <c r="S2095">
        <v>195.77</v>
      </c>
      <c r="T2095">
        <v>1.56</v>
      </c>
      <c r="U2095" t="s">
        <v>102</v>
      </c>
    </row>
    <row r="2096" spans="1:21">
      <c r="A2096" t="str">
        <f>"300632"</f>
        <v>300632</v>
      </c>
      <c r="B2096" t="s">
        <v>4205</v>
      </c>
      <c r="C2096">
        <v>1.27</v>
      </c>
      <c r="D2096">
        <v>14.37</v>
      </c>
      <c r="E2096">
        <v>0.18</v>
      </c>
      <c r="F2096">
        <v>14.37</v>
      </c>
      <c r="G2096">
        <v>14.38</v>
      </c>
      <c r="H2096">
        <v>59738</v>
      </c>
      <c r="I2096">
        <v>1195</v>
      </c>
      <c r="J2096">
        <v>-0.13</v>
      </c>
      <c r="K2096">
        <v>2.98</v>
      </c>
      <c r="L2096">
        <v>8527.42</v>
      </c>
      <c r="M2096" t="s">
        <v>106</v>
      </c>
      <c r="N2096" t="s">
        <v>1246</v>
      </c>
      <c r="O2096">
        <v>14.18</v>
      </c>
      <c r="P2096">
        <v>14.48</v>
      </c>
      <c r="Q2096">
        <v>14</v>
      </c>
      <c r="R2096">
        <v>14.19</v>
      </c>
      <c r="S2096">
        <v>32.52</v>
      </c>
      <c r="T2096">
        <v>1.52</v>
      </c>
      <c r="U2096" t="s">
        <v>339</v>
      </c>
    </row>
    <row r="2097" spans="1:21">
      <c r="A2097" t="str">
        <f>"300633"</f>
        <v>300633</v>
      </c>
      <c r="B2097" t="s">
        <v>4206</v>
      </c>
      <c r="C2097">
        <v>2.29</v>
      </c>
      <c r="D2097">
        <v>30.84</v>
      </c>
      <c r="E2097">
        <v>0.69</v>
      </c>
      <c r="F2097">
        <v>30.84</v>
      </c>
      <c r="G2097">
        <v>30.85</v>
      </c>
      <c r="H2097">
        <v>43094</v>
      </c>
      <c r="I2097">
        <v>462</v>
      </c>
      <c r="J2097">
        <v>0.19</v>
      </c>
      <c r="K2097">
        <v>1.08</v>
      </c>
      <c r="L2097">
        <v>13336.53</v>
      </c>
      <c r="M2097" t="s">
        <v>1741</v>
      </c>
      <c r="N2097" t="s">
        <v>186</v>
      </c>
      <c r="O2097">
        <v>30.25</v>
      </c>
      <c r="P2097">
        <v>31.39</v>
      </c>
      <c r="Q2097">
        <v>30.07</v>
      </c>
      <c r="R2097">
        <v>30.15</v>
      </c>
      <c r="S2097">
        <v>66.71</v>
      </c>
      <c r="T2097">
        <v>0.95</v>
      </c>
      <c r="U2097" t="s">
        <v>24</v>
      </c>
    </row>
    <row r="2098" spans="1:21">
      <c r="A2098" t="str">
        <f>"300634"</f>
        <v>300634</v>
      </c>
      <c r="B2098" t="s">
        <v>4207</v>
      </c>
      <c r="C2098">
        <v>0.06</v>
      </c>
      <c r="D2098">
        <v>17.98</v>
      </c>
      <c r="E2098">
        <v>0.01</v>
      </c>
      <c r="F2098">
        <v>17.97</v>
      </c>
      <c r="G2098">
        <v>17.98</v>
      </c>
      <c r="H2098">
        <v>50884</v>
      </c>
      <c r="I2098">
        <v>877</v>
      </c>
      <c r="J2098">
        <v>0</v>
      </c>
      <c r="K2098">
        <v>1.35</v>
      </c>
      <c r="L2098">
        <v>9225.48</v>
      </c>
      <c r="M2098" t="s">
        <v>4208</v>
      </c>
      <c r="N2098" t="s">
        <v>30</v>
      </c>
      <c r="O2098">
        <v>17.95</v>
      </c>
      <c r="P2098">
        <v>18.43</v>
      </c>
      <c r="Q2098">
        <v>17.94</v>
      </c>
      <c r="R2098">
        <v>17.97</v>
      </c>
      <c r="S2098">
        <v>57.46</v>
      </c>
      <c r="T2098">
        <v>0.48</v>
      </c>
      <c r="U2098" t="s">
        <v>24</v>
      </c>
    </row>
    <row r="2099" spans="1:21">
      <c r="A2099" t="str">
        <f>"300635"</f>
        <v>300635</v>
      </c>
      <c r="B2099" t="s">
        <v>4209</v>
      </c>
      <c r="C2099">
        <v>-0.55</v>
      </c>
      <c r="D2099">
        <v>16.25</v>
      </c>
      <c r="E2099">
        <v>-0.09</v>
      </c>
      <c r="F2099">
        <v>16.25</v>
      </c>
      <c r="G2099">
        <v>16.29</v>
      </c>
      <c r="H2099">
        <v>8696</v>
      </c>
      <c r="I2099">
        <v>118</v>
      </c>
      <c r="J2099">
        <v>-0.24</v>
      </c>
      <c r="K2099">
        <v>0.91</v>
      </c>
      <c r="L2099">
        <v>1406.05</v>
      </c>
      <c r="M2099" t="s">
        <v>1048</v>
      </c>
      <c r="N2099" t="s">
        <v>50</v>
      </c>
      <c r="O2099">
        <v>16.27</v>
      </c>
      <c r="P2099">
        <v>16.37</v>
      </c>
      <c r="Q2099">
        <v>16</v>
      </c>
      <c r="R2099">
        <v>16.34</v>
      </c>
      <c r="S2099">
        <v>53.13</v>
      </c>
      <c r="T2099">
        <v>0.54</v>
      </c>
      <c r="U2099" t="s">
        <v>183</v>
      </c>
    </row>
    <row r="2100" spans="1:21">
      <c r="A2100" t="str">
        <f>"300636"</f>
        <v>300636</v>
      </c>
      <c r="B2100" t="s">
        <v>4210</v>
      </c>
      <c r="C2100">
        <v>1.2</v>
      </c>
      <c r="D2100">
        <v>16.9</v>
      </c>
      <c r="E2100">
        <v>0.2</v>
      </c>
      <c r="F2100">
        <v>16.89</v>
      </c>
      <c r="G2100">
        <v>16.9</v>
      </c>
      <c r="H2100">
        <v>22553</v>
      </c>
      <c r="I2100">
        <v>220</v>
      </c>
      <c r="J2100">
        <v>-0.05</v>
      </c>
      <c r="K2100">
        <v>1.32</v>
      </c>
      <c r="L2100">
        <v>3805.59</v>
      </c>
      <c r="M2100" t="s">
        <v>4211</v>
      </c>
      <c r="N2100" t="s">
        <v>192</v>
      </c>
      <c r="O2100">
        <v>16.82</v>
      </c>
      <c r="P2100">
        <v>17.05</v>
      </c>
      <c r="Q2100">
        <v>16.68</v>
      </c>
      <c r="R2100">
        <v>16.7</v>
      </c>
      <c r="S2100">
        <v>39.21</v>
      </c>
      <c r="T2100">
        <v>0.83</v>
      </c>
      <c r="U2100" t="s">
        <v>235</v>
      </c>
    </row>
    <row r="2101" spans="1:21">
      <c r="A2101" t="str">
        <f>"300637"</f>
        <v>300637</v>
      </c>
      <c r="B2101" t="s">
        <v>4212</v>
      </c>
      <c r="C2101">
        <v>0.35</v>
      </c>
      <c r="D2101">
        <v>8.51</v>
      </c>
      <c r="E2101">
        <v>0.03</v>
      </c>
      <c r="F2101">
        <v>8.51</v>
      </c>
      <c r="G2101">
        <v>8.52</v>
      </c>
      <c r="H2101">
        <v>46812</v>
      </c>
      <c r="I2101">
        <v>1633</v>
      </c>
      <c r="J2101">
        <v>-0.22</v>
      </c>
      <c r="K2101">
        <v>2</v>
      </c>
      <c r="L2101">
        <v>4016.93</v>
      </c>
      <c r="M2101" t="s">
        <v>4213</v>
      </c>
      <c r="N2101" t="s">
        <v>309</v>
      </c>
      <c r="O2101">
        <v>8.47</v>
      </c>
      <c r="P2101">
        <v>8.69</v>
      </c>
      <c r="Q2101">
        <v>8.44</v>
      </c>
      <c r="R2101">
        <v>8.48</v>
      </c>
      <c r="S2101">
        <v>214.19</v>
      </c>
      <c r="T2101">
        <v>1.09</v>
      </c>
      <c r="U2101" t="s">
        <v>200</v>
      </c>
    </row>
    <row r="2102" spans="1:21">
      <c r="A2102" t="str">
        <f>"300638"</f>
        <v>300638</v>
      </c>
      <c r="B2102" t="s">
        <v>4214</v>
      </c>
      <c r="C2102">
        <v>-0.42</v>
      </c>
      <c r="D2102">
        <v>54.15</v>
      </c>
      <c r="E2102">
        <v>-0.23</v>
      </c>
      <c r="F2102">
        <v>54.15</v>
      </c>
      <c r="G2102">
        <v>54.16</v>
      </c>
      <c r="H2102">
        <v>29476</v>
      </c>
      <c r="I2102">
        <v>248</v>
      </c>
      <c r="J2102">
        <v>0.06</v>
      </c>
      <c r="K2102">
        <v>1.15</v>
      </c>
      <c r="L2102">
        <v>15988.95</v>
      </c>
      <c r="M2102" t="s">
        <v>4215</v>
      </c>
      <c r="N2102" t="s">
        <v>153</v>
      </c>
      <c r="O2102">
        <v>53.99</v>
      </c>
      <c r="P2102">
        <v>54.98</v>
      </c>
      <c r="Q2102">
        <v>53.84</v>
      </c>
      <c r="R2102">
        <v>54.38</v>
      </c>
      <c r="S2102">
        <v>51.94</v>
      </c>
      <c r="T2102">
        <v>0.55</v>
      </c>
      <c r="U2102" t="s">
        <v>24</v>
      </c>
    </row>
    <row r="2103" spans="1:21">
      <c r="A2103" t="str">
        <f>"300639"</f>
        <v>300639</v>
      </c>
      <c r="B2103" t="s">
        <v>4216</v>
      </c>
      <c r="C2103">
        <v>1.29</v>
      </c>
      <c r="D2103">
        <v>28.28</v>
      </c>
      <c r="E2103">
        <v>0.36</v>
      </c>
      <c r="F2103">
        <v>28.27</v>
      </c>
      <c r="G2103">
        <v>28.28</v>
      </c>
      <c r="H2103">
        <v>23427</v>
      </c>
      <c r="I2103">
        <v>445</v>
      </c>
      <c r="J2103">
        <v>0</v>
      </c>
      <c r="K2103">
        <v>0.81</v>
      </c>
      <c r="L2103">
        <v>6593.46</v>
      </c>
      <c r="M2103" t="s">
        <v>4217</v>
      </c>
      <c r="N2103" t="s">
        <v>186</v>
      </c>
      <c r="O2103">
        <v>27.89</v>
      </c>
      <c r="P2103">
        <v>28.34</v>
      </c>
      <c r="Q2103">
        <v>27.83</v>
      </c>
      <c r="R2103">
        <v>27.92</v>
      </c>
      <c r="S2103">
        <v>9.64</v>
      </c>
      <c r="T2103">
        <v>0.66</v>
      </c>
      <c r="U2103" t="s">
        <v>183</v>
      </c>
    </row>
    <row r="2104" spans="1:21">
      <c r="A2104" t="str">
        <f>"300640"</f>
        <v>300640</v>
      </c>
      <c r="B2104" t="s">
        <v>4218</v>
      </c>
      <c r="C2104">
        <v>-2.5</v>
      </c>
      <c r="D2104">
        <v>6.23</v>
      </c>
      <c r="E2104">
        <v>-0.16</v>
      </c>
      <c r="F2104">
        <v>6.23</v>
      </c>
      <c r="G2104">
        <v>6.24</v>
      </c>
      <c r="H2104">
        <v>222152</v>
      </c>
      <c r="I2104">
        <v>5753</v>
      </c>
      <c r="J2104">
        <v>0</v>
      </c>
      <c r="K2104">
        <v>11.82</v>
      </c>
      <c r="L2104">
        <v>13951.96</v>
      </c>
      <c r="M2104" t="s">
        <v>4219</v>
      </c>
      <c r="N2104" t="s">
        <v>910</v>
      </c>
      <c r="O2104">
        <v>6.32</v>
      </c>
      <c r="P2104">
        <v>6.45</v>
      </c>
      <c r="Q2104">
        <v>6.18</v>
      </c>
      <c r="R2104">
        <v>6.39</v>
      </c>
      <c r="S2104">
        <v>71.12</v>
      </c>
      <c r="T2104">
        <v>0.49</v>
      </c>
      <c r="U2104" t="s">
        <v>339</v>
      </c>
    </row>
    <row r="2105" spans="1:21">
      <c r="A2105" t="str">
        <f>"300641"</f>
        <v>300641</v>
      </c>
      <c r="B2105" t="s">
        <v>4220</v>
      </c>
      <c r="C2105">
        <v>3.62</v>
      </c>
      <c r="D2105">
        <v>6.87</v>
      </c>
      <c r="E2105">
        <v>0.24</v>
      </c>
      <c r="F2105">
        <v>6.86</v>
      </c>
      <c r="G2105">
        <v>6.87</v>
      </c>
      <c r="H2105">
        <v>81256</v>
      </c>
      <c r="I2105">
        <v>1779</v>
      </c>
      <c r="J2105">
        <v>0</v>
      </c>
      <c r="K2105">
        <v>1.66</v>
      </c>
      <c r="L2105">
        <v>5503.17</v>
      </c>
      <c r="M2105" t="s">
        <v>4221</v>
      </c>
      <c r="N2105" t="s">
        <v>309</v>
      </c>
      <c r="O2105">
        <v>6.68</v>
      </c>
      <c r="P2105">
        <v>6.88</v>
      </c>
      <c r="Q2105">
        <v>6.59</v>
      </c>
      <c r="R2105">
        <v>6.63</v>
      </c>
      <c r="S2105">
        <v>31.1</v>
      </c>
      <c r="T2105">
        <v>1.46</v>
      </c>
      <c r="U2105" t="s">
        <v>102</v>
      </c>
    </row>
    <row r="2106" spans="1:21">
      <c r="A2106" t="str">
        <f>"300642"</f>
        <v>300642</v>
      </c>
      <c r="B2106" t="s">
        <v>4222</v>
      </c>
      <c r="C2106">
        <v>1.19</v>
      </c>
      <c r="D2106">
        <v>28.94</v>
      </c>
      <c r="E2106">
        <v>0.34</v>
      </c>
      <c r="F2106">
        <v>28.94</v>
      </c>
      <c r="G2106">
        <v>28.95</v>
      </c>
      <c r="H2106">
        <v>13038</v>
      </c>
      <c r="I2106">
        <v>186</v>
      </c>
      <c r="J2106">
        <v>0.1</v>
      </c>
      <c r="K2106">
        <v>0.94</v>
      </c>
      <c r="L2106">
        <v>3754.98</v>
      </c>
      <c r="M2106" t="s">
        <v>4223</v>
      </c>
      <c r="N2106" t="s">
        <v>186</v>
      </c>
      <c r="O2106">
        <v>28.61</v>
      </c>
      <c r="P2106">
        <v>29.05</v>
      </c>
      <c r="Q2106">
        <v>28.54</v>
      </c>
      <c r="R2106">
        <v>28.6</v>
      </c>
      <c r="S2106">
        <v>33.7</v>
      </c>
      <c r="T2106">
        <v>0.54</v>
      </c>
      <c r="U2106" t="s">
        <v>848</v>
      </c>
    </row>
    <row r="2107" spans="1:21">
      <c r="A2107" t="str">
        <f>"300643"</f>
        <v>300643</v>
      </c>
      <c r="B2107" t="s">
        <v>4224</v>
      </c>
      <c r="C2107">
        <v>0.99</v>
      </c>
      <c r="D2107">
        <v>14.3</v>
      </c>
      <c r="E2107">
        <v>0.14</v>
      </c>
      <c r="F2107">
        <v>14.29</v>
      </c>
      <c r="G2107">
        <v>14.3</v>
      </c>
      <c r="H2107">
        <v>88366</v>
      </c>
      <c r="I2107">
        <v>1274</v>
      </c>
      <c r="J2107">
        <v>0.28</v>
      </c>
      <c r="K2107">
        <v>4.42</v>
      </c>
      <c r="L2107">
        <v>12624.26</v>
      </c>
      <c r="M2107" t="s">
        <v>4225</v>
      </c>
      <c r="N2107" t="s">
        <v>91</v>
      </c>
      <c r="O2107">
        <v>14.13</v>
      </c>
      <c r="P2107">
        <v>14.49</v>
      </c>
      <c r="Q2107">
        <v>13.9</v>
      </c>
      <c r="R2107">
        <v>14.16</v>
      </c>
      <c r="S2107">
        <v>30.91</v>
      </c>
      <c r="T2107">
        <v>0.59</v>
      </c>
      <c r="U2107" t="s">
        <v>200</v>
      </c>
    </row>
    <row r="2108" spans="1:21">
      <c r="A2108" t="str">
        <f>"300644"</f>
        <v>300644</v>
      </c>
      <c r="B2108" t="s">
        <v>4226</v>
      </c>
      <c r="C2108">
        <v>1.82</v>
      </c>
      <c r="D2108">
        <v>19.59</v>
      </c>
      <c r="E2108">
        <v>0.35</v>
      </c>
      <c r="F2108">
        <v>19.59</v>
      </c>
      <c r="G2108">
        <v>19.6</v>
      </c>
      <c r="H2108">
        <v>14966</v>
      </c>
      <c r="I2108">
        <v>924</v>
      </c>
      <c r="J2108">
        <v>0.1</v>
      </c>
      <c r="K2108">
        <v>1.58</v>
      </c>
      <c r="L2108">
        <v>2906.11</v>
      </c>
      <c r="M2108" t="s">
        <v>4227</v>
      </c>
      <c r="N2108" t="s">
        <v>839</v>
      </c>
      <c r="O2108">
        <v>19.1</v>
      </c>
      <c r="P2108">
        <v>19.66</v>
      </c>
      <c r="Q2108">
        <v>19.08</v>
      </c>
      <c r="R2108">
        <v>19.24</v>
      </c>
      <c r="S2108">
        <v>51.59</v>
      </c>
      <c r="T2108">
        <v>0.6</v>
      </c>
      <c r="U2108" t="s">
        <v>102</v>
      </c>
    </row>
    <row r="2109" spans="1:21">
      <c r="A2109" t="str">
        <f>"300645"</f>
        <v>300645</v>
      </c>
      <c r="B2109" t="s">
        <v>4228</v>
      </c>
      <c r="C2109">
        <v>7.1</v>
      </c>
      <c r="D2109">
        <v>22.02</v>
      </c>
      <c r="E2109">
        <v>1.46</v>
      </c>
      <c r="F2109">
        <v>22.02</v>
      </c>
      <c r="G2109">
        <v>22.03</v>
      </c>
      <c r="H2109">
        <v>55599</v>
      </c>
      <c r="I2109">
        <v>862</v>
      </c>
      <c r="J2109">
        <v>0.14</v>
      </c>
      <c r="K2109">
        <v>4.36</v>
      </c>
      <c r="L2109">
        <v>12114.49</v>
      </c>
      <c r="M2109" t="s">
        <v>4229</v>
      </c>
      <c r="N2109" t="s">
        <v>30</v>
      </c>
      <c r="O2109">
        <v>20.5</v>
      </c>
      <c r="P2109">
        <v>22.35</v>
      </c>
      <c r="Q2109">
        <v>20.5</v>
      </c>
      <c r="R2109">
        <v>20.56</v>
      </c>
      <c r="S2109">
        <v>253.01</v>
      </c>
      <c r="T2109">
        <v>2.73</v>
      </c>
      <c r="U2109" t="s">
        <v>200</v>
      </c>
    </row>
    <row r="2110" spans="1:21">
      <c r="A2110" t="str">
        <f>"300647"</f>
        <v>300647</v>
      </c>
      <c r="B2110" t="s">
        <v>4230</v>
      </c>
      <c r="C2110">
        <v>2.4</v>
      </c>
      <c r="D2110">
        <v>8.96</v>
      </c>
      <c r="E2110">
        <v>0.21</v>
      </c>
      <c r="F2110">
        <v>8.96</v>
      </c>
      <c r="G2110">
        <v>8.97</v>
      </c>
      <c r="H2110">
        <v>121027</v>
      </c>
      <c r="I2110">
        <v>1441</v>
      </c>
      <c r="J2110">
        <v>-0.1</v>
      </c>
      <c r="K2110">
        <v>2.9</v>
      </c>
      <c r="L2110">
        <v>10906.98</v>
      </c>
      <c r="M2110" t="s">
        <v>4231</v>
      </c>
      <c r="N2110" t="s">
        <v>69</v>
      </c>
      <c r="O2110">
        <v>8.74</v>
      </c>
      <c r="P2110">
        <v>9.24</v>
      </c>
      <c r="Q2110">
        <v>8.7</v>
      </c>
      <c r="R2110">
        <v>8.75</v>
      </c>
      <c r="S2110" t="s">
        <v>40</v>
      </c>
      <c r="T2110">
        <v>1.16</v>
      </c>
      <c r="U2110" t="s">
        <v>24</v>
      </c>
    </row>
    <row r="2111" spans="1:21">
      <c r="A2111" t="str">
        <f>"300648"</f>
        <v>300648</v>
      </c>
      <c r="B2111" t="s">
        <v>4232</v>
      </c>
      <c r="C2111">
        <v>0.26</v>
      </c>
      <c r="D2111">
        <v>61.9</v>
      </c>
      <c r="E2111">
        <v>0.16</v>
      </c>
      <c r="F2111">
        <v>61.89</v>
      </c>
      <c r="G2111">
        <v>61.9</v>
      </c>
      <c r="H2111">
        <v>39443</v>
      </c>
      <c r="I2111">
        <v>319</v>
      </c>
      <c r="J2111">
        <v>0.03</v>
      </c>
      <c r="K2111">
        <v>4.27</v>
      </c>
      <c r="L2111">
        <v>24453.69</v>
      </c>
      <c r="M2111" t="s">
        <v>4233</v>
      </c>
      <c r="N2111" t="s">
        <v>1028</v>
      </c>
      <c r="O2111">
        <v>61.94</v>
      </c>
      <c r="P2111">
        <v>62.95</v>
      </c>
      <c r="Q2111">
        <v>61.38</v>
      </c>
      <c r="R2111">
        <v>61.74</v>
      </c>
      <c r="S2111">
        <v>93.57</v>
      </c>
      <c r="T2111">
        <v>0.58</v>
      </c>
      <c r="U2111" t="s">
        <v>339</v>
      </c>
    </row>
    <row r="2112" spans="1:21">
      <c r="A2112" t="str">
        <f>"300649"</f>
        <v>300649</v>
      </c>
      <c r="B2112" t="s">
        <v>4234</v>
      </c>
      <c r="C2112">
        <v>1.36</v>
      </c>
      <c r="D2112">
        <v>15.63</v>
      </c>
      <c r="E2112">
        <v>0.21</v>
      </c>
      <c r="F2112">
        <v>15.63</v>
      </c>
      <c r="G2112">
        <v>15.66</v>
      </c>
      <c r="H2112">
        <v>9886</v>
      </c>
      <c r="I2112">
        <v>78</v>
      </c>
      <c r="J2112">
        <v>-0.44</v>
      </c>
      <c r="K2112">
        <v>0.96</v>
      </c>
      <c r="L2112">
        <v>1543.04</v>
      </c>
      <c r="M2112" t="s">
        <v>4235</v>
      </c>
      <c r="N2112" t="s">
        <v>50</v>
      </c>
      <c r="O2112">
        <v>15.4</v>
      </c>
      <c r="P2112">
        <v>15.72</v>
      </c>
      <c r="Q2112">
        <v>15.37</v>
      </c>
      <c r="R2112">
        <v>15.42</v>
      </c>
      <c r="S2112">
        <v>42.85</v>
      </c>
      <c r="T2112">
        <v>0.68</v>
      </c>
      <c r="U2112" t="s">
        <v>200</v>
      </c>
    </row>
    <row r="2113" spans="1:21">
      <c r="A2113" t="str">
        <f>"300650"</f>
        <v>300650</v>
      </c>
      <c r="B2113" t="s">
        <v>4236</v>
      </c>
      <c r="C2113">
        <v>-1.58</v>
      </c>
      <c r="D2113">
        <v>24.31</v>
      </c>
      <c r="E2113">
        <v>-0.39</v>
      </c>
      <c r="F2113">
        <v>24.3</v>
      </c>
      <c r="G2113">
        <v>24.31</v>
      </c>
      <c r="H2113">
        <v>19908</v>
      </c>
      <c r="I2113">
        <v>236</v>
      </c>
      <c r="J2113">
        <v>0.33</v>
      </c>
      <c r="K2113">
        <v>3.5</v>
      </c>
      <c r="L2113">
        <v>4845.04</v>
      </c>
      <c r="M2113" t="s">
        <v>4237</v>
      </c>
      <c r="N2113" t="s">
        <v>47</v>
      </c>
      <c r="O2113">
        <v>24.7</v>
      </c>
      <c r="P2113">
        <v>24.81</v>
      </c>
      <c r="Q2113">
        <v>24.13</v>
      </c>
      <c r="R2113">
        <v>24.7</v>
      </c>
      <c r="S2113">
        <v>21.27</v>
      </c>
      <c r="T2113">
        <v>0.69</v>
      </c>
      <c r="U2113" t="s">
        <v>339</v>
      </c>
    </row>
    <row r="2114" spans="1:21">
      <c r="A2114" t="str">
        <f>"300651"</f>
        <v>300651</v>
      </c>
      <c r="B2114" t="s">
        <v>4238</v>
      </c>
      <c r="C2114">
        <v>2.29</v>
      </c>
      <c r="D2114">
        <v>28.64</v>
      </c>
      <c r="E2114">
        <v>0.64</v>
      </c>
      <c r="F2114">
        <v>28.63</v>
      </c>
      <c r="G2114">
        <v>28.64</v>
      </c>
      <c r="H2114">
        <v>11097</v>
      </c>
      <c r="I2114">
        <v>98</v>
      </c>
      <c r="J2114">
        <v>0.03</v>
      </c>
      <c r="K2114">
        <v>1.53</v>
      </c>
      <c r="L2114">
        <v>3149.6</v>
      </c>
      <c r="M2114" t="s">
        <v>4166</v>
      </c>
      <c r="N2114" t="s">
        <v>63</v>
      </c>
      <c r="O2114">
        <v>28</v>
      </c>
      <c r="P2114">
        <v>28.89</v>
      </c>
      <c r="Q2114">
        <v>27.75</v>
      </c>
      <c r="R2114">
        <v>28</v>
      </c>
      <c r="S2114">
        <v>120.82</v>
      </c>
      <c r="T2114">
        <v>0.66</v>
      </c>
      <c r="U2114" t="s">
        <v>102</v>
      </c>
    </row>
    <row r="2115" spans="1:21">
      <c r="A2115" t="str">
        <f>"300652"</f>
        <v>300652</v>
      </c>
      <c r="B2115" t="s">
        <v>4239</v>
      </c>
      <c r="C2115">
        <v>-0.67</v>
      </c>
      <c r="D2115">
        <v>25.03</v>
      </c>
      <c r="E2115">
        <v>-0.17</v>
      </c>
      <c r="F2115">
        <v>25.03</v>
      </c>
      <c r="G2115">
        <v>25.04</v>
      </c>
      <c r="H2115">
        <v>74620</v>
      </c>
      <c r="I2115">
        <v>1699</v>
      </c>
      <c r="J2115">
        <v>-0.07</v>
      </c>
      <c r="K2115">
        <v>8.94</v>
      </c>
      <c r="L2115">
        <v>18596.25</v>
      </c>
      <c r="M2115" t="s">
        <v>4240</v>
      </c>
      <c r="N2115" t="s">
        <v>91</v>
      </c>
      <c r="O2115">
        <v>25.03</v>
      </c>
      <c r="P2115">
        <v>25.68</v>
      </c>
      <c r="Q2115">
        <v>24.39</v>
      </c>
      <c r="R2115">
        <v>25.2</v>
      </c>
      <c r="S2115">
        <v>28.21</v>
      </c>
      <c r="T2115">
        <v>1.02</v>
      </c>
      <c r="U2115" t="s">
        <v>200</v>
      </c>
    </row>
    <row r="2116" spans="1:21">
      <c r="A2116" t="str">
        <f>"300653"</f>
        <v>300653</v>
      </c>
      <c r="B2116" t="s">
        <v>4241</v>
      </c>
      <c r="C2116">
        <v>0.72</v>
      </c>
      <c r="D2116">
        <v>67.2</v>
      </c>
      <c r="E2116">
        <v>0.48</v>
      </c>
      <c r="F2116">
        <v>67.2</v>
      </c>
      <c r="G2116">
        <v>67.25</v>
      </c>
      <c r="H2116">
        <v>25039</v>
      </c>
      <c r="I2116">
        <v>111</v>
      </c>
      <c r="J2116">
        <v>0.3</v>
      </c>
      <c r="K2116">
        <v>2.09</v>
      </c>
      <c r="L2116">
        <v>16742.27</v>
      </c>
      <c r="M2116" t="s">
        <v>4242</v>
      </c>
      <c r="N2116" t="s">
        <v>186</v>
      </c>
      <c r="O2116">
        <v>66.72</v>
      </c>
      <c r="P2116">
        <v>67.79</v>
      </c>
      <c r="Q2116">
        <v>65.5</v>
      </c>
      <c r="R2116">
        <v>66.72</v>
      </c>
      <c r="S2116">
        <v>47.83</v>
      </c>
      <c r="T2116">
        <v>0.77</v>
      </c>
      <c r="U2116" t="s">
        <v>221</v>
      </c>
    </row>
    <row r="2117" spans="1:21">
      <c r="A2117" t="str">
        <f>"300654"</f>
        <v>300654</v>
      </c>
      <c r="B2117" t="s">
        <v>4243</v>
      </c>
      <c r="C2117">
        <v>1.42</v>
      </c>
      <c r="D2117">
        <v>7.87</v>
      </c>
      <c r="E2117">
        <v>0.11</v>
      </c>
      <c r="F2117">
        <v>7.87</v>
      </c>
      <c r="G2117">
        <v>7.88</v>
      </c>
      <c r="H2117">
        <v>13599</v>
      </c>
      <c r="I2117">
        <v>190</v>
      </c>
      <c r="J2117">
        <v>-0.12</v>
      </c>
      <c r="K2117">
        <v>0.78</v>
      </c>
      <c r="L2117">
        <v>1070.99</v>
      </c>
      <c r="M2117" t="s">
        <v>4244</v>
      </c>
      <c r="N2117" t="s">
        <v>650</v>
      </c>
      <c r="O2117">
        <v>7.83</v>
      </c>
      <c r="P2117">
        <v>7.94</v>
      </c>
      <c r="Q2117">
        <v>7.75</v>
      </c>
      <c r="R2117">
        <v>7.76</v>
      </c>
      <c r="S2117">
        <v>46.43</v>
      </c>
      <c r="T2117">
        <v>0.69</v>
      </c>
      <c r="U2117" t="s">
        <v>221</v>
      </c>
    </row>
    <row r="2118" spans="1:21">
      <c r="A2118" t="str">
        <f>"300655"</f>
        <v>300655</v>
      </c>
      <c r="B2118" t="s">
        <v>4245</v>
      </c>
      <c r="C2118">
        <v>-0.26</v>
      </c>
      <c r="D2118">
        <v>42.67</v>
      </c>
      <c r="E2118">
        <v>-0.11</v>
      </c>
      <c r="F2118">
        <v>42.67</v>
      </c>
      <c r="G2118">
        <v>42.68</v>
      </c>
      <c r="H2118">
        <v>128544</v>
      </c>
      <c r="I2118">
        <v>880</v>
      </c>
      <c r="J2118">
        <v>0.38</v>
      </c>
      <c r="K2118">
        <v>4.48</v>
      </c>
      <c r="L2118">
        <v>55190.92</v>
      </c>
      <c r="M2118" t="s">
        <v>4246</v>
      </c>
      <c r="N2118" t="s">
        <v>309</v>
      </c>
      <c r="O2118">
        <v>42.79</v>
      </c>
      <c r="P2118">
        <v>43.6</v>
      </c>
      <c r="Q2118">
        <v>42.47</v>
      </c>
      <c r="R2118">
        <v>42.78</v>
      </c>
      <c r="S2118">
        <v>66.02</v>
      </c>
      <c r="T2118">
        <v>0.77</v>
      </c>
      <c r="U2118" t="s">
        <v>102</v>
      </c>
    </row>
    <row r="2119" spans="1:21">
      <c r="A2119" t="str">
        <f>"300656"</f>
        <v>300656</v>
      </c>
      <c r="B2119" t="s">
        <v>4247</v>
      </c>
      <c r="C2119">
        <v>-1.89</v>
      </c>
      <c r="D2119">
        <v>47.69</v>
      </c>
      <c r="E2119">
        <v>-0.92</v>
      </c>
      <c r="F2119">
        <v>47.68</v>
      </c>
      <c r="G2119">
        <v>47.69</v>
      </c>
      <c r="H2119">
        <v>20338</v>
      </c>
      <c r="I2119">
        <v>326</v>
      </c>
      <c r="J2119">
        <v>0.61</v>
      </c>
      <c r="K2119">
        <v>2.46</v>
      </c>
      <c r="L2119">
        <v>9582.9</v>
      </c>
      <c r="M2119" t="s">
        <v>4248</v>
      </c>
      <c r="N2119" t="s">
        <v>72</v>
      </c>
      <c r="O2119">
        <v>48.5</v>
      </c>
      <c r="P2119">
        <v>49.06</v>
      </c>
      <c r="Q2119">
        <v>46.41</v>
      </c>
      <c r="R2119">
        <v>48.61</v>
      </c>
      <c r="S2119">
        <v>83.14</v>
      </c>
      <c r="T2119">
        <v>0.86</v>
      </c>
      <c r="U2119" t="s">
        <v>24</v>
      </c>
    </row>
    <row r="2120" spans="1:21">
      <c r="A2120" t="str">
        <f>"300657"</f>
        <v>300657</v>
      </c>
      <c r="B2120" t="s">
        <v>4249</v>
      </c>
      <c r="C2120">
        <v>2.3</v>
      </c>
      <c r="D2120">
        <v>17.77</v>
      </c>
      <c r="E2120">
        <v>0.4</v>
      </c>
      <c r="F2120">
        <v>17.76</v>
      </c>
      <c r="G2120">
        <v>17.77</v>
      </c>
      <c r="H2120">
        <v>146338</v>
      </c>
      <c r="I2120">
        <v>1609</v>
      </c>
      <c r="J2120">
        <v>-0.16</v>
      </c>
      <c r="K2120">
        <v>3.46</v>
      </c>
      <c r="L2120">
        <v>25978.58</v>
      </c>
      <c r="M2120" t="s">
        <v>4250</v>
      </c>
      <c r="N2120" t="s">
        <v>69</v>
      </c>
      <c r="O2120">
        <v>17.48</v>
      </c>
      <c r="P2120">
        <v>18.2</v>
      </c>
      <c r="Q2120">
        <v>17.37</v>
      </c>
      <c r="R2120">
        <v>17.37</v>
      </c>
      <c r="S2120" t="s">
        <v>40</v>
      </c>
      <c r="T2120">
        <v>0.96</v>
      </c>
      <c r="U2120" t="s">
        <v>339</v>
      </c>
    </row>
    <row r="2121" spans="1:21">
      <c r="A2121" t="str">
        <f>"300658"</f>
        <v>300658</v>
      </c>
      <c r="B2121" t="s">
        <v>4251</v>
      </c>
      <c r="C2121">
        <v>-0.95</v>
      </c>
      <c r="D2121">
        <v>10.4</v>
      </c>
      <c r="E2121">
        <v>-0.1</v>
      </c>
      <c r="F2121">
        <v>10.4</v>
      </c>
      <c r="G2121">
        <v>10.42</v>
      </c>
      <c r="H2121">
        <v>14459</v>
      </c>
      <c r="I2121">
        <v>119</v>
      </c>
      <c r="J2121">
        <v>-0.18</v>
      </c>
      <c r="K2121">
        <v>1.07</v>
      </c>
      <c r="L2121">
        <v>1502.9</v>
      </c>
      <c r="M2121" t="s">
        <v>4252</v>
      </c>
      <c r="N2121" t="s">
        <v>664</v>
      </c>
      <c r="O2121">
        <v>10.43</v>
      </c>
      <c r="P2121">
        <v>10.53</v>
      </c>
      <c r="Q2121">
        <v>10.28</v>
      </c>
      <c r="R2121">
        <v>10.5</v>
      </c>
      <c r="S2121">
        <v>234.75</v>
      </c>
      <c r="T2121">
        <v>0.97</v>
      </c>
      <c r="U2121" t="s">
        <v>339</v>
      </c>
    </row>
    <row r="2122" spans="1:21">
      <c r="A2122" t="str">
        <f>"300659"</f>
        <v>300659</v>
      </c>
      <c r="B2122" t="s">
        <v>4253</v>
      </c>
      <c r="C2122">
        <v>4.85</v>
      </c>
      <c r="D2122">
        <v>39.53</v>
      </c>
      <c r="E2122">
        <v>1.83</v>
      </c>
      <c r="F2122">
        <v>39.53</v>
      </c>
      <c r="G2122">
        <v>39.54</v>
      </c>
      <c r="H2122">
        <v>34059</v>
      </c>
      <c r="I2122">
        <v>243</v>
      </c>
      <c r="J2122">
        <v>0.05</v>
      </c>
      <c r="K2122">
        <v>2.29</v>
      </c>
      <c r="L2122">
        <v>13338.13</v>
      </c>
      <c r="M2122" t="s">
        <v>3251</v>
      </c>
      <c r="N2122" t="s">
        <v>30</v>
      </c>
      <c r="O2122">
        <v>38.38</v>
      </c>
      <c r="P2122">
        <v>39.82</v>
      </c>
      <c r="Q2122">
        <v>37.75</v>
      </c>
      <c r="R2122">
        <v>37.7</v>
      </c>
      <c r="S2122">
        <v>1525.89</v>
      </c>
      <c r="T2122">
        <v>1.04</v>
      </c>
      <c r="U2122" t="s">
        <v>221</v>
      </c>
    </row>
    <row r="2123" spans="1:21">
      <c r="A2123" t="str">
        <f>"300660"</f>
        <v>300660</v>
      </c>
      <c r="B2123" t="s">
        <v>4254</v>
      </c>
      <c r="C2123">
        <v>3.71</v>
      </c>
      <c r="D2123">
        <v>35.82</v>
      </c>
      <c r="E2123">
        <v>1.28</v>
      </c>
      <c r="F2123">
        <v>35.82</v>
      </c>
      <c r="G2123">
        <v>35.83</v>
      </c>
      <c r="H2123">
        <v>82986</v>
      </c>
      <c r="I2123">
        <v>1256</v>
      </c>
      <c r="J2123">
        <v>0.2</v>
      </c>
      <c r="K2123">
        <v>6.69</v>
      </c>
      <c r="L2123">
        <v>28269.29</v>
      </c>
      <c r="M2123" t="s">
        <v>4255</v>
      </c>
      <c r="N2123" t="s">
        <v>47</v>
      </c>
      <c r="O2123">
        <v>33.73</v>
      </c>
      <c r="P2123">
        <v>35.85</v>
      </c>
      <c r="Q2123">
        <v>32.12</v>
      </c>
      <c r="R2123">
        <v>34.54</v>
      </c>
      <c r="S2123">
        <v>31.38</v>
      </c>
      <c r="T2123">
        <v>1.26</v>
      </c>
      <c r="U2123" t="s">
        <v>102</v>
      </c>
    </row>
    <row r="2124" spans="1:21">
      <c r="A2124" t="str">
        <f>"300661"</f>
        <v>300661</v>
      </c>
      <c r="B2124" t="s">
        <v>4256</v>
      </c>
      <c r="C2124">
        <v>0.04</v>
      </c>
      <c r="D2124">
        <v>333</v>
      </c>
      <c r="E2124">
        <v>0.14</v>
      </c>
      <c r="F2124">
        <v>333</v>
      </c>
      <c r="G2124">
        <v>333.01</v>
      </c>
      <c r="H2124">
        <v>16332</v>
      </c>
      <c r="I2124">
        <v>265</v>
      </c>
      <c r="J2124">
        <v>0.1</v>
      </c>
      <c r="K2124">
        <v>0.74</v>
      </c>
      <c r="L2124">
        <v>53770.73</v>
      </c>
      <c r="M2124" t="s">
        <v>4257</v>
      </c>
      <c r="N2124" t="s">
        <v>69</v>
      </c>
      <c r="O2124">
        <v>331</v>
      </c>
      <c r="P2124">
        <v>336.6</v>
      </c>
      <c r="Q2124">
        <v>322.25</v>
      </c>
      <c r="R2124">
        <v>332.86</v>
      </c>
      <c r="S2124">
        <v>130.65</v>
      </c>
      <c r="T2124">
        <v>0.93</v>
      </c>
      <c r="U2124" t="s">
        <v>44</v>
      </c>
    </row>
    <row r="2125" spans="1:21">
      <c r="A2125" t="str">
        <f>"300662"</f>
        <v>300662</v>
      </c>
      <c r="B2125" t="s">
        <v>4258</v>
      </c>
      <c r="C2125">
        <v>1.33</v>
      </c>
      <c r="D2125">
        <v>61.68</v>
      </c>
      <c r="E2125">
        <v>0.81</v>
      </c>
      <c r="F2125">
        <v>61.66</v>
      </c>
      <c r="G2125">
        <v>61.68</v>
      </c>
      <c r="H2125">
        <v>10122</v>
      </c>
      <c r="I2125">
        <v>321</v>
      </c>
      <c r="J2125">
        <v>0.23</v>
      </c>
      <c r="K2125">
        <v>0.55</v>
      </c>
      <c r="L2125">
        <v>6145.06</v>
      </c>
      <c r="M2125" t="s">
        <v>4259</v>
      </c>
      <c r="N2125" t="s">
        <v>99</v>
      </c>
      <c r="O2125">
        <v>60.05</v>
      </c>
      <c r="P2125">
        <v>61.7</v>
      </c>
      <c r="Q2125">
        <v>59.65</v>
      </c>
      <c r="R2125">
        <v>60.87</v>
      </c>
      <c r="S2125">
        <v>48.41</v>
      </c>
      <c r="T2125">
        <v>1.41</v>
      </c>
      <c r="U2125" t="s">
        <v>44</v>
      </c>
    </row>
    <row r="2126" spans="1:21">
      <c r="A2126" t="str">
        <f>"300663"</f>
        <v>300663</v>
      </c>
      <c r="B2126" t="s">
        <v>4260</v>
      </c>
      <c r="C2126">
        <v>0.42</v>
      </c>
      <c r="D2126">
        <v>16.82</v>
      </c>
      <c r="E2126">
        <v>0.07</v>
      </c>
      <c r="F2126">
        <v>16.82</v>
      </c>
      <c r="G2126">
        <v>16.83</v>
      </c>
      <c r="H2126">
        <v>91490</v>
      </c>
      <c r="I2126">
        <v>1430</v>
      </c>
      <c r="J2126">
        <v>0</v>
      </c>
      <c r="K2126">
        <v>2.69</v>
      </c>
      <c r="L2126">
        <v>15352.91</v>
      </c>
      <c r="M2126" t="s">
        <v>4261</v>
      </c>
      <c r="N2126" t="s">
        <v>30</v>
      </c>
      <c r="O2126">
        <v>16.76</v>
      </c>
      <c r="P2126">
        <v>16.92</v>
      </c>
      <c r="Q2126">
        <v>16.61</v>
      </c>
      <c r="R2126">
        <v>16.75</v>
      </c>
      <c r="S2126" t="s">
        <v>40</v>
      </c>
      <c r="T2126">
        <v>0.6</v>
      </c>
      <c r="U2126" t="s">
        <v>44</v>
      </c>
    </row>
    <row r="2127" spans="1:21">
      <c r="A2127" t="str">
        <f>"300664"</f>
        <v>300664</v>
      </c>
      <c r="B2127" t="s">
        <v>4262</v>
      </c>
      <c r="C2127">
        <v>1.57</v>
      </c>
      <c r="D2127">
        <v>6.47</v>
      </c>
      <c r="E2127">
        <v>0.1</v>
      </c>
      <c r="F2127">
        <v>6.46</v>
      </c>
      <c r="G2127">
        <v>6.47</v>
      </c>
      <c r="H2127">
        <v>80092</v>
      </c>
      <c r="I2127">
        <v>1845</v>
      </c>
      <c r="J2127">
        <v>0.31</v>
      </c>
      <c r="K2127">
        <v>1.14</v>
      </c>
      <c r="L2127">
        <v>5139.19</v>
      </c>
      <c r="M2127" t="s">
        <v>4263</v>
      </c>
      <c r="N2127" t="s">
        <v>33</v>
      </c>
      <c r="O2127">
        <v>6.37</v>
      </c>
      <c r="P2127">
        <v>6.48</v>
      </c>
      <c r="Q2127">
        <v>6.34</v>
      </c>
      <c r="R2127">
        <v>6.37</v>
      </c>
      <c r="S2127">
        <v>12.2</v>
      </c>
      <c r="T2127">
        <v>0.89</v>
      </c>
      <c r="U2127" t="s">
        <v>102</v>
      </c>
    </row>
    <row r="2128" spans="1:21">
      <c r="A2128" t="str">
        <f>"300665"</f>
        <v>300665</v>
      </c>
      <c r="B2128" t="s">
        <v>4264</v>
      </c>
      <c r="C2128">
        <v>0.98</v>
      </c>
      <c r="D2128">
        <v>9.3</v>
      </c>
      <c r="E2128">
        <v>0.09</v>
      </c>
      <c r="F2128">
        <v>9.3</v>
      </c>
      <c r="G2128">
        <v>9.31</v>
      </c>
      <c r="H2128">
        <v>25425</v>
      </c>
      <c r="I2128">
        <v>425</v>
      </c>
      <c r="J2128">
        <v>-0.1</v>
      </c>
      <c r="K2128">
        <v>1.97</v>
      </c>
      <c r="L2128">
        <v>2348.13</v>
      </c>
      <c r="M2128" t="s">
        <v>4265</v>
      </c>
      <c r="N2128" t="s">
        <v>416</v>
      </c>
      <c r="O2128">
        <v>9.22</v>
      </c>
      <c r="P2128">
        <v>9.37</v>
      </c>
      <c r="Q2128">
        <v>9.09</v>
      </c>
      <c r="R2128">
        <v>9.21</v>
      </c>
      <c r="S2128">
        <v>120.52</v>
      </c>
      <c r="T2128">
        <v>0.77</v>
      </c>
      <c r="U2128" t="s">
        <v>204</v>
      </c>
    </row>
    <row r="2129" spans="1:21">
      <c r="A2129" t="str">
        <f>"300666"</f>
        <v>300666</v>
      </c>
      <c r="B2129" t="s">
        <v>4266</v>
      </c>
      <c r="C2129">
        <v>-0.45</v>
      </c>
      <c r="D2129">
        <v>44.58</v>
      </c>
      <c r="E2129">
        <v>-0.2</v>
      </c>
      <c r="F2129">
        <v>44.58</v>
      </c>
      <c r="G2129">
        <v>44.59</v>
      </c>
      <c r="H2129">
        <v>42215</v>
      </c>
      <c r="I2129">
        <v>848</v>
      </c>
      <c r="J2129">
        <v>0.16</v>
      </c>
      <c r="K2129">
        <v>2.78</v>
      </c>
      <c r="L2129">
        <v>18768.42</v>
      </c>
      <c r="M2129" t="s">
        <v>4267</v>
      </c>
      <c r="N2129" t="s">
        <v>69</v>
      </c>
      <c r="O2129">
        <v>44.33</v>
      </c>
      <c r="P2129">
        <v>45.3</v>
      </c>
      <c r="Q2129">
        <v>44.03</v>
      </c>
      <c r="R2129">
        <v>44.78</v>
      </c>
      <c r="S2129">
        <v>79.03</v>
      </c>
      <c r="T2129">
        <v>1.05</v>
      </c>
      <c r="U2129" t="s">
        <v>200</v>
      </c>
    </row>
    <row r="2130" spans="1:21">
      <c r="A2130" t="str">
        <f>"300667"</f>
        <v>300667</v>
      </c>
      <c r="B2130" t="s">
        <v>4268</v>
      </c>
      <c r="C2130">
        <v>3.13</v>
      </c>
      <c r="D2130">
        <v>24.4</v>
      </c>
      <c r="E2130">
        <v>0.74</v>
      </c>
      <c r="F2130">
        <v>24.4</v>
      </c>
      <c r="G2130">
        <v>24.41</v>
      </c>
      <c r="H2130">
        <v>29542</v>
      </c>
      <c r="I2130">
        <v>1147</v>
      </c>
      <c r="J2130">
        <v>0.04</v>
      </c>
      <c r="K2130">
        <v>2.02</v>
      </c>
      <c r="L2130">
        <v>7172.6</v>
      </c>
      <c r="M2130" t="s">
        <v>4269</v>
      </c>
      <c r="N2130" t="s">
        <v>1028</v>
      </c>
      <c r="O2130">
        <v>23.52</v>
      </c>
      <c r="P2130">
        <v>24.6</v>
      </c>
      <c r="Q2130">
        <v>23.52</v>
      </c>
      <c r="R2130">
        <v>23.66</v>
      </c>
      <c r="S2130">
        <v>112.94</v>
      </c>
      <c r="T2130">
        <v>1.34</v>
      </c>
      <c r="U2130" t="s">
        <v>44</v>
      </c>
    </row>
    <row r="2131" spans="1:21">
      <c r="A2131" t="str">
        <f>"300668"</f>
        <v>300668</v>
      </c>
      <c r="B2131" t="s">
        <v>4270</v>
      </c>
      <c r="C2131">
        <v>0.51</v>
      </c>
      <c r="D2131">
        <v>15.65</v>
      </c>
      <c r="E2131">
        <v>0.08</v>
      </c>
      <c r="F2131">
        <v>15.64</v>
      </c>
      <c r="G2131">
        <v>15.65</v>
      </c>
      <c r="H2131">
        <v>22668</v>
      </c>
      <c r="I2131">
        <v>419</v>
      </c>
      <c r="J2131">
        <v>0.51</v>
      </c>
      <c r="K2131">
        <v>4.04</v>
      </c>
      <c r="L2131">
        <v>3529.87</v>
      </c>
      <c r="M2131" t="s">
        <v>4271</v>
      </c>
      <c r="N2131" t="s">
        <v>1189</v>
      </c>
      <c r="O2131">
        <v>15.52</v>
      </c>
      <c r="P2131">
        <v>15.84</v>
      </c>
      <c r="Q2131">
        <v>15.27</v>
      </c>
      <c r="R2131">
        <v>15.57</v>
      </c>
      <c r="S2131">
        <v>59.68</v>
      </c>
      <c r="T2131">
        <v>0.6</v>
      </c>
      <c r="U2131" t="s">
        <v>24</v>
      </c>
    </row>
    <row r="2132" spans="1:21">
      <c r="A2132" t="str">
        <f>"300669"</f>
        <v>300669</v>
      </c>
      <c r="B2132" t="s">
        <v>4272</v>
      </c>
      <c r="C2132">
        <v>0.27</v>
      </c>
      <c r="D2132">
        <v>18.4</v>
      </c>
      <c r="E2132">
        <v>0.05</v>
      </c>
      <c r="F2132">
        <v>18.37</v>
      </c>
      <c r="G2132">
        <v>18.4</v>
      </c>
      <c r="H2132">
        <v>10421</v>
      </c>
      <c r="I2132">
        <v>204</v>
      </c>
      <c r="J2132">
        <v>0</v>
      </c>
      <c r="K2132">
        <v>1.04</v>
      </c>
      <c r="L2132">
        <v>1913.69</v>
      </c>
      <c r="M2132" t="s">
        <v>4273</v>
      </c>
      <c r="N2132" t="s">
        <v>347</v>
      </c>
      <c r="O2132">
        <v>18.35</v>
      </c>
      <c r="P2132">
        <v>18.56</v>
      </c>
      <c r="Q2132">
        <v>18.18</v>
      </c>
      <c r="R2132">
        <v>18.35</v>
      </c>
      <c r="S2132">
        <v>40.37</v>
      </c>
      <c r="T2132">
        <v>0.89</v>
      </c>
      <c r="U2132" t="s">
        <v>200</v>
      </c>
    </row>
    <row r="2133" spans="1:21">
      <c r="A2133" t="str">
        <f>"300670"</f>
        <v>300670</v>
      </c>
      <c r="B2133" t="s">
        <v>4274</v>
      </c>
      <c r="C2133">
        <v>-1.11</v>
      </c>
      <c r="D2133">
        <v>11.61</v>
      </c>
      <c r="E2133">
        <v>-0.13</v>
      </c>
      <c r="F2133">
        <v>11.61</v>
      </c>
      <c r="G2133">
        <v>11.62</v>
      </c>
      <c r="H2133">
        <v>211028</v>
      </c>
      <c r="I2133">
        <v>2959</v>
      </c>
      <c r="J2133">
        <v>0.26</v>
      </c>
      <c r="K2133">
        <v>9.98</v>
      </c>
      <c r="L2133">
        <v>25027.4</v>
      </c>
      <c r="M2133" t="s">
        <v>4275</v>
      </c>
      <c r="N2133" t="s">
        <v>47</v>
      </c>
      <c r="O2133">
        <v>11.76</v>
      </c>
      <c r="P2133">
        <v>12.23</v>
      </c>
      <c r="Q2133">
        <v>11.52</v>
      </c>
      <c r="R2133">
        <v>11.74</v>
      </c>
      <c r="S2133">
        <v>150.07</v>
      </c>
      <c r="T2133">
        <v>0.62</v>
      </c>
      <c r="U2133" t="s">
        <v>102</v>
      </c>
    </row>
    <row r="2134" spans="1:21">
      <c r="A2134" t="str">
        <f>"300671"</f>
        <v>300671</v>
      </c>
      <c r="B2134" t="s">
        <v>4276</v>
      </c>
      <c r="C2134">
        <v>0.13</v>
      </c>
      <c r="D2134">
        <v>78.95</v>
      </c>
      <c r="E2134">
        <v>0.1</v>
      </c>
      <c r="F2134">
        <v>78.94</v>
      </c>
      <c r="G2134">
        <v>78.95</v>
      </c>
      <c r="H2134">
        <v>67750</v>
      </c>
      <c r="I2134">
        <v>700</v>
      </c>
      <c r="J2134">
        <v>0</v>
      </c>
      <c r="K2134">
        <v>3.32</v>
      </c>
      <c r="L2134">
        <v>53104.38</v>
      </c>
      <c r="M2134" t="s">
        <v>3904</v>
      </c>
      <c r="N2134" t="s">
        <v>1246</v>
      </c>
      <c r="O2134">
        <v>79.36</v>
      </c>
      <c r="P2134">
        <v>79.66</v>
      </c>
      <c r="Q2134">
        <v>77.51</v>
      </c>
      <c r="R2134">
        <v>78.85</v>
      </c>
      <c r="S2134">
        <v>25.04</v>
      </c>
      <c r="T2134">
        <v>0.76</v>
      </c>
      <c r="U2134" t="s">
        <v>24</v>
      </c>
    </row>
    <row r="2135" spans="1:21">
      <c r="A2135" t="str">
        <f>"300672"</f>
        <v>300672</v>
      </c>
      <c r="B2135" t="s">
        <v>4277</v>
      </c>
      <c r="C2135">
        <v>-0.75</v>
      </c>
      <c r="D2135">
        <v>225.6</v>
      </c>
      <c r="E2135">
        <v>-1.7</v>
      </c>
      <c r="F2135">
        <v>225.6</v>
      </c>
      <c r="G2135">
        <v>225.62</v>
      </c>
      <c r="H2135">
        <v>28419</v>
      </c>
      <c r="I2135">
        <v>251</v>
      </c>
      <c r="J2135">
        <v>0.27</v>
      </c>
      <c r="K2135">
        <v>1.64</v>
      </c>
      <c r="L2135">
        <v>63869.32</v>
      </c>
      <c r="M2135" t="s">
        <v>4278</v>
      </c>
      <c r="N2135" t="s">
        <v>1246</v>
      </c>
      <c r="O2135">
        <v>227.02</v>
      </c>
      <c r="P2135">
        <v>229.25</v>
      </c>
      <c r="Q2135">
        <v>219.8</v>
      </c>
      <c r="R2135">
        <v>227.3</v>
      </c>
      <c r="S2135">
        <v>167.97</v>
      </c>
      <c r="T2135">
        <v>0.63</v>
      </c>
      <c r="U2135" t="s">
        <v>204</v>
      </c>
    </row>
    <row r="2136" spans="1:21">
      <c r="A2136" t="str">
        <f>"300673"</f>
        <v>300673</v>
      </c>
      <c r="B2136" t="s">
        <v>4279</v>
      </c>
      <c r="C2136">
        <v>-0.05</v>
      </c>
      <c r="D2136">
        <v>18.18</v>
      </c>
      <c r="E2136">
        <v>-0.01</v>
      </c>
      <c r="F2136">
        <v>18.17</v>
      </c>
      <c r="G2136">
        <v>18.18</v>
      </c>
      <c r="H2136">
        <v>21550</v>
      </c>
      <c r="I2136">
        <v>401</v>
      </c>
      <c r="J2136">
        <v>-0.15</v>
      </c>
      <c r="K2136">
        <v>1.33</v>
      </c>
      <c r="L2136">
        <v>3915.06</v>
      </c>
      <c r="M2136" t="s">
        <v>4280</v>
      </c>
      <c r="N2136" t="s">
        <v>124</v>
      </c>
      <c r="O2136">
        <v>18.17</v>
      </c>
      <c r="P2136">
        <v>18.29</v>
      </c>
      <c r="Q2136">
        <v>18.06</v>
      </c>
      <c r="R2136">
        <v>18.19</v>
      </c>
      <c r="S2136">
        <v>43.91</v>
      </c>
      <c r="T2136">
        <v>0.43</v>
      </c>
      <c r="U2136" t="s">
        <v>200</v>
      </c>
    </row>
    <row r="2137" spans="1:21">
      <c r="A2137" t="str">
        <f>"300674"</f>
        <v>300674</v>
      </c>
      <c r="B2137" t="s">
        <v>4281</v>
      </c>
      <c r="C2137">
        <v>1.11</v>
      </c>
      <c r="D2137">
        <v>20.12</v>
      </c>
      <c r="E2137">
        <v>0.22</v>
      </c>
      <c r="F2137">
        <v>20.12</v>
      </c>
      <c r="G2137">
        <v>20.13</v>
      </c>
      <c r="H2137">
        <v>121637</v>
      </c>
      <c r="I2137">
        <v>2542</v>
      </c>
      <c r="J2137">
        <v>0.2</v>
      </c>
      <c r="K2137">
        <v>1.88</v>
      </c>
      <c r="L2137">
        <v>24514.67</v>
      </c>
      <c r="M2137" t="s">
        <v>4282</v>
      </c>
      <c r="N2137" t="s">
        <v>30</v>
      </c>
      <c r="O2137">
        <v>20.01</v>
      </c>
      <c r="P2137">
        <v>20.42</v>
      </c>
      <c r="Q2137">
        <v>19.9</v>
      </c>
      <c r="R2137">
        <v>19.9</v>
      </c>
      <c r="S2137">
        <v>64.24</v>
      </c>
      <c r="T2137">
        <v>0.89</v>
      </c>
      <c r="U2137" t="s">
        <v>44</v>
      </c>
    </row>
    <row r="2138" spans="1:21">
      <c r="A2138" t="str">
        <f>"300675"</f>
        <v>300675</v>
      </c>
      <c r="B2138" t="s">
        <v>4283</v>
      </c>
      <c r="C2138">
        <v>0.14</v>
      </c>
      <c r="D2138">
        <v>14.61</v>
      </c>
      <c r="E2138">
        <v>0.02</v>
      </c>
      <c r="F2138">
        <v>14.6</v>
      </c>
      <c r="G2138">
        <v>14.61</v>
      </c>
      <c r="H2138">
        <v>17201</v>
      </c>
      <c r="I2138">
        <v>128</v>
      </c>
      <c r="J2138">
        <v>0.14</v>
      </c>
      <c r="K2138">
        <v>1.17</v>
      </c>
      <c r="L2138">
        <v>2500.56</v>
      </c>
      <c r="M2138" t="s">
        <v>4284</v>
      </c>
      <c r="N2138" t="s">
        <v>50</v>
      </c>
      <c r="O2138">
        <v>14.73</v>
      </c>
      <c r="P2138">
        <v>14.73</v>
      </c>
      <c r="Q2138">
        <v>14.42</v>
      </c>
      <c r="R2138">
        <v>14.59</v>
      </c>
      <c r="S2138" t="s">
        <v>40</v>
      </c>
      <c r="T2138">
        <v>1.1</v>
      </c>
      <c r="U2138" t="s">
        <v>24</v>
      </c>
    </row>
    <row r="2139" spans="1:21">
      <c r="A2139" t="str">
        <f>"300676"</f>
        <v>300676</v>
      </c>
      <c r="B2139" t="s">
        <v>4285</v>
      </c>
      <c r="C2139">
        <v>0.15</v>
      </c>
      <c r="D2139">
        <v>90.75</v>
      </c>
      <c r="E2139">
        <v>0.14</v>
      </c>
      <c r="F2139">
        <v>90.75</v>
      </c>
      <c r="G2139">
        <v>90.76</v>
      </c>
      <c r="H2139">
        <v>21165</v>
      </c>
      <c r="I2139">
        <v>696</v>
      </c>
      <c r="J2139">
        <v>0.11</v>
      </c>
      <c r="K2139">
        <v>0.81</v>
      </c>
      <c r="L2139">
        <v>19141.11</v>
      </c>
      <c r="M2139" t="s">
        <v>4286</v>
      </c>
      <c r="N2139" t="s">
        <v>186</v>
      </c>
      <c r="O2139">
        <v>90.2</v>
      </c>
      <c r="P2139">
        <v>91.3</v>
      </c>
      <c r="Q2139">
        <v>89.71</v>
      </c>
      <c r="R2139">
        <v>90.61</v>
      </c>
      <c r="S2139">
        <v>19.92</v>
      </c>
      <c r="T2139">
        <v>0.6</v>
      </c>
      <c r="U2139" t="s">
        <v>24</v>
      </c>
    </row>
    <row r="2140" spans="1:21">
      <c r="A2140" t="str">
        <f>"300677"</f>
        <v>300677</v>
      </c>
      <c r="B2140" t="s">
        <v>4287</v>
      </c>
      <c r="C2140">
        <v>0.09</v>
      </c>
      <c r="D2140">
        <v>55.09</v>
      </c>
      <c r="E2140">
        <v>0.05</v>
      </c>
      <c r="F2140">
        <v>55.09</v>
      </c>
      <c r="G2140">
        <v>55.1</v>
      </c>
      <c r="H2140">
        <v>79798</v>
      </c>
      <c r="I2140">
        <v>878</v>
      </c>
      <c r="J2140">
        <v>0.02</v>
      </c>
      <c r="K2140">
        <v>2.11</v>
      </c>
      <c r="L2140">
        <v>43821.44</v>
      </c>
      <c r="M2140" t="s">
        <v>4288</v>
      </c>
      <c r="N2140" t="s">
        <v>186</v>
      </c>
      <c r="O2140">
        <v>55</v>
      </c>
      <c r="P2140">
        <v>55.5</v>
      </c>
      <c r="Q2140">
        <v>54.44</v>
      </c>
      <c r="R2140">
        <v>55.04</v>
      </c>
      <c r="S2140">
        <v>3.27</v>
      </c>
      <c r="T2140">
        <v>0.5</v>
      </c>
      <c r="U2140" t="s">
        <v>221</v>
      </c>
    </row>
    <row r="2141" spans="1:21">
      <c r="A2141" t="str">
        <f>"300678"</f>
        <v>300678</v>
      </c>
      <c r="B2141" t="s">
        <v>4289</v>
      </c>
      <c r="C2141">
        <v>1.04</v>
      </c>
      <c r="D2141">
        <v>17.55</v>
      </c>
      <c r="E2141">
        <v>0.18</v>
      </c>
      <c r="F2141">
        <v>17.55</v>
      </c>
      <c r="G2141">
        <v>17.57</v>
      </c>
      <c r="H2141">
        <v>21368</v>
      </c>
      <c r="I2141">
        <v>281</v>
      </c>
      <c r="J2141">
        <v>-0.1</v>
      </c>
      <c r="K2141">
        <v>1.19</v>
      </c>
      <c r="L2141">
        <v>3748.69</v>
      </c>
      <c r="M2141" t="s">
        <v>4290</v>
      </c>
      <c r="N2141" t="s">
        <v>30</v>
      </c>
      <c r="O2141">
        <v>17.36</v>
      </c>
      <c r="P2141">
        <v>17.75</v>
      </c>
      <c r="Q2141">
        <v>17.25</v>
      </c>
      <c r="R2141">
        <v>17.37</v>
      </c>
      <c r="S2141">
        <v>210.11</v>
      </c>
      <c r="T2141">
        <v>1.04</v>
      </c>
      <c r="U2141" t="s">
        <v>196</v>
      </c>
    </row>
    <row r="2142" spans="1:21">
      <c r="A2142" t="str">
        <f>"300679"</f>
        <v>300679</v>
      </c>
      <c r="B2142" t="s">
        <v>4291</v>
      </c>
      <c r="C2142">
        <v>5.06</v>
      </c>
      <c r="D2142">
        <v>54.84</v>
      </c>
      <c r="E2142">
        <v>2.64</v>
      </c>
      <c r="F2142">
        <v>54.8</v>
      </c>
      <c r="G2142">
        <v>54.84</v>
      </c>
      <c r="H2142">
        <v>106005</v>
      </c>
      <c r="I2142">
        <v>1093</v>
      </c>
      <c r="J2142">
        <v>-0.06</v>
      </c>
      <c r="K2142">
        <v>3.42</v>
      </c>
      <c r="L2142">
        <v>56814.14</v>
      </c>
      <c r="M2142" t="s">
        <v>4292</v>
      </c>
      <c r="N2142" t="s">
        <v>69</v>
      </c>
      <c r="O2142">
        <v>52</v>
      </c>
      <c r="P2142">
        <v>55</v>
      </c>
      <c r="Q2142">
        <v>51.31</v>
      </c>
      <c r="R2142">
        <v>52.2</v>
      </c>
      <c r="S2142">
        <v>61.21</v>
      </c>
      <c r="T2142">
        <v>1.31</v>
      </c>
      <c r="U2142" t="s">
        <v>24</v>
      </c>
    </row>
    <row r="2143" spans="1:21">
      <c r="A2143" t="str">
        <f>"300680"</f>
        <v>300680</v>
      </c>
      <c r="B2143" t="s">
        <v>4293</v>
      </c>
      <c r="C2143">
        <v>-1.09</v>
      </c>
      <c r="D2143">
        <v>31.85</v>
      </c>
      <c r="E2143">
        <v>-0.35</v>
      </c>
      <c r="F2143">
        <v>31.85</v>
      </c>
      <c r="G2143">
        <v>31.86</v>
      </c>
      <c r="H2143">
        <v>40381</v>
      </c>
      <c r="I2143">
        <v>168</v>
      </c>
      <c r="J2143">
        <v>0.16</v>
      </c>
      <c r="K2143">
        <v>2.89</v>
      </c>
      <c r="L2143">
        <v>12905.51</v>
      </c>
      <c r="M2143" t="s">
        <v>4294</v>
      </c>
      <c r="N2143" t="s">
        <v>91</v>
      </c>
      <c r="O2143">
        <v>32.01</v>
      </c>
      <c r="P2143">
        <v>32.93</v>
      </c>
      <c r="Q2143">
        <v>31.35</v>
      </c>
      <c r="R2143">
        <v>32.2</v>
      </c>
      <c r="S2143">
        <v>67.85</v>
      </c>
      <c r="T2143">
        <v>0.78</v>
      </c>
      <c r="U2143" t="s">
        <v>102</v>
      </c>
    </row>
    <row r="2144" spans="1:21">
      <c r="A2144" t="str">
        <f>"300681"</f>
        <v>300681</v>
      </c>
      <c r="B2144" t="s">
        <v>4295</v>
      </c>
      <c r="C2144">
        <v>-1.06</v>
      </c>
      <c r="D2144">
        <v>120.8</v>
      </c>
      <c r="E2144">
        <v>-1.3</v>
      </c>
      <c r="F2144">
        <v>120.79</v>
      </c>
      <c r="G2144">
        <v>120.8</v>
      </c>
      <c r="H2144">
        <v>29122</v>
      </c>
      <c r="I2144">
        <v>131</v>
      </c>
      <c r="J2144">
        <v>0.42</v>
      </c>
      <c r="K2144">
        <v>6.72</v>
      </c>
      <c r="L2144">
        <v>35130.8</v>
      </c>
      <c r="M2144" t="s">
        <v>4296</v>
      </c>
      <c r="N2144" t="s">
        <v>91</v>
      </c>
      <c r="O2144">
        <v>123.13</v>
      </c>
      <c r="P2144">
        <v>126.34</v>
      </c>
      <c r="Q2144">
        <v>114</v>
      </c>
      <c r="R2144">
        <v>122.1</v>
      </c>
      <c r="S2144">
        <v>402.76</v>
      </c>
      <c r="T2144">
        <v>1.05</v>
      </c>
      <c r="U2144" t="s">
        <v>183</v>
      </c>
    </row>
    <row r="2145" spans="1:21">
      <c r="A2145" t="str">
        <f>"300682"</f>
        <v>300682</v>
      </c>
      <c r="B2145" t="s">
        <v>4297</v>
      </c>
      <c r="C2145">
        <v>7.82</v>
      </c>
      <c r="D2145">
        <v>38.49</v>
      </c>
      <c r="E2145">
        <v>2.79</v>
      </c>
      <c r="F2145">
        <v>38.49</v>
      </c>
      <c r="G2145">
        <v>38.5</v>
      </c>
      <c r="H2145">
        <v>88040</v>
      </c>
      <c r="I2145">
        <v>1265</v>
      </c>
      <c r="J2145">
        <v>0.31</v>
      </c>
      <c r="K2145">
        <v>1.21</v>
      </c>
      <c r="L2145">
        <v>33038.44</v>
      </c>
      <c r="M2145" t="s">
        <v>4298</v>
      </c>
      <c r="N2145" t="s">
        <v>30</v>
      </c>
      <c r="O2145">
        <v>35.42</v>
      </c>
      <c r="P2145">
        <v>38.5</v>
      </c>
      <c r="Q2145">
        <v>35.3</v>
      </c>
      <c r="R2145">
        <v>35.7</v>
      </c>
      <c r="S2145">
        <v>162.56</v>
      </c>
      <c r="T2145">
        <v>1.02</v>
      </c>
      <c r="U2145" t="s">
        <v>102</v>
      </c>
    </row>
    <row r="2146" spans="1:21">
      <c r="A2146" t="str">
        <f>"300683"</f>
        <v>300683</v>
      </c>
      <c r="B2146" t="s">
        <v>4299</v>
      </c>
      <c r="C2146">
        <v>3.34</v>
      </c>
      <c r="D2146">
        <v>50.1</v>
      </c>
      <c r="E2146">
        <v>1.62</v>
      </c>
      <c r="F2146">
        <v>50.1</v>
      </c>
      <c r="G2146">
        <v>50.13</v>
      </c>
      <c r="H2146">
        <v>13757</v>
      </c>
      <c r="I2146">
        <v>109</v>
      </c>
      <c r="J2146">
        <v>0.16</v>
      </c>
      <c r="K2146">
        <v>1.45</v>
      </c>
      <c r="L2146">
        <v>6858.97</v>
      </c>
      <c r="M2146" t="s">
        <v>893</v>
      </c>
      <c r="N2146" t="s">
        <v>231</v>
      </c>
      <c r="O2146">
        <v>48.39</v>
      </c>
      <c r="P2146">
        <v>50.99</v>
      </c>
      <c r="Q2146">
        <v>48.01</v>
      </c>
      <c r="R2146">
        <v>48.48</v>
      </c>
      <c r="S2146">
        <v>246.19</v>
      </c>
      <c r="T2146">
        <v>0.79</v>
      </c>
      <c r="U2146" t="s">
        <v>267</v>
      </c>
    </row>
    <row r="2147" spans="1:21">
      <c r="A2147" t="str">
        <f>"300684"</f>
        <v>300684</v>
      </c>
      <c r="B2147" t="s">
        <v>4300</v>
      </c>
      <c r="C2147">
        <v>0.15</v>
      </c>
      <c r="D2147">
        <v>20.72</v>
      </c>
      <c r="E2147">
        <v>0.03</v>
      </c>
      <c r="F2147">
        <v>20.72</v>
      </c>
      <c r="G2147">
        <v>20.73</v>
      </c>
      <c r="H2147">
        <v>123901</v>
      </c>
      <c r="I2147">
        <v>2186</v>
      </c>
      <c r="J2147">
        <v>0.15</v>
      </c>
      <c r="K2147">
        <v>7.75</v>
      </c>
      <c r="L2147">
        <v>25632.5</v>
      </c>
      <c r="M2147" t="s">
        <v>4301</v>
      </c>
      <c r="N2147" t="s">
        <v>309</v>
      </c>
      <c r="O2147">
        <v>20.55</v>
      </c>
      <c r="P2147">
        <v>21.11</v>
      </c>
      <c r="Q2147">
        <v>20.21</v>
      </c>
      <c r="R2147">
        <v>20.69</v>
      </c>
      <c r="S2147">
        <v>37.03</v>
      </c>
      <c r="T2147">
        <v>1.02</v>
      </c>
      <c r="U2147" t="s">
        <v>44</v>
      </c>
    </row>
    <row r="2148" spans="1:21">
      <c r="A2148" t="str">
        <f>"300685"</f>
        <v>300685</v>
      </c>
      <c r="B2148" t="s">
        <v>4302</v>
      </c>
      <c r="C2148">
        <v>-1.27</v>
      </c>
      <c r="D2148">
        <v>80.12</v>
      </c>
      <c r="E2148">
        <v>-1.03</v>
      </c>
      <c r="F2148">
        <v>80.1</v>
      </c>
      <c r="G2148">
        <v>80.12</v>
      </c>
      <c r="H2148">
        <v>12111</v>
      </c>
      <c r="I2148">
        <v>76</v>
      </c>
      <c r="J2148">
        <v>0.15</v>
      </c>
      <c r="K2148">
        <v>0.55</v>
      </c>
      <c r="L2148">
        <v>9715.2</v>
      </c>
      <c r="M2148" t="s">
        <v>4303</v>
      </c>
      <c r="N2148" t="s">
        <v>231</v>
      </c>
      <c r="O2148">
        <v>80.99</v>
      </c>
      <c r="P2148">
        <v>81.5</v>
      </c>
      <c r="Q2148">
        <v>79.5</v>
      </c>
      <c r="R2148">
        <v>81.15</v>
      </c>
      <c r="S2148">
        <v>75.46</v>
      </c>
      <c r="T2148">
        <v>0.78</v>
      </c>
      <c r="U2148" t="s">
        <v>339</v>
      </c>
    </row>
    <row r="2149" spans="1:21">
      <c r="A2149" t="str">
        <f>"300686"</f>
        <v>300686</v>
      </c>
      <c r="B2149" t="s">
        <v>4304</v>
      </c>
      <c r="C2149">
        <v>0.77</v>
      </c>
      <c r="D2149">
        <v>14.48</v>
      </c>
      <c r="E2149">
        <v>0.11</v>
      </c>
      <c r="F2149">
        <v>14.48</v>
      </c>
      <c r="G2149">
        <v>14.49</v>
      </c>
      <c r="H2149">
        <v>29261</v>
      </c>
      <c r="I2149">
        <v>358</v>
      </c>
      <c r="J2149">
        <v>-0.06</v>
      </c>
      <c r="K2149">
        <v>1.48</v>
      </c>
      <c r="L2149">
        <v>4229.41</v>
      </c>
      <c r="M2149" t="s">
        <v>1077</v>
      </c>
      <c r="N2149" t="s">
        <v>69</v>
      </c>
      <c r="O2149">
        <v>14.3</v>
      </c>
      <c r="P2149">
        <v>14.56</v>
      </c>
      <c r="Q2149">
        <v>14.24</v>
      </c>
      <c r="R2149">
        <v>14.37</v>
      </c>
      <c r="S2149">
        <v>37.88</v>
      </c>
      <c r="T2149">
        <v>0.76</v>
      </c>
      <c r="U2149" t="s">
        <v>24</v>
      </c>
    </row>
    <row r="2150" spans="1:21">
      <c r="A2150" t="str">
        <f>"300687"</f>
        <v>300687</v>
      </c>
      <c r="B2150" t="s">
        <v>4305</v>
      </c>
      <c r="C2150">
        <v>2.82</v>
      </c>
      <c r="D2150">
        <v>27.38</v>
      </c>
      <c r="E2150">
        <v>0.75</v>
      </c>
      <c r="F2150">
        <v>27.38</v>
      </c>
      <c r="G2150">
        <v>27.39</v>
      </c>
      <c r="H2150">
        <v>49044</v>
      </c>
      <c r="I2150">
        <v>1266</v>
      </c>
      <c r="J2150">
        <v>-0.03</v>
      </c>
      <c r="K2150">
        <v>1.8</v>
      </c>
      <c r="L2150">
        <v>13388.57</v>
      </c>
      <c r="M2150" t="s">
        <v>4306</v>
      </c>
      <c r="N2150" t="s">
        <v>30</v>
      </c>
      <c r="O2150">
        <v>26.39</v>
      </c>
      <c r="P2150">
        <v>27.58</v>
      </c>
      <c r="Q2150">
        <v>26.35</v>
      </c>
      <c r="R2150">
        <v>26.63</v>
      </c>
      <c r="S2150">
        <v>57.35</v>
      </c>
      <c r="T2150">
        <v>0.86</v>
      </c>
      <c r="U2150" t="s">
        <v>183</v>
      </c>
    </row>
    <row r="2151" spans="1:21">
      <c r="A2151" t="str">
        <f>"300688"</f>
        <v>300688</v>
      </c>
      <c r="B2151" t="s">
        <v>4307</v>
      </c>
      <c r="C2151">
        <v>6.36</v>
      </c>
      <c r="D2151">
        <v>41.29</v>
      </c>
      <c r="E2151">
        <v>2.47</v>
      </c>
      <c r="F2151">
        <v>41.28</v>
      </c>
      <c r="G2151">
        <v>41.29</v>
      </c>
      <c r="H2151">
        <v>195881</v>
      </c>
      <c r="I2151">
        <v>2809</v>
      </c>
      <c r="J2151">
        <v>0.15</v>
      </c>
      <c r="K2151">
        <v>22.23</v>
      </c>
      <c r="L2151">
        <v>79974.98</v>
      </c>
      <c r="M2151" t="s">
        <v>4308</v>
      </c>
      <c r="N2151" t="s">
        <v>63</v>
      </c>
      <c r="O2151">
        <v>39.25</v>
      </c>
      <c r="P2151">
        <v>41.72</v>
      </c>
      <c r="Q2151">
        <v>39.21</v>
      </c>
      <c r="R2151">
        <v>38.82</v>
      </c>
      <c r="S2151">
        <v>432.64</v>
      </c>
      <c r="T2151">
        <v>0.99</v>
      </c>
      <c r="U2151" t="s">
        <v>44</v>
      </c>
    </row>
    <row r="2152" spans="1:21">
      <c r="A2152" t="str">
        <f>"300689"</f>
        <v>300689</v>
      </c>
      <c r="B2152" t="s">
        <v>4309</v>
      </c>
      <c r="C2152">
        <v>1.39</v>
      </c>
      <c r="D2152">
        <v>21.87</v>
      </c>
      <c r="E2152">
        <v>0.3</v>
      </c>
      <c r="F2152">
        <v>21.86</v>
      </c>
      <c r="G2152">
        <v>21.87</v>
      </c>
      <c r="H2152">
        <v>6857</v>
      </c>
      <c r="I2152">
        <v>276</v>
      </c>
      <c r="J2152">
        <v>0.14</v>
      </c>
      <c r="K2152">
        <v>0.7</v>
      </c>
      <c r="L2152">
        <v>1498.9</v>
      </c>
      <c r="M2152" t="s">
        <v>4310</v>
      </c>
      <c r="N2152" t="s">
        <v>69</v>
      </c>
      <c r="O2152">
        <v>21.52</v>
      </c>
      <c r="P2152">
        <v>22.07</v>
      </c>
      <c r="Q2152">
        <v>21.51</v>
      </c>
      <c r="R2152">
        <v>21.57</v>
      </c>
      <c r="S2152">
        <v>148.63</v>
      </c>
      <c r="T2152">
        <v>0.87</v>
      </c>
      <c r="U2152" t="s">
        <v>24</v>
      </c>
    </row>
    <row r="2153" spans="1:21">
      <c r="A2153" t="str">
        <f>"300690"</f>
        <v>300690</v>
      </c>
      <c r="B2153" t="s">
        <v>4311</v>
      </c>
      <c r="C2153">
        <v>-0.35</v>
      </c>
      <c r="D2153">
        <v>31.16</v>
      </c>
      <c r="E2153">
        <v>-0.11</v>
      </c>
      <c r="F2153">
        <v>31.15</v>
      </c>
      <c r="G2153">
        <v>31.16</v>
      </c>
      <c r="H2153">
        <v>109788</v>
      </c>
      <c r="I2153">
        <v>1968</v>
      </c>
      <c r="J2153">
        <v>0</v>
      </c>
      <c r="K2153">
        <v>10.1</v>
      </c>
      <c r="L2153">
        <v>33884.04</v>
      </c>
      <c r="M2153" t="s">
        <v>947</v>
      </c>
      <c r="N2153" t="s">
        <v>47</v>
      </c>
      <c r="O2153">
        <v>30.87</v>
      </c>
      <c r="P2153">
        <v>31.5</v>
      </c>
      <c r="Q2153">
        <v>30.2</v>
      </c>
      <c r="R2153">
        <v>31.27</v>
      </c>
      <c r="S2153">
        <v>30.96</v>
      </c>
      <c r="T2153">
        <v>0.77</v>
      </c>
      <c r="U2153" t="s">
        <v>221</v>
      </c>
    </row>
    <row r="2154" spans="1:21">
      <c r="A2154" t="str">
        <f>"300691"</f>
        <v>300691</v>
      </c>
      <c r="B2154" t="s">
        <v>4312</v>
      </c>
      <c r="C2154">
        <v>-3.93</v>
      </c>
      <c r="D2154">
        <v>23.97</v>
      </c>
      <c r="E2154">
        <v>-0.98</v>
      </c>
      <c r="F2154">
        <v>23.97</v>
      </c>
      <c r="G2154">
        <v>23.98</v>
      </c>
      <c r="H2154">
        <v>386990</v>
      </c>
      <c r="I2154">
        <v>6685</v>
      </c>
      <c r="J2154">
        <v>-0.32</v>
      </c>
      <c r="K2154">
        <v>21.14</v>
      </c>
      <c r="L2154">
        <v>98206.6</v>
      </c>
      <c r="M2154" t="s">
        <v>4313</v>
      </c>
      <c r="N2154" t="s">
        <v>69</v>
      </c>
      <c r="O2154">
        <v>25.5</v>
      </c>
      <c r="P2154">
        <v>27.27</v>
      </c>
      <c r="Q2154">
        <v>23.88</v>
      </c>
      <c r="R2154">
        <v>24.95</v>
      </c>
      <c r="S2154">
        <v>63.26</v>
      </c>
      <c r="T2154">
        <v>1.26</v>
      </c>
      <c r="U2154" t="s">
        <v>183</v>
      </c>
    </row>
    <row r="2155" spans="1:21">
      <c r="A2155" t="str">
        <f>"300692"</f>
        <v>300692</v>
      </c>
      <c r="B2155" t="s">
        <v>4314</v>
      </c>
      <c r="C2155">
        <v>0.77</v>
      </c>
      <c r="D2155">
        <v>7.9</v>
      </c>
      <c r="E2155">
        <v>0.06</v>
      </c>
      <c r="F2155">
        <v>7.9</v>
      </c>
      <c r="G2155">
        <v>7.91</v>
      </c>
      <c r="H2155">
        <v>98348</v>
      </c>
      <c r="I2155">
        <v>653</v>
      </c>
      <c r="J2155">
        <v>0</v>
      </c>
      <c r="K2155">
        <v>2.63</v>
      </c>
      <c r="L2155">
        <v>7686.66</v>
      </c>
      <c r="M2155" t="s">
        <v>4315</v>
      </c>
      <c r="N2155" t="s">
        <v>33</v>
      </c>
      <c r="O2155">
        <v>7.87</v>
      </c>
      <c r="P2155">
        <v>7.94</v>
      </c>
      <c r="Q2155">
        <v>7.69</v>
      </c>
      <c r="R2155">
        <v>7.84</v>
      </c>
      <c r="S2155">
        <v>18.24</v>
      </c>
      <c r="T2155">
        <v>0.74</v>
      </c>
      <c r="U2155" t="s">
        <v>193</v>
      </c>
    </row>
    <row r="2156" spans="1:21">
      <c r="A2156" t="str">
        <f>"300693"</f>
        <v>300693</v>
      </c>
      <c r="B2156" t="s">
        <v>4316</v>
      </c>
      <c r="C2156">
        <v>-5.61</v>
      </c>
      <c r="D2156">
        <v>45.78</v>
      </c>
      <c r="E2156">
        <v>-2.72</v>
      </c>
      <c r="F2156">
        <v>45.78</v>
      </c>
      <c r="G2156">
        <v>45.79</v>
      </c>
      <c r="H2156">
        <v>209228</v>
      </c>
      <c r="I2156">
        <v>1614</v>
      </c>
      <c r="J2156">
        <v>0.37</v>
      </c>
      <c r="K2156">
        <v>14.87</v>
      </c>
      <c r="L2156">
        <v>94928.4</v>
      </c>
      <c r="M2156" t="s">
        <v>4317</v>
      </c>
      <c r="N2156" t="s">
        <v>47</v>
      </c>
      <c r="O2156">
        <v>47.5</v>
      </c>
      <c r="P2156">
        <v>47.99</v>
      </c>
      <c r="Q2156">
        <v>43.6</v>
      </c>
      <c r="R2156">
        <v>48.5</v>
      </c>
      <c r="S2156">
        <v>89.18</v>
      </c>
      <c r="T2156">
        <v>1.64</v>
      </c>
      <c r="U2156" t="s">
        <v>24</v>
      </c>
    </row>
    <row r="2157" spans="1:21">
      <c r="A2157" t="str">
        <f>"300694"</f>
        <v>300694</v>
      </c>
      <c r="B2157" t="s">
        <v>4318</v>
      </c>
      <c r="C2157">
        <v>3.08</v>
      </c>
      <c r="D2157">
        <v>13.07</v>
      </c>
      <c r="E2157">
        <v>0.39</v>
      </c>
      <c r="F2157">
        <v>13.06</v>
      </c>
      <c r="G2157">
        <v>13.07</v>
      </c>
      <c r="H2157">
        <v>67740</v>
      </c>
      <c r="I2157">
        <v>1706</v>
      </c>
      <c r="J2157">
        <v>0.15</v>
      </c>
      <c r="K2157">
        <v>3.25</v>
      </c>
      <c r="L2157">
        <v>8788.22</v>
      </c>
      <c r="M2157" t="s">
        <v>4319</v>
      </c>
      <c r="N2157" t="s">
        <v>91</v>
      </c>
      <c r="O2157">
        <v>12.67</v>
      </c>
      <c r="P2157">
        <v>13.13</v>
      </c>
      <c r="Q2157">
        <v>12.6</v>
      </c>
      <c r="R2157">
        <v>12.68</v>
      </c>
      <c r="S2157">
        <v>258.38</v>
      </c>
      <c r="T2157">
        <v>1.31</v>
      </c>
      <c r="U2157" t="s">
        <v>102</v>
      </c>
    </row>
    <row r="2158" spans="1:21">
      <c r="A2158" t="str">
        <f>"300695"</f>
        <v>300695</v>
      </c>
      <c r="B2158" t="s">
        <v>4320</v>
      </c>
      <c r="C2158">
        <v>-1.26</v>
      </c>
      <c r="D2158">
        <v>54.85</v>
      </c>
      <c r="E2158">
        <v>-0.7</v>
      </c>
      <c r="F2158">
        <v>54.85</v>
      </c>
      <c r="G2158">
        <v>54.9</v>
      </c>
      <c r="H2158">
        <v>5020</v>
      </c>
      <c r="I2158">
        <v>51</v>
      </c>
      <c r="J2158">
        <v>-0.1</v>
      </c>
      <c r="K2158">
        <v>0.75</v>
      </c>
      <c r="L2158">
        <v>2739.09</v>
      </c>
      <c r="M2158" t="s">
        <v>4321</v>
      </c>
      <c r="N2158" t="s">
        <v>91</v>
      </c>
      <c r="O2158">
        <v>55.5</v>
      </c>
      <c r="P2158">
        <v>55.5</v>
      </c>
      <c r="Q2158">
        <v>53.53</v>
      </c>
      <c r="R2158">
        <v>55.55</v>
      </c>
      <c r="S2158">
        <v>30.47</v>
      </c>
      <c r="T2158">
        <v>1.05</v>
      </c>
      <c r="U2158" t="s">
        <v>200</v>
      </c>
    </row>
    <row r="2159" spans="1:21">
      <c r="A2159" t="str">
        <f>"300696"</f>
        <v>300696</v>
      </c>
      <c r="B2159" t="s">
        <v>4322</v>
      </c>
      <c r="C2159">
        <v>-0.69</v>
      </c>
      <c r="D2159">
        <v>53.48</v>
      </c>
      <c r="E2159">
        <v>-0.37</v>
      </c>
      <c r="F2159">
        <v>53.44</v>
      </c>
      <c r="G2159">
        <v>53.48</v>
      </c>
      <c r="H2159">
        <v>17620</v>
      </c>
      <c r="I2159">
        <v>175</v>
      </c>
      <c r="J2159">
        <v>0.24</v>
      </c>
      <c r="K2159">
        <v>1.23</v>
      </c>
      <c r="L2159">
        <v>9423.19</v>
      </c>
      <c r="M2159" t="s">
        <v>4323</v>
      </c>
      <c r="N2159" t="s">
        <v>611</v>
      </c>
      <c r="O2159">
        <v>53.81</v>
      </c>
      <c r="P2159">
        <v>54.08</v>
      </c>
      <c r="Q2159">
        <v>52.86</v>
      </c>
      <c r="R2159">
        <v>53.85</v>
      </c>
      <c r="S2159">
        <v>54.45</v>
      </c>
      <c r="T2159">
        <v>0.46</v>
      </c>
      <c r="U2159" t="s">
        <v>196</v>
      </c>
    </row>
    <row r="2160" spans="1:21">
      <c r="A2160" t="str">
        <f>"300697"</f>
        <v>300697</v>
      </c>
      <c r="B2160" t="s">
        <v>4324</v>
      </c>
      <c r="C2160">
        <v>-0.55</v>
      </c>
      <c r="D2160">
        <v>12.69</v>
      </c>
      <c r="E2160">
        <v>-0.07</v>
      </c>
      <c r="F2160">
        <v>12.69</v>
      </c>
      <c r="G2160">
        <v>12.7</v>
      </c>
      <c r="H2160">
        <v>41979</v>
      </c>
      <c r="I2160">
        <v>601</v>
      </c>
      <c r="J2160">
        <v>0</v>
      </c>
      <c r="K2160">
        <v>1.9</v>
      </c>
      <c r="L2160">
        <v>5301.79</v>
      </c>
      <c r="M2160" t="s">
        <v>4325</v>
      </c>
      <c r="N2160" t="s">
        <v>526</v>
      </c>
      <c r="O2160">
        <v>12.63</v>
      </c>
      <c r="P2160">
        <v>12.79</v>
      </c>
      <c r="Q2160">
        <v>12.48</v>
      </c>
      <c r="R2160">
        <v>12.76</v>
      </c>
      <c r="S2160">
        <v>38.26</v>
      </c>
      <c r="T2160">
        <v>0.88</v>
      </c>
      <c r="U2160" t="s">
        <v>102</v>
      </c>
    </row>
    <row r="2161" spans="1:21">
      <c r="A2161" t="str">
        <f>"300698"</f>
        <v>300698</v>
      </c>
      <c r="B2161" t="s">
        <v>4326</v>
      </c>
      <c r="C2161">
        <v>-0.04</v>
      </c>
      <c r="D2161">
        <v>26.67</v>
      </c>
      <c r="E2161">
        <v>-0.01</v>
      </c>
      <c r="F2161">
        <v>26.67</v>
      </c>
      <c r="G2161">
        <v>26.68</v>
      </c>
      <c r="H2161">
        <v>39138</v>
      </c>
      <c r="I2161">
        <v>397</v>
      </c>
      <c r="J2161">
        <v>-0.03</v>
      </c>
      <c r="K2161">
        <v>3.93</v>
      </c>
      <c r="L2161">
        <v>10516.51</v>
      </c>
      <c r="M2161" t="s">
        <v>4327</v>
      </c>
      <c r="N2161" t="s">
        <v>153</v>
      </c>
      <c r="O2161">
        <v>26.69</v>
      </c>
      <c r="P2161">
        <v>27.76</v>
      </c>
      <c r="Q2161">
        <v>26.3</v>
      </c>
      <c r="R2161">
        <v>26.68</v>
      </c>
      <c r="S2161">
        <v>406.15</v>
      </c>
      <c r="T2161">
        <v>0.92</v>
      </c>
      <c r="U2161" t="s">
        <v>200</v>
      </c>
    </row>
    <row r="2162" spans="1:21">
      <c r="A2162" t="str">
        <f>"300699"</f>
        <v>300699</v>
      </c>
      <c r="B2162" t="s">
        <v>4328</v>
      </c>
      <c r="C2162">
        <v>-0.11</v>
      </c>
      <c r="D2162">
        <v>81.3</v>
      </c>
      <c r="E2162">
        <v>-0.09</v>
      </c>
      <c r="F2162">
        <v>81.29</v>
      </c>
      <c r="G2162">
        <v>81.3</v>
      </c>
      <c r="H2162">
        <v>73651</v>
      </c>
      <c r="I2162">
        <v>952</v>
      </c>
      <c r="J2162">
        <v>0</v>
      </c>
      <c r="K2162">
        <v>1.45</v>
      </c>
      <c r="L2162">
        <v>60419.11</v>
      </c>
      <c r="M2162" t="s">
        <v>4329</v>
      </c>
      <c r="N2162" t="s">
        <v>309</v>
      </c>
      <c r="O2162">
        <v>81.65</v>
      </c>
      <c r="P2162">
        <v>83.11</v>
      </c>
      <c r="Q2162">
        <v>80.81</v>
      </c>
      <c r="R2162">
        <v>81.39</v>
      </c>
      <c r="S2162">
        <v>51.12</v>
      </c>
      <c r="T2162">
        <v>0.81</v>
      </c>
      <c r="U2162" t="s">
        <v>221</v>
      </c>
    </row>
    <row r="2163" spans="1:21">
      <c r="A2163" t="str">
        <f>"300700"</f>
        <v>300700</v>
      </c>
      <c r="B2163" t="s">
        <v>4330</v>
      </c>
      <c r="C2163">
        <v>0.94</v>
      </c>
      <c r="D2163">
        <v>13.96</v>
      </c>
      <c r="E2163">
        <v>0.13</v>
      </c>
      <c r="F2163">
        <v>13.95</v>
      </c>
      <c r="G2163">
        <v>13.96</v>
      </c>
      <c r="H2163">
        <v>23467</v>
      </c>
      <c r="I2163">
        <v>366</v>
      </c>
      <c r="J2163">
        <v>-0.13</v>
      </c>
      <c r="K2163">
        <v>3.04</v>
      </c>
      <c r="L2163">
        <v>3272.54</v>
      </c>
      <c r="M2163" t="s">
        <v>2290</v>
      </c>
      <c r="N2163" t="s">
        <v>750</v>
      </c>
      <c r="O2163">
        <v>13.82</v>
      </c>
      <c r="P2163">
        <v>14.07</v>
      </c>
      <c r="Q2163">
        <v>13.7</v>
      </c>
      <c r="R2163">
        <v>13.83</v>
      </c>
      <c r="S2163" t="s">
        <v>40</v>
      </c>
      <c r="T2163">
        <v>0.76</v>
      </c>
      <c r="U2163" t="s">
        <v>204</v>
      </c>
    </row>
    <row r="2164" spans="1:21">
      <c r="A2164" t="str">
        <f>"300701"</f>
        <v>300701</v>
      </c>
      <c r="B2164" t="s">
        <v>4331</v>
      </c>
      <c r="C2164">
        <v>4.4</v>
      </c>
      <c r="D2164">
        <v>18.52</v>
      </c>
      <c r="E2164">
        <v>0.78</v>
      </c>
      <c r="F2164">
        <v>18.51</v>
      </c>
      <c r="G2164">
        <v>18.52</v>
      </c>
      <c r="H2164">
        <v>58922</v>
      </c>
      <c r="I2164">
        <v>1317</v>
      </c>
      <c r="J2164">
        <v>0.11</v>
      </c>
      <c r="K2164">
        <v>3.27</v>
      </c>
      <c r="L2164">
        <v>10796.14</v>
      </c>
      <c r="M2164" t="s">
        <v>700</v>
      </c>
      <c r="N2164" t="s">
        <v>69</v>
      </c>
      <c r="O2164">
        <v>17.38</v>
      </c>
      <c r="P2164">
        <v>18.66</v>
      </c>
      <c r="Q2164">
        <v>17.37</v>
      </c>
      <c r="R2164">
        <v>17.74</v>
      </c>
      <c r="S2164">
        <v>27.55</v>
      </c>
      <c r="T2164">
        <v>1.11</v>
      </c>
      <c r="U2164" t="s">
        <v>224</v>
      </c>
    </row>
    <row r="2165" spans="1:21">
      <c r="A2165" t="str">
        <f>"300702"</f>
        <v>300702</v>
      </c>
      <c r="B2165" t="s">
        <v>4332</v>
      </c>
      <c r="C2165">
        <v>3.49</v>
      </c>
      <c r="D2165">
        <v>50.71</v>
      </c>
      <c r="E2165">
        <v>1.71</v>
      </c>
      <c r="F2165">
        <v>50.71</v>
      </c>
      <c r="G2165">
        <v>50.72</v>
      </c>
      <c r="H2165">
        <v>74222</v>
      </c>
      <c r="I2165">
        <v>1207</v>
      </c>
      <c r="J2165">
        <v>-0.09</v>
      </c>
      <c r="K2165">
        <v>3.5</v>
      </c>
      <c r="L2165">
        <v>36913.82</v>
      </c>
      <c r="M2165" t="s">
        <v>4333</v>
      </c>
      <c r="N2165" t="s">
        <v>192</v>
      </c>
      <c r="O2165">
        <v>48.22</v>
      </c>
      <c r="P2165">
        <v>50.9</v>
      </c>
      <c r="Q2165">
        <v>47.35</v>
      </c>
      <c r="R2165">
        <v>49</v>
      </c>
      <c r="S2165">
        <v>64.23</v>
      </c>
      <c r="T2165">
        <v>0.71</v>
      </c>
      <c r="U2165" t="s">
        <v>200</v>
      </c>
    </row>
    <row r="2166" spans="1:21">
      <c r="A2166" t="str">
        <f>"300703"</f>
        <v>300703</v>
      </c>
      <c r="B2166" t="s">
        <v>4334</v>
      </c>
      <c r="C2166">
        <v>2.76</v>
      </c>
      <c r="D2166">
        <v>11.17</v>
      </c>
      <c r="E2166">
        <v>0.3</v>
      </c>
      <c r="F2166">
        <v>11.16</v>
      </c>
      <c r="G2166">
        <v>11.17</v>
      </c>
      <c r="H2166">
        <v>90190</v>
      </c>
      <c r="I2166">
        <v>840</v>
      </c>
      <c r="J2166">
        <v>0.27</v>
      </c>
      <c r="K2166">
        <v>5.24</v>
      </c>
      <c r="L2166">
        <v>10044.98</v>
      </c>
      <c r="M2166" t="s">
        <v>4335</v>
      </c>
      <c r="N2166" t="s">
        <v>63</v>
      </c>
      <c r="O2166">
        <v>10.95</v>
      </c>
      <c r="P2166">
        <v>11.61</v>
      </c>
      <c r="Q2166">
        <v>10.68</v>
      </c>
      <c r="R2166">
        <v>10.87</v>
      </c>
      <c r="S2166">
        <v>78.77</v>
      </c>
      <c r="T2166">
        <v>0.97</v>
      </c>
      <c r="U2166" t="s">
        <v>200</v>
      </c>
    </row>
    <row r="2167" spans="1:21">
      <c r="A2167" t="str">
        <f>"300705"</f>
        <v>300705</v>
      </c>
      <c r="B2167" t="s">
        <v>4336</v>
      </c>
      <c r="C2167">
        <v>1.95</v>
      </c>
      <c r="D2167">
        <v>24.53</v>
      </c>
      <c r="E2167">
        <v>0.47</v>
      </c>
      <c r="F2167">
        <v>24.51</v>
      </c>
      <c r="G2167">
        <v>24.53</v>
      </c>
      <c r="H2167">
        <v>33229</v>
      </c>
      <c r="I2167">
        <v>409</v>
      </c>
      <c r="J2167">
        <v>-0.27</v>
      </c>
      <c r="K2167">
        <v>2.35</v>
      </c>
      <c r="L2167">
        <v>8051.14</v>
      </c>
      <c r="M2167" t="s">
        <v>2336</v>
      </c>
      <c r="N2167" t="s">
        <v>192</v>
      </c>
      <c r="O2167">
        <v>24.03</v>
      </c>
      <c r="P2167">
        <v>24.7</v>
      </c>
      <c r="Q2167">
        <v>23.89</v>
      </c>
      <c r="R2167">
        <v>24.06</v>
      </c>
      <c r="S2167">
        <v>25.52</v>
      </c>
      <c r="T2167">
        <v>0.87</v>
      </c>
      <c r="U2167" t="s">
        <v>204</v>
      </c>
    </row>
    <row r="2168" spans="1:21">
      <c r="A2168" t="str">
        <f>"300706"</f>
        <v>300706</v>
      </c>
      <c r="B2168" t="s">
        <v>4337</v>
      </c>
      <c r="C2168">
        <v>-4.43</v>
      </c>
      <c r="D2168">
        <v>30.43</v>
      </c>
      <c r="E2168">
        <v>-1.41</v>
      </c>
      <c r="F2168">
        <v>30.43</v>
      </c>
      <c r="G2168">
        <v>30.44</v>
      </c>
      <c r="H2168">
        <v>119760</v>
      </c>
      <c r="I2168">
        <v>1172</v>
      </c>
      <c r="J2168">
        <v>-0.06</v>
      </c>
      <c r="K2168">
        <v>14.67</v>
      </c>
      <c r="L2168">
        <v>36536.04</v>
      </c>
      <c r="M2168" t="s">
        <v>4338</v>
      </c>
      <c r="N2168" t="s">
        <v>69</v>
      </c>
      <c r="O2168">
        <v>31.48</v>
      </c>
      <c r="P2168">
        <v>31.82</v>
      </c>
      <c r="Q2168">
        <v>29.88</v>
      </c>
      <c r="R2168">
        <v>31.84</v>
      </c>
      <c r="S2168">
        <v>285.01</v>
      </c>
      <c r="T2168">
        <v>1.84</v>
      </c>
      <c r="U2168" t="s">
        <v>339</v>
      </c>
    </row>
    <row r="2169" spans="1:21">
      <c r="A2169" t="str">
        <f>"300707"</f>
        <v>300707</v>
      </c>
      <c r="B2169" t="s">
        <v>4339</v>
      </c>
      <c r="C2169">
        <v>-0.43</v>
      </c>
      <c r="D2169">
        <v>21</v>
      </c>
      <c r="E2169">
        <v>-0.09</v>
      </c>
      <c r="F2169">
        <v>21</v>
      </c>
      <c r="G2169">
        <v>21.01</v>
      </c>
      <c r="H2169">
        <v>127331</v>
      </c>
      <c r="I2169">
        <v>2643</v>
      </c>
      <c r="J2169">
        <v>0.91</v>
      </c>
      <c r="K2169">
        <v>11.44</v>
      </c>
      <c r="L2169">
        <v>26398.49</v>
      </c>
      <c r="M2169" t="s">
        <v>4340</v>
      </c>
      <c r="N2169" t="s">
        <v>324</v>
      </c>
      <c r="O2169">
        <v>20.9</v>
      </c>
      <c r="P2169">
        <v>21.36</v>
      </c>
      <c r="Q2169">
        <v>20.03</v>
      </c>
      <c r="R2169">
        <v>21.09</v>
      </c>
      <c r="S2169">
        <v>94.47</v>
      </c>
      <c r="T2169">
        <v>0.9</v>
      </c>
      <c r="U2169" t="s">
        <v>102</v>
      </c>
    </row>
    <row r="2170" spans="1:21">
      <c r="A2170" t="str">
        <f>"300708"</f>
        <v>300708</v>
      </c>
      <c r="B2170" t="s">
        <v>4341</v>
      </c>
      <c r="C2170">
        <v>1.19</v>
      </c>
      <c r="D2170">
        <v>17.9</v>
      </c>
      <c r="E2170">
        <v>0.21</v>
      </c>
      <c r="F2170">
        <v>17.89</v>
      </c>
      <c r="G2170">
        <v>17.9</v>
      </c>
      <c r="H2170">
        <v>90094</v>
      </c>
      <c r="I2170">
        <v>1235</v>
      </c>
      <c r="J2170">
        <v>0.06</v>
      </c>
      <c r="K2170">
        <v>2.58</v>
      </c>
      <c r="L2170">
        <v>16047.94</v>
      </c>
      <c r="M2170" t="s">
        <v>4342</v>
      </c>
      <c r="N2170" t="s">
        <v>1246</v>
      </c>
      <c r="O2170">
        <v>17.74</v>
      </c>
      <c r="P2170">
        <v>17.95</v>
      </c>
      <c r="Q2170">
        <v>17.6</v>
      </c>
      <c r="R2170">
        <v>17.69</v>
      </c>
      <c r="S2170">
        <v>54.76</v>
      </c>
      <c r="T2170">
        <v>0.69</v>
      </c>
      <c r="U2170" t="s">
        <v>102</v>
      </c>
    </row>
    <row r="2171" spans="1:21">
      <c r="A2171" t="str">
        <f>"300709"</f>
        <v>300709</v>
      </c>
      <c r="B2171" t="s">
        <v>4343</v>
      </c>
      <c r="C2171">
        <v>-4.46</v>
      </c>
      <c r="D2171">
        <v>53.5</v>
      </c>
      <c r="E2171">
        <v>-2.5</v>
      </c>
      <c r="F2171">
        <v>53.5</v>
      </c>
      <c r="G2171">
        <v>53.51</v>
      </c>
      <c r="H2171">
        <v>86572</v>
      </c>
      <c r="I2171">
        <v>797</v>
      </c>
      <c r="J2171">
        <v>-0.18</v>
      </c>
      <c r="K2171">
        <v>8.1</v>
      </c>
      <c r="L2171">
        <v>46886.66</v>
      </c>
      <c r="M2171" t="s">
        <v>4344</v>
      </c>
      <c r="N2171" t="s">
        <v>69</v>
      </c>
      <c r="O2171">
        <v>55.18</v>
      </c>
      <c r="P2171">
        <v>55.87</v>
      </c>
      <c r="Q2171">
        <v>53.35</v>
      </c>
      <c r="R2171">
        <v>56</v>
      </c>
      <c r="S2171">
        <v>44.15</v>
      </c>
      <c r="T2171">
        <v>1.49</v>
      </c>
      <c r="U2171" t="s">
        <v>102</v>
      </c>
    </row>
    <row r="2172" spans="1:21">
      <c r="A2172" t="str">
        <f>"300710"</f>
        <v>300710</v>
      </c>
      <c r="B2172" t="s">
        <v>4345</v>
      </c>
      <c r="C2172">
        <v>-0.02</v>
      </c>
      <c r="D2172">
        <v>60</v>
      </c>
      <c r="E2172">
        <v>-0.01</v>
      </c>
      <c r="F2172">
        <v>59.9</v>
      </c>
      <c r="G2172">
        <v>60</v>
      </c>
      <c r="H2172">
        <v>10313</v>
      </c>
      <c r="I2172">
        <v>275</v>
      </c>
      <c r="J2172">
        <v>0.79</v>
      </c>
      <c r="K2172">
        <v>2.34</v>
      </c>
      <c r="L2172">
        <v>6184.05</v>
      </c>
      <c r="M2172" t="s">
        <v>4346</v>
      </c>
      <c r="N2172" t="s">
        <v>153</v>
      </c>
      <c r="O2172">
        <v>60.01</v>
      </c>
      <c r="P2172">
        <v>61.49</v>
      </c>
      <c r="Q2172">
        <v>59.11</v>
      </c>
      <c r="R2172">
        <v>60.01</v>
      </c>
      <c r="S2172">
        <v>130.93</v>
      </c>
      <c r="T2172">
        <v>0.35</v>
      </c>
      <c r="U2172" t="s">
        <v>200</v>
      </c>
    </row>
    <row r="2173" spans="1:21">
      <c r="A2173" t="str">
        <f>"300711"</f>
        <v>300711</v>
      </c>
      <c r="B2173" t="s">
        <v>4347</v>
      </c>
      <c r="C2173">
        <v>1.4</v>
      </c>
      <c r="D2173">
        <v>14.46</v>
      </c>
      <c r="E2173">
        <v>0.2</v>
      </c>
      <c r="F2173">
        <v>14.46</v>
      </c>
      <c r="G2173">
        <v>14.47</v>
      </c>
      <c r="H2173">
        <v>24562</v>
      </c>
      <c r="I2173">
        <v>601</v>
      </c>
      <c r="J2173">
        <v>0.14</v>
      </c>
      <c r="K2173">
        <v>1.19</v>
      </c>
      <c r="L2173">
        <v>3520.02</v>
      </c>
      <c r="M2173" t="s">
        <v>4348</v>
      </c>
      <c r="N2173" t="s">
        <v>153</v>
      </c>
      <c r="O2173">
        <v>14.23</v>
      </c>
      <c r="P2173">
        <v>14.52</v>
      </c>
      <c r="Q2173">
        <v>14.12</v>
      </c>
      <c r="R2173">
        <v>14.26</v>
      </c>
      <c r="S2173" t="s">
        <v>40</v>
      </c>
      <c r="T2173">
        <v>0.92</v>
      </c>
      <c r="U2173" t="s">
        <v>183</v>
      </c>
    </row>
    <row r="2174" spans="1:21">
      <c r="A2174" t="str">
        <f>"300712"</f>
        <v>300712</v>
      </c>
      <c r="B2174" t="s">
        <v>4349</v>
      </c>
      <c r="C2174">
        <v>-0.2</v>
      </c>
      <c r="D2174">
        <v>61.09</v>
      </c>
      <c r="E2174">
        <v>-0.12</v>
      </c>
      <c r="F2174">
        <v>61.09</v>
      </c>
      <c r="G2174">
        <v>61.1</v>
      </c>
      <c r="H2174">
        <v>38262</v>
      </c>
      <c r="I2174">
        <v>403</v>
      </c>
      <c r="J2174">
        <v>-0.02</v>
      </c>
      <c r="K2174">
        <v>2.1</v>
      </c>
      <c r="L2174">
        <v>23340.9</v>
      </c>
      <c r="M2174" t="s">
        <v>4350</v>
      </c>
      <c r="N2174" t="s">
        <v>50</v>
      </c>
      <c r="O2174">
        <v>61.22</v>
      </c>
      <c r="P2174">
        <v>62.15</v>
      </c>
      <c r="Q2174">
        <v>59.8</v>
      </c>
      <c r="R2174">
        <v>61.21</v>
      </c>
      <c r="S2174">
        <v>484.07</v>
      </c>
      <c r="T2174">
        <v>0.68</v>
      </c>
      <c r="U2174" t="s">
        <v>339</v>
      </c>
    </row>
    <row r="2175" spans="1:21">
      <c r="A2175" t="str">
        <f>"300713"</f>
        <v>300713</v>
      </c>
      <c r="B2175" t="s">
        <v>4351</v>
      </c>
      <c r="C2175">
        <v>3.52</v>
      </c>
      <c r="D2175">
        <v>21.79</v>
      </c>
      <c r="E2175">
        <v>0.74</v>
      </c>
      <c r="F2175">
        <v>21.79</v>
      </c>
      <c r="G2175">
        <v>21.8</v>
      </c>
      <c r="H2175">
        <v>83646</v>
      </c>
      <c r="I2175">
        <v>1454</v>
      </c>
      <c r="J2175">
        <v>0</v>
      </c>
      <c r="K2175">
        <v>9.24</v>
      </c>
      <c r="L2175">
        <v>18291.84</v>
      </c>
      <c r="M2175" t="s">
        <v>1739</v>
      </c>
      <c r="N2175" t="s">
        <v>47</v>
      </c>
      <c r="O2175">
        <v>20.86</v>
      </c>
      <c r="P2175">
        <v>22.52</v>
      </c>
      <c r="Q2175">
        <v>20.86</v>
      </c>
      <c r="R2175">
        <v>21.05</v>
      </c>
      <c r="S2175">
        <v>153.82</v>
      </c>
      <c r="T2175">
        <v>0.84</v>
      </c>
      <c r="U2175" t="s">
        <v>24</v>
      </c>
    </row>
    <row r="2176" spans="1:21">
      <c r="A2176" t="str">
        <f>"300715"</f>
        <v>300715</v>
      </c>
      <c r="B2176" t="s">
        <v>4352</v>
      </c>
      <c r="C2176">
        <v>2.64</v>
      </c>
      <c r="D2176">
        <v>19.05</v>
      </c>
      <c r="E2176">
        <v>0.49</v>
      </c>
      <c r="F2176">
        <v>19.04</v>
      </c>
      <c r="G2176">
        <v>19.05</v>
      </c>
      <c r="H2176">
        <v>27778</v>
      </c>
      <c r="I2176">
        <v>480</v>
      </c>
      <c r="J2176">
        <v>0.05</v>
      </c>
      <c r="K2176">
        <v>1</v>
      </c>
      <c r="L2176">
        <v>5217.39</v>
      </c>
      <c r="M2176" t="s">
        <v>4353</v>
      </c>
      <c r="N2176" t="s">
        <v>131</v>
      </c>
      <c r="O2176">
        <v>18.56</v>
      </c>
      <c r="P2176">
        <v>19.09</v>
      </c>
      <c r="Q2176">
        <v>18.38</v>
      </c>
      <c r="R2176">
        <v>18.56</v>
      </c>
      <c r="S2176">
        <v>31.2</v>
      </c>
      <c r="T2176">
        <v>1.17</v>
      </c>
      <c r="U2176" t="s">
        <v>102</v>
      </c>
    </row>
    <row r="2177" spans="1:21">
      <c r="A2177" t="str">
        <f>"300716"</f>
        <v>300716</v>
      </c>
      <c r="B2177" t="s">
        <v>4354</v>
      </c>
      <c r="C2177">
        <v>0.64</v>
      </c>
      <c r="D2177">
        <v>9.43</v>
      </c>
      <c r="E2177">
        <v>0.06</v>
      </c>
      <c r="F2177">
        <v>9.43</v>
      </c>
      <c r="G2177">
        <v>9.44</v>
      </c>
      <c r="H2177">
        <v>33933</v>
      </c>
      <c r="I2177">
        <v>405</v>
      </c>
      <c r="J2177">
        <v>-0.1</v>
      </c>
      <c r="K2177">
        <v>2.12</v>
      </c>
      <c r="L2177">
        <v>3179.67</v>
      </c>
      <c r="M2177" t="s">
        <v>3517</v>
      </c>
      <c r="N2177" t="s">
        <v>839</v>
      </c>
      <c r="O2177">
        <v>9.32</v>
      </c>
      <c r="P2177">
        <v>9.49</v>
      </c>
      <c r="Q2177">
        <v>9.2</v>
      </c>
      <c r="R2177">
        <v>9.37</v>
      </c>
      <c r="S2177" t="s">
        <v>40</v>
      </c>
      <c r="T2177">
        <v>0.81</v>
      </c>
      <c r="U2177" t="s">
        <v>183</v>
      </c>
    </row>
    <row r="2178" spans="1:21">
      <c r="A2178" t="str">
        <f>"300717"</f>
        <v>300717</v>
      </c>
      <c r="B2178" t="s">
        <v>4355</v>
      </c>
      <c r="C2178">
        <v>3.37</v>
      </c>
      <c r="D2178">
        <v>15.34</v>
      </c>
      <c r="E2178">
        <v>0.5</v>
      </c>
      <c r="F2178">
        <v>15.33</v>
      </c>
      <c r="G2178">
        <v>15.34</v>
      </c>
      <c r="H2178">
        <v>18603</v>
      </c>
      <c r="I2178">
        <v>769</v>
      </c>
      <c r="J2178">
        <v>0.13</v>
      </c>
      <c r="K2178">
        <v>1.83</v>
      </c>
      <c r="L2178">
        <v>2825.94</v>
      </c>
      <c r="M2178" t="s">
        <v>4356</v>
      </c>
      <c r="N2178" t="s">
        <v>839</v>
      </c>
      <c r="O2178">
        <v>14.83</v>
      </c>
      <c r="P2178">
        <v>15.36</v>
      </c>
      <c r="Q2178">
        <v>14.8</v>
      </c>
      <c r="R2178">
        <v>14.84</v>
      </c>
      <c r="S2178">
        <v>75.79</v>
      </c>
      <c r="T2178">
        <v>1.34</v>
      </c>
      <c r="U2178" t="s">
        <v>102</v>
      </c>
    </row>
    <row r="2179" spans="1:21">
      <c r="A2179" t="str">
        <f>"300718"</f>
        <v>300718</v>
      </c>
      <c r="B2179" t="s">
        <v>4357</v>
      </c>
      <c r="C2179">
        <v>6.42</v>
      </c>
      <c r="D2179">
        <v>21.55</v>
      </c>
      <c r="E2179">
        <v>1.3</v>
      </c>
      <c r="F2179">
        <v>21.54</v>
      </c>
      <c r="G2179">
        <v>21.55</v>
      </c>
      <c r="H2179">
        <v>136782</v>
      </c>
      <c r="I2179">
        <v>1041</v>
      </c>
      <c r="J2179">
        <v>0.14</v>
      </c>
      <c r="K2179">
        <v>8.13</v>
      </c>
      <c r="L2179">
        <v>28999.7</v>
      </c>
      <c r="M2179" t="s">
        <v>4358</v>
      </c>
      <c r="N2179" t="s">
        <v>347</v>
      </c>
      <c r="O2179">
        <v>19.93</v>
      </c>
      <c r="P2179">
        <v>22</v>
      </c>
      <c r="Q2179">
        <v>19.93</v>
      </c>
      <c r="R2179">
        <v>20.25</v>
      </c>
      <c r="S2179">
        <v>39.68</v>
      </c>
      <c r="T2179">
        <v>1.33</v>
      </c>
      <c r="U2179" t="s">
        <v>200</v>
      </c>
    </row>
    <row r="2180" spans="1:21">
      <c r="A2180" t="str">
        <f>"300719"</f>
        <v>300719</v>
      </c>
      <c r="B2180" t="s">
        <v>4359</v>
      </c>
      <c r="C2180">
        <v>-0.57</v>
      </c>
      <c r="D2180">
        <v>13.99</v>
      </c>
      <c r="E2180">
        <v>-0.08</v>
      </c>
      <c r="F2180">
        <v>13.98</v>
      </c>
      <c r="G2180">
        <v>13.99</v>
      </c>
      <c r="H2180">
        <v>55690</v>
      </c>
      <c r="I2180">
        <v>715</v>
      </c>
      <c r="J2180">
        <v>0</v>
      </c>
      <c r="K2180">
        <v>3.07</v>
      </c>
      <c r="L2180">
        <v>7824.37</v>
      </c>
      <c r="M2180" t="s">
        <v>563</v>
      </c>
      <c r="N2180" t="s">
        <v>611</v>
      </c>
      <c r="O2180">
        <v>14.18</v>
      </c>
      <c r="P2180">
        <v>14.24</v>
      </c>
      <c r="Q2180">
        <v>13.88</v>
      </c>
      <c r="R2180">
        <v>14.07</v>
      </c>
      <c r="S2180" t="s">
        <v>40</v>
      </c>
      <c r="T2180">
        <v>0.77</v>
      </c>
      <c r="U2180" t="s">
        <v>44</v>
      </c>
    </row>
    <row r="2181" spans="1:21">
      <c r="A2181" t="str">
        <f>"300720"</f>
        <v>300720</v>
      </c>
      <c r="B2181" t="s">
        <v>4360</v>
      </c>
      <c r="C2181">
        <v>1.54</v>
      </c>
      <c r="D2181">
        <v>14.51</v>
      </c>
      <c r="E2181">
        <v>0.22</v>
      </c>
      <c r="F2181">
        <v>14.51</v>
      </c>
      <c r="G2181">
        <v>14.52</v>
      </c>
      <c r="H2181">
        <v>41016</v>
      </c>
      <c r="I2181">
        <v>439</v>
      </c>
      <c r="J2181">
        <v>0.21</v>
      </c>
      <c r="K2181">
        <v>4.12</v>
      </c>
      <c r="L2181">
        <v>5974.64</v>
      </c>
      <c r="M2181" t="s">
        <v>3041</v>
      </c>
      <c r="N2181" t="s">
        <v>1028</v>
      </c>
      <c r="O2181">
        <v>14.38</v>
      </c>
      <c r="P2181">
        <v>14.84</v>
      </c>
      <c r="Q2181">
        <v>14.26</v>
      </c>
      <c r="R2181">
        <v>14.29</v>
      </c>
      <c r="S2181">
        <v>40.04</v>
      </c>
      <c r="T2181">
        <v>0.69</v>
      </c>
      <c r="U2181" t="s">
        <v>183</v>
      </c>
    </row>
    <row r="2182" spans="1:21">
      <c r="A2182" t="str">
        <f>"300721"</f>
        <v>300721</v>
      </c>
      <c r="B2182" t="s">
        <v>4361</v>
      </c>
      <c r="C2182">
        <v>15.28</v>
      </c>
      <c r="D2182">
        <v>56.96</v>
      </c>
      <c r="E2182">
        <v>7.55</v>
      </c>
      <c r="F2182">
        <v>56.95</v>
      </c>
      <c r="G2182">
        <v>56.96</v>
      </c>
      <c r="H2182">
        <v>42729</v>
      </c>
      <c r="I2182">
        <v>337</v>
      </c>
      <c r="J2182">
        <v>-0.2</v>
      </c>
      <c r="K2182">
        <v>5.38</v>
      </c>
      <c r="L2182">
        <v>23131.81</v>
      </c>
      <c r="M2182" t="s">
        <v>4362</v>
      </c>
      <c r="N2182" t="s">
        <v>309</v>
      </c>
      <c r="O2182">
        <v>49.41</v>
      </c>
      <c r="P2182">
        <v>58.8</v>
      </c>
      <c r="Q2182">
        <v>48.6</v>
      </c>
      <c r="R2182">
        <v>49.41</v>
      </c>
      <c r="S2182">
        <v>39.44</v>
      </c>
      <c r="T2182">
        <v>4.45</v>
      </c>
      <c r="U2182" t="s">
        <v>102</v>
      </c>
    </row>
    <row r="2183" spans="1:21">
      <c r="A2183" t="str">
        <f>"300722"</f>
        <v>300722</v>
      </c>
      <c r="B2183" t="s">
        <v>4363</v>
      </c>
      <c r="C2183">
        <v>-0.33</v>
      </c>
      <c r="D2183">
        <v>42.78</v>
      </c>
      <c r="E2183">
        <v>-0.14</v>
      </c>
      <c r="F2183">
        <v>42.78</v>
      </c>
      <c r="G2183">
        <v>42.79</v>
      </c>
      <c r="H2183">
        <v>22096</v>
      </c>
      <c r="I2183">
        <v>258</v>
      </c>
      <c r="J2183">
        <v>0.05</v>
      </c>
      <c r="K2183">
        <v>1.26</v>
      </c>
      <c r="L2183">
        <v>9475.76</v>
      </c>
      <c r="M2183" t="s">
        <v>4364</v>
      </c>
      <c r="N2183" t="s">
        <v>611</v>
      </c>
      <c r="O2183">
        <v>42.78</v>
      </c>
      <c r="P2183">
        <v>43.35</v>
      </c>
      <c r="Q2183">
        <v>42.35</v>
      </c>
      <c r="R2183">
        <v>42.92</v>
      </c>
      <c r="S2183">
        <v>122.84</v>
      </c>
      <c r="T2183">
        <v>0.54</v>
      </c>
      <c r="U2183" t="s">
        <v>235</v>
      </c>
    </row>
    <row r="2184" spans="1:21">
      <c r="A2184" t="str">
        <f>"300723"</f>
        <v>300723</v>
      </c>
      <c r="B2184" t="s">
        <v>4365</v>
      </c>
      <c r="C2184">
        <v>-0.27</v>
      </c>
      <c r="D2184">
        <v>33.86</v>
      </c>
      <c r="E2184">
        <v>-0.09</v>
      </c>
      <c r="F2184">
        <v>33.85</v>
      </c>
      <c r="G2184">
        <v>33.86</v>
      </c>
      <c r="H2184">
        <v>18617</v>
      </c>
      <c r="I2184">
        <v>413</v>
      </c>
      <c r="J2184">
        <v>0.47</v>
      </c>
      <c r="K2184">
        <v>1.5</v>
      </c>
      <c r="L2184">
        <v>6261.03</v>
      </c>
      <c r="M2184" t="s">
        <v>4366</v>
      </c>
      <c r="N2184" t="s">
        <v>192</v>
      </c>
      <c r="O2184">
        <v>34.44</v>
      </c>
      <c r="P2184">
        <v>34.44</v>
      </c>
      <c r="Q2184">
        <v>33.31</v>
      </c>
      <c r="R2184">
        <v>33.95</v>
      </c>
      <c r="S2184">
        <v>25.37</v>
      </c>
      <c r="T2184">
        <v>1.14</v>
      </c>
      <c r="U2184" t="s">
        <v>183</v>
      </c>
    </row>
    <row r="2185" spans="1:21">
      <c r="A2185" t="str">
        <f>"300724"</f>
        <v>300724</v>
      </c>
      <c r="B2185" t="s">
        <v>4367</v>
      </c>
      <c r="C2185">
        <v>3.86</v>
      </c>
      <c r="D2185">
        <v>110.45</v>
      </c>
      <c r="E2185">
        <v>4.1</v>
      </c>
      <c r="F2185">
        <v>110.45</v>
      </c>
      <c r="G2185">
        <v>110.46</v>
      </c>
      <c r="H2185">
        <v>132624</v>
      </c>
      <c r="I2185">
        <v>1294</v>
      </c>
      <c r="J2185">
        <v>0.05</v>
      </c>
      <c r="K2185">
        <v>5.19</v>
      </c>
      <c r="L2185">
        <v>144905.61</v>
      </c>
      <c r="M2185" t="s">
        <v>4368</v>
      </c>
      <c r="N2185" t="s">
        <v>324</v>
      </c>
      <c r="O2185">
        <v>110</v>
      </c>
      <c r="P2185">
        <v>112</v>
      </c>
      <c r="Q2185">
        <v>106.3</v>
      </c>
      <c r="R2185">
        <v>106.35</v>
      </c>
      <c r="S2185">
        <v>48.04</v>
      </c>
      <c r="T2185">
        <v>1.18</v>
      </c>
      <c r="U2185" t="s">
        <v>24</v>
      </c>
    </row>
    <row r="2186" spans="1:21">
      <c r="A2186" t="str">
        <f>"300725"</f>
        <v>300725</v>
      </c>
      <c r="B2186" t="s">
        <v>4369</v>
      </c>
      <c r="C2186">
        <v>1.03</v>
      </c>
      <c r="D2186">
        <v>142.45</v>
      </c>
      <c r="E2186">
        <v>1.45</v>
      </c>
      <c r="F2186">
        <v>142.42</v>
      </c>
      <c r="G2186">
        <v>142.45</v>
      </c>
      <c r="H2186">
        <v>17241</v>
      </c>
      <c r="I2186">
        <v>209</v>
      </c>
      <c r="J2186">
        <v>-0.05</v>
      </c>
      <c r="K2186">
        <v>1.05</v>
      </c>
      <c r="L2186">
        <v>24368.67</v>
      </c>
      <c r="M2186" t="s">
        <v>4370</v>
      </c>
      <c r="N2186" t="s">
        <v>192</v>
      </c>
      <c r="O2186">
        <v>140.25</v>
      </c>
      <c r="P2186">
        <v>142.75</v>
      </c>
      <c r="Q2186">
        <v>140.2</v>
      </c>
      <c r="R2186">
        <v>141</v>
      </c>
      <c r="S2186">
        <v>48.23</v>
      </c>
      <c r="T2186">
        <v>0.57</v>
      </c>
      <c r="U2186" t="s">
        <v>102</v>
      </c>
    </row>
    <row r="2187" spans="1:21">
      <c r="A2187" t="str">
        <f>"300726"</f>
        <v>300726</v>
      </c>
      <c r="B2187" t="s">
        <v>4371</v>
      </c>
      <c r="C2187">
        <v>1.28</v>
      </c>
      <c r="D2187">
        <v>87</v>
      </c>
      <c r="E2187">
        <v>1.1</v>
      </c>
      <c r="F2187">
        <v>87</v>
      </c>
      <c r="G2187">
        <v>87.01</v>
      </c>
      <c r="H2187">
        <v>25229</v>
      </c>
      <c r="I2187">
        <v>285</v>
      </c>
      <c r="J2187">
        <v>0.1</v>
      </c>
      <c r="K2187">
        <v>1.38</v>
      </c>
      <c r="L2187">
        <v>22165.88</v>
      </c>
      <c r="M2187" t="s">
        <v>4372</v>
      </c>
      <c r="N2187" t="s">
        <v>69</v>
      </c>
      <c r="O2187">
        <v>85.2</v>
      </c>
      <c r="P2187">
        <v>89.64</v>
      </c>
      <c r="Q2187">
        <v>85.02</v>
      </c>
      <c r="R2187">
        <v>85.9</v>
      </c>
      <c r="S2187">
        <v>40.88</v>
      </c>
      <c r="T2187">
        <v>0.72</v>
      </c>
      <c r="U2187" t="s">
        <v>204</v>
      </c>
    </row>
    <row r="2188" spans="1:21">
      <c r="A2188" t="str">
        <f>"300727"</f>
        <v>300727</v>
      </c>
      <c r="B2188" t="s">
        <v>4373</v>
      </c>
      <c r="C2188">
        <v>2.24</v>
      </c>
      <c r="D2188">
        <v>32.4</v>
      </c>
      <c r="E2188">
        <v>0.71</v>
      </c>
      <c r="F2188">
        <v>32.39</v>
      </c>
      <c r="G2188">
        <v>32.4</v>
      </c>
      <c r="H2188">
        <v>61696</v>
      </c>
      <c r="I2188">
        <v>677</v>
      </c>
      <c r="J2188">
        <v>0.19</v>
      </c>
      <c r="K2188">
        <v>5.48</v>
      </c>
      <c r="L2188">
        <v>19693.96</v>
      </c>
      <c r="M2188" t="s">
        <v>4374</v>
      </c>
      <c r="N2188" t="s">
        <v>309</v>
      </c>
      <c r="O2188">
        <v>31.81</v>
      </c>
      <c r="P2188">
        <v>32.58</v>
      </c>
      <c r="Q2188">
        <v>30.98</v>
      </c>
      <c r="R2188">
        <v>31.69</v>
      </c>
      <c r="S2188">
        <v>43.27</v>
      </c>
      <c r="T2188">
        <v>1.64</v>
      </c>
      <c r="U2188" t="s">
        <v>200</v>
      </c>
    </row>
    <row r="2189" spans="1:21">
      <c r="A2189" t="str">
        <f>"300729"</f>
        <v>300729</v>
      </c>
      <c r="B2189" t="s">
        <v>4375</v>
      </c>
      <c r="C2189">
        <v>-0.7</v>
      </c>
      <c r="D2189">
        <v>32.49</v>
      </c>
      <c r="E2189">
        <v>-0.23</v>
      </c>
      <c r="F2189">
        <v>32.48</v>
      </c>
      <c r="G2189">
        <v>32.49</v>
      </c>
      <c r="H2189">
        <v>26794</v>
      </c>
      <c r="I2189">
        <v>596</v>
      </c>
      <c r="J2189">
        <v>-0.11</v>
      </c>
      <c r="K2189">
        <v>1.54</v>
      </c>
      <c r="L2189">
        <v>8757.29</v>
      </c>
      <c r="M2189" t="s">
        <v>4376</v>
      </c>
      <c r="N2189" t="s">
        <v>910</v>
      </c>
      <c r="O2189">
        <v>32.89</v>
      </c>
      <c r="P2189">
        <v>33.24</v>
      </c>
      <c r="Q2189">
        <v>32.2</v>
      </c>
      <c r="R2189">
        <v>32.72</v>
      </c>
      <c r="S2189">
        <v>43.44</v>
      </c>
      <c r="T2189">
        <v>0.57</v>
      </c>
      <c r="U2189" t="s">
        <v>200</v>
      </c>
    </row>
    <row r="2190" spans="1:21">
      <c r="A2190" t="str">
        <f>"300730"</f>
        <v>300730</v>
      </c>
      <c r="B2190" t="s">
        <v>4377</v>
      </c>
      <c r="C2190">
        <v>1.16</v>
      </c>
      <c r="D2190">
        <v>15.65</v>
      </c>
      <c r="E2190">
        <v>0.18</v>
      </c>
      <c r="F2190">
        <v>15.62</v>
      </c>
      <c r="G2190">
        <v>15.65</v>
      </c>
      <c r="H2190">
        <v>27214</v>
      </c>
      <c r="I2190">
        <v>350</v>
      </c>
      <c r="J2190">
        <v>0.26</v>
      </c>
      <c r="K2190">
        <v>2.31</v>
      </c>
      <c r="L2190">
        <v>4216.51</v>
      </c>
      <c r="M2190" t="s">
        <v>2873</v>
      </c>
      <c r="N2190" t="s">
        <v>30</v>
      </c>
      <c r="O2190">
        <v>15.49</v>
      </c>
      <c r="P2190">
        <v>15.73</v>
      </c>
      <c r="Q2190">
        <v>15.2</v>
      </c>
      <c r="R2190">
        <v>15.47</v>
      </c>
      <c r="S2190" t="s">
        <v>40</v>
      </c>
      <c r="T2190">
        <v>0.83</v>
      </c>
      <c r="U2190" t="s">
        <v>204</v>
      </c>
    </row>
    <row r="2191" spans="1:21">
      <c r="A2191" t="str">
        <f>"300731"</f>
        <v>300731</v>
      </c>
      <c r="B2191" t="s">
        <v>4378</v>
      </c>
      <c r="C2191">
        <v>2.74</v>
      </c>
      <c r="D2191">
        <v>37.55</v>
      </c>
      <c r="E2191">
        <v>1</v>
      </c>
      <c r="F2191">
        <v>37.55</v>
      </c>
      <c r="G2191">
        <v>37.59</v>
      </c>
      <c r="H2191">
        <v>34724</v>
      </c>
      <c r="I2191">
        <v>349</v>
      </c>
      <c r="J2191">
        <v>0</v>
      </c>
      <c r="K2191">
        <v>2.95</v>
      </c>
      <c r="L2191">
        <v>12894.54</v>
      </c>
      <c r="M2191" t="s">
        <v>4379</v>
      </c>
      <c r="N2191" t="s">
        <v>1509</v>
      </c>
      <c r="O2191">
        <v>36.61</v>
      </c>
      <c r="P2191">
        <v>37.99</v>
      </c>
      <c r="Q2191">
        <v>36</v>
      </c>
      <c r="R2191">
        <v>36.55</v>
      </c>
      <c r="S2191">
        <v>149.43</v>
      </c>
      <c r="T2191">
        <v>0.66</v>
      </c>
      <c r="U2191" t="s">
        <v>24</v>
      </c>
    </row>
    <row r="2192" spans="1:21">
      <c r="A2192" t="str">
        <f>"300732"</f>
        <v>300732</v>
      </c>
      <c r="B2192" t="s">
        <v>4380</v>
      </c>
      <c r="C2192">
        <v>0.78</v>
      </c>
      <c r="D2192">
        <v>11.63</v>
      </c>
      <c r="E2192">
        <v>0.09</v>
      </c>
      <c r="F2192">
        <v>11.62</v>
      </c>
      <c r="G2192">
        <v>11.63</v>
      </c>
      <c r="H2192">
        <v>22127</v>
      </c>
      <c r="I2192">
        <v>413</v>
      </c>
      <c r="J2192">
        <v>0.17</v>
      </c>
      <c r="K2192">
        <v>0.83</v>
      </c>
      <c r="L2192">
        <v>2554.04</v>
      </c>
      <c r="M2192" t="s">
        <v>4381</v>
      </c>
      <c r="N2192" t="s">
        <v>50</v>
      </c>
      <c r="O2192">
        <v>11.5</v>
      </c>
      <c r="P2192">
        <v>11.65</v>
      </c>
      <c r="Q2192">
        <v>11.39</v>
      </c>
      <c r="R2192">
        <v>11.54</v>
      </c>
      <c r="S2192">
        <v>13.11</v>
      </c>
      <c r="T2192">
        <v>0.67</v>
      </c>
      <c r="U2192" t="s">
        <v>224</v>
      </c>
    </row>
    <row r="2193" spans="1:21">
      <c r="A2193" t="str">
        <f>"300733"</f>
        <v>300733</v>
      </c>
      <c r="B2193" t="s">
        <v>4382</v>
      </c>
      <c r="C2193">
        <v>0.17</v>
      </c>
      <c r="D2193">
        <v>22.91</v>
      </c>
      <c r="E2193">
        <v>0.04</v>
      </c>
      <c r="F2193">
        <v>22.9</v>
      </c>
      <c r="G2193">
        <v>22.91</v>
      </c>
      <c r="H2193">
        <v>16299</v>
      </c>
      <c r="I2193">
        <v>276</v>
      </c>
      <c r="J2193">
        <v>0</v>
      </c>
      <c r="K2193">
        <v>1.37</v>
      </c>
      <c r="L2193">
        <v>3717.51</v>
      </c>
      <c r="M2193" t="s">
        <v>4383</v>
      </c>
      <c r="N2193" t="s">
        <v>91</v>
      </c>
      <c r="O2193">
        <v>22.92</v>
      </c>
      <c r="P2193">
        <v>23.06</v>
      </c>
      <c r="Q2193">
        <v>22.54</v>
      </c>
      <c r="R2193">
        <v>22.87</v>
      </c>
      <c r="S2193">
        <v>96.42</v>
      </c>
      <c r="T2193">
        <v>0.57</v>
      </c>
      <c r="U2193" t="s">
        <v>196</v>
      </c>
    </row>
    <row r="2194" spans="1:21">
      <c r="A2194" t="str">
        <f>"300735"</f>
        <v>300735</v>
      </c>
      <c r="B2194" t="s">
        <v>4384</v>
      </c>
      <c r="C2194">
        <v>-1.01</v>
      </c>
      <c r="D2194">
        <v>13.78</v>
      </c>
      <c r="E2194">
        <v>-0.14</v>
      </c>
      <c r="F2194">
        <v>13.77</v>
      </c>
      <c r="G2194">
        <v>13.78</v>
      </c>
      <c r="H2194">
        <v>177630</v>
      </c>
      <c r="I2194">
        <v>1422</v>
      </c>
      <c r="J2194">
        <v>0.58</v>
      </c>
      <c r="K2194">
        <v>2.37</v>
      </c>
      <c r="L2194">
        <v>24540.07</v>
      </c>
      <c r="M2194" t="s">
        <v>4385</v>
      </c>
      <c r="N2194" t="s">
        <v>153</v>
      </c>
      <c r="O2194">
        <v>13.93</v>
      </c>
      <c r="P2194">
        <v>14.1</v>
      </c>
      <c r="Q2194">
        <v>13.67</v>
      </c>
      <c r="R2194">
        <v>13.92</v>
      </c>
      <c r="S2194">
        <v>35.56</v>
      </c>
      <c r="T2194">
        <v>1.06</v>
      </c>
      <c r="U2194" t="s">
        <v>183</v>
      </c>
    </row>
    <row r="2195" spans="1:21">
      <c r="A2195" t="str">
        <f>"300736"</f>
        <v>300736</v>
      </c>
      <c r="B2195" t="s">
        <v>4386</v>
      </c>
      <c r="C2195">
        <v>0.23</v>
      </c>
      <c r="D2195">
        <v>12.84</v>
      </c>
      <c r="E2195">
        <v>0.03</v>
      </c>
      <c r="F2195">
        <v>12.84</v>
      </c>
      <c r="G2195">
        <v>12.85</v>
      </c>
      <c r="H2195">
        <v>14761</v>
      </c>
      <c r="I2195">
        <v>290</v>
      </c>
      <c r="J2195">
        <v>0.16</v>
      </c>
      <c r="K2195">
        <v>1.41</v>
      </c>
      <c r="L2195">
        <v>1901.17</v>
      </c>
      <c r="M2195" t="s">
        <v>4387</v>
      </c>
      <c r="N2195" t="s">
        <v>153</v>
      </c>
      <c r="O2195">
        <v>12.87</v>
      </c>
      <c r="P2195">
        <v>13.13</v>
      </c>
      <c r="Q2195">
        <v>12.75</v>
      </c>
      <c r="R2195">
        <v>12.81</v>
      </c>
      <c r="S2195">
        <v>124.47</v>
      </c>
      <c r="T2195">
        <v>0.46</v>
      </c>
      <c r="U2195" t="s">
        <v>44</v>
      </c>
    </row>
    <row r="2196" spans="1:21">
      <c r="A2196" t="str">
        <f>"300737"</f>
        <v>300737</v>
      </c>
      <c r="B2196" t="s">
        <v>4388</v>
      </c>
      <c r="C2196">
        <v>5.54</v>
      </c>
      <c r="D2196">
        <v>14.49</v>
      </c>
      <c r="E2196">
        <v>0.76</v>
      </c>
      <c r="F2196">
        <v>14.48</v>
      </c>
      <c r="G2196">
        <v>14.49</v>
      </c>
      <c r="H2196">
        <v>146119</v>
      </c>
      <c r="I2196">
        <v>1991</v>
      </c>
      <c r="J2196">
        <v>0.28</v>
      </c>
      <c r="K2196">
        <v>1.73</v>
      </c>
      <c r="L2196">
        <v>20706.08</v>
      </c>
      <c r="M2196" t="s">
        <v>4389</v>
      </c>
      <c r="N2196" t="s">
        <v>131</v>
      </c>
      <c r="O2196">
        <v>13.68</v>
      </c>
      <c r="P2196">
        <v>14.54</v>
      </c>
      <c r="Q2196">
        <v>13.62</v>
      </c>
      <c r="R2196">
        <v>13.73</v>
      </c>
      <c r="S2196">
        <v>18.49</v>
      </c>
      <c r="T2196">
        <v>1.37</v>
      </c>
      <c r="U2196" t="s">
        <v>183</v>
      </c>
    </row>
    <row r="2197" spans="1:21">
      <c r="A2197" t="str">
        <f>"300738"</f>
        <v>300738</v>
      </c>
      <c r="B2197" t="s">
        <v>4390</v>
      </c>
      <c r="C2197">
        <v>0.48</v>
      </c>
      <c r="D2197">
        <v>20.85</v>
      </c>
      <c r="E2197">
        <v>0.1</v>
      </c>
      <c r="F2197">
        <v>20.84</v>
      </c>
      <c r="G2197">
        <v>20.85</v>
      </c>
      <c r="H2197">
        <v>34863</v>
      </c>
      <c r="I2197">
        <v>327</v>
      </c>
      <c r="J2197">
        <v>0.05</v>
      </c>
      <c r="K2197">
        <v>0.92</v>
      </c>
      <c r="L2197">
        <v>7259.47</v>
      </c>
      <c r="M2197" t="s">
        <v>4391</v>
      </c>
      <c r="N2197" t="s">
        <v>1279</v>
      </c>
      <c r="O2197">
        <v>20.61</v>
      </c>
      <c r="P2197">
        <v>20.98</v>
      </c>
      <c r="Q2197">
        <v>20.61</v>
      </c>
      <c r="R2197">
        <v>20.75</v>
      </c>
      <c r="S2197">
        <v>48.35</v>
      </c>
      <c r="T2197">
        <v>0.68</v>
      </c>
      <c r="U2197" t="s">
        <v>183</v>
      </c>
    </row>
    <row r="2198" spans="1:21">
      <c r="A2198" t="str">
        <f>"300739"</f>
        <v>300739</v>
      </c>
      <c r="B2198" t="s">
        <v>4392</v>
      </c>
      <c r="C2198">
        <v>-1.18</v>
      </c>
      <c r="D2198">
        <v>19.24</v>
      </c>
      <c r="E2198">
        <v>-0.23</v>
      </c>
      <c r="F2198">
        <v>19.24</v>
      </c>
      <c r="G2198">
        <v>19.25</v>
      </c>
      <c r="H2198">
        <v>100414</v>
      </c>
      <c r="I2198">
        <v>1870</v>
      </c>
      <c r="J2198">
        <v>-0.15</v>
      </c>
      <c r="K2198">
        <v>3.48</v>
      </c>
      <c r="L2198">
        <v>19503.95</v>
      </c>
      <c r="M2198" t="s">
        <v>4393</v>
      </c>
      <c r="N2198" t="s">
        <v>69</v>
      </c>
      <c r="O2198">
        <v>19.7</v>
      </c>
      <c r="P2198">
        <v>19.8</v>
      </c>
      <c r="Q2198">
        <v>19.09</v>
      </c>
      <c r="R2198">
        <v>19.47</v>
      </c>
      <c r="S2198">
        <v>53.94</v>
      </c>
      <c r="T2198">
        <v>0.49</v>
      </c>
      <c r="U2198" t="s">
        <v>24</v>
      </c>
    </row>
    <row r="2199" spans="1:21">
      <c r="A2199" t="str">
        <f>"300740"</f>
        <v>300740</v>
      </c>
      <c r="B2199" t="s">
        <v>4394</v>
      </c>
      <c r="C2199">
        <v>-1.01</v>
      </c>
      <c r="D2199">
        <v>16.66</v>
      </c>
      <c r="E2199">
        <v>-0.17</v>
      </c>
      <c r="F2199">
        <v>16.66</v>
      </c>
      <c r="G2199">
        <v>16.68</v>
      </c>
      <c r="H2199">
        <v>56373</v>
      </c>
      <c r="I2199">
        <v>1047</v>
      </c>
      <c r="J2199">
        <v>0.12</v>
      </c>
      <c r="K2199">
        <v>1.5</v>
      </c>
      <c r="L2199">
        <v>9405.28</v>
      </c>
      <c r="M2199" t="s">
        <v>4395</v>
      </c>
      <c r="N2199" t="s">
        <v>332</v>
      </c>
      <c r="O2199">
        <v>16.8</v>
      </c>
      <c r="P2199">
        <v>17.05</v>
      </c>
      <c r="Q2199">
        <v>16.48</v>
      </c>
      <c r="R2199">
        <v>16.83</v>
      </c>
      <c r="S2199">
        <v>35.02</v>
      </c>
      <c r="T2199">
        <v>0.98</v>
      </c>
      <c r="U2199" t="s">
        <v>204</v>
      </c>
    </row>
    <row r="2200" spans="1:21">
      <c r="A2200" t="str">
        <f>"300741"</f>
        <v>300741</v>
      </c>
      <c r="B2200" t="s">
        <v>4396</v>
      </c>
      <c r="C2200">
        <v>-2.35</v>
      </c>
      <c r="D2200">
        <v>54.39</v>
      </c>
      <c r="E2200">
        <v>-1.31</v>
      </c>
      <c r="F2200">
        <v>54.39</v>
      </c>
      <c r="G2200">
        <v>54.4</v>
      </c>
      <c r="H2200">
        <v>41457</v>
      </c>
      <c r="I2200">
        <v>555</v>
      </c>
      <c r="J2200">
        <v>-0.01</v>
      </c>
      <c r="K2200">
        <v>0.67</v>
      </c>
      <c r="L2200">
        <v>22485.49</v>
      </c>
      <c r="M2200" t="s">
        <v>4397</v>
      </c>
      <c r="N2200" t="s">
        <v>299</v>
      </c>
      <c r="O2200">
        <v>54.42</v>
      </c>
      <c r="P2200">
        <v>55.55</v>
      </c>
      <c r="Q2200">
        <v>53.4</v>
      </c>
      <c r="R2200">
        <v>55.7</v>
      </c>
      <c r="S2200">
        <v>33.34</v>
      </c>
      <c r="T2200">
        <v>0.49</v>
      </c>
      <c r="U2200" t="s">
        <v>694</v>
      </c>
    </row>
    <row r="2201" spans="1:21">
      <c r="A2201" t="str">
        <f>"300742"</f>
        <v>300742</v>
      </c>
      <c r="B2201" t="s">
        <v>4398</v>
      </c>
      <c r="C2201">
        <v>1.7</v>
      </c>
      <c r="D2201">
        <v>34.78</v>
      </c>
      <c r="E2201">
        <v>0.58</v>
      </c>
      <c r="F2201">
        <v>34.77</v>
      </c>
      <c r="G2201">
        <v>34.78</v>
      </c>
      <c r="H2201">
        <v>32393</v>
      </c>
      <c r="I2201">
        <v>445</v>
      </c>
      <c r="J2201">
        <v>0.09</v>
      </c>
      <c r="K2201">
        <v>4.16</v>
      </c>
      <c r="L2201">
        <v>11309.76</v>
      </c>
      <c r="M2201" t="s">
        <v>4399</v>
      </c>
      <c r="N2201" t="s">
        <v>91</v>
      </c>
      <c r="O2201">
        <v>34.43</v>
      </c>
      <c r="P2201">
        <v>35.53</v>
      </c>
      <c r="Q2201">
        <v>34.2</v>
      </c>
      <c r="R2201">
        <v>34.2</v>
      </c>
      <c r="S2201">
        <v>78.39</v>
      </c>
      <c r="T2201">
        <v>0.76</v>
      </c>
      <c r="U2201" t="s">
        <v>102</v>
      </c>
    </row>
    <row r="2202" spans="1:21">
      <c r="A2202" t="str">
        <f>"300743"</f>
        <v>300743</v>
      </c>
      <c r="B2202" t="s">
        <v>4400</v>
      </c>
      <c r="C2202">
        <v>1.29</v>
      </c>
      <c r="D2202">
        <v>11.03</v>
      </c>
      <c r="E2202">
        <v>0.14</v>
      </c>
      <c r="F2202">
        <v>11.02</v>
      </c>
      <c r="G2202">
        <v>11.03</v>
      </c>
      <c r="H2202">
        <v>14712</v>
      </c>
      <c r="I2202">
        <v>328</v>
      </c>
      <c r="J2202">
        <v>-0.08</v>
      </c>
      <c r="K2202">
        <v>1.5</v>
      </c>
      <c r="L2202">
        <v>1617.96</v>
      </c>
      <c r="M2202" t="s">
        <v>4401</v>
      </c>
      <c r="N2202" t="s">
        <v>72</v>
      </c>
      <c r="O2202">
        <v>10.87</v>
      </c>
      <c r="P2202">
        <v>11.11</v>
      </c>
      <c r="Q2202">
        <v>10.8</v>
      </c>
      <c r="R2202">
        <v>10.89</v>
      </c>
      <c r="S2202">
        <v>79.08</v>
      </c>
      <c r="T2202">
        <v>0.84</v>
      </c>
      <c r="U2202" t="s">
        <v>200</v>
      </c>
    </row>
    <row r="2203" spans="1:21">
      <c r="A2203" t="str">
        <f>"300745"</f>
        <v>300745</v>
      </c>
      <c r="B2203" t="s">
        <v>4402</v>
      </c>
      <c r="C2203">
        <v>4.38</v>
      </c>
      <c r="D2203">
        <v>66.79</v>
      </c>
      <c r="E2203">
        <v>2.8</v>
      </c>
      <c r="F2203">
        <v>66.78</v>
      </c>
      <c r="G2203">
        <v>66.79</v>
      </c>
      <c r="H2203">
        <v>68261</v>
      </c>
      <c r="I2203">
        <v>447</v>
      </c>
      <c r="J2203">
        <v>-0.38</v>
      </c>
      <c r="K2203">
        <v>7.9</v>
      </c>
      <c r="L2203">
        <v>45059.55</v>
      </c>
      <c r="M2203" t="s">
        <v>4403</v>
      </c>
      <c r="N2203" t="s">
        <v>91</v>
      </c>
      <c r="O2203">
        <v>64.47</v>
      </c>
      <c r="P2203">
        <v>67.92</v>
      </c>
      <c r="Q2203">
        <v>63.1</v>
      </c>
      <c r="R2203">
        <v>63.99</v>
      </c>
      <c r="S2203">
        <v>473.49</v>
      </c>
      <c r="T2203">
        <v>0.65</v>
      </c>
      <c r="U2203" t="s">
        <v>24</v>
      </c>
    </row>
    <row r="2204" spans="1:21">
      <c r="A2204" t="str">
        <f>"300746"</f>
        <v>300746</v>
      </c>
      <c r="B2204" t="s">
        <v>4404</v>
      </c>
      <c r="C2204">
        <v>1.87</v>
      </c>
      <c r="D2204">
        <v>14.18</v>
      </c>
      <c r="E2204">
        <v>0.26</v>
      </c>
      <c r="F2204">
        <v>14.17</v>
      </c>
      <c r="G2204">
        <v>14.18</v>
      </c>
      <c r="H2204">
        <v>59880</v>
      </c>
      <c r="I2204">
        <v>1586</v>
      </c>
      <c r="J2204">
        <v>-0.06</v>
      </c>
      <c r="K2204">
        <v>2.8</v>
      </c>
      <c r="L2204">
        <v>8418.85</v>
      </c>
      <c r="M2204" t="s">
        <v>4405</v>
      </c>
      <c r="N2204" t="s">
        <v>50</v>
      </c>
      <c r="O2204">
        <v>13.96</v>
      </c>
      <c r="P2204">
        <v>14.38</v>
      </c>
      <c r="Q2204">
        <v>13.67</v>
      </c>
      <c r="R2204">
        <v>13.92</v>
      </c>
      <c r="S2204">
        <v>24.93</v>
      </c>
      <c r="T2204">
        <v>1.03</v>
      </c>
      <c r="U2204" t="s">
        <v>200</v>
      </c>
    </row>
    <row r="2205" spans="1:21">
      <c r="A2205" t="str">
        <f>"300747"</f>
        <v>300747</v>
      </c>
      <c r="B2205" t="s">
        <v>4406</v>
      </c>
      <c r="C2205">
        <v>5.26</v>
      </c>
      <c r="D2205">
        <v>64.07</v>
      </c>
      <c r="E2205">
        <v>3.2</v>
      </c>
      <c r="F2205">
        <v>64.07</v>
      </c>
      <c r="G2205">
        <v>64.08</v>
      </c>
      <c r="H2205">
        <v>104967</v>
      </c>
      <c r="I2205">
        <v>638</v>
      </c>
      <c r="J2205">
        <v>0.11</v>
      </c>
      <c r="K2205">
        <v>2.79</v>
      </c>
      <c r="L2205">
        <v>67310.41</v>
      </c>
      <c r="M2205" t="s">
        <v>4407</v>
      </c>
      <c r="N2205" t="s">
        <v>69</v>
      </c>
      <c r="O2205">
        <v>61</v>
      </c>
      <c r="P2205">
        <v>65.96</v>
      </c>
      <c r="Q2205">
        <v>60.61</v>
      </c>
      <c r="R2205">
        <v>60.87</v>
      </c>
      <c r="S2205">
        <v>52.2</v>
      </c>
      <c r="T2205">
        <v>3.06</v>
      </c>
      <c r="U2205" t="s">
        <v>267</v>
      </c>
    </row>
    <row r="2206" spans="1:21">
      <c r="A2206" t="str">
        <f>"300748"</f>
        <v>300748</v>
      </c>
      <c r="B2206" t="s">
        <v>4408</v>
      </c>
      <c r="C2206">
        <v>-2.75</v>
      </c>
      <c r="D2206">
        <v>42.8</v>
      </c>
      <c r="E2206">
        <v>-1.21</v>
      </c>
      <c r="F2206">
        <v>42.79</v>
      </c>
      <c r="G2206">
        <v>42.8</v>
      </c>
      <c r="H2206">
        <v>233707</v>
      </c>
      <c r="I2206">
        <v>2870</v>
      </c>
      <c r="J2206">
        <v>0.12</v>
      </c>
      <c r="K2206">
        <v>3.34</v>
      </c>
      <c r="L2206">
        <v>99790.07</v>
      </c>
      <c r="M2206" t="s">
        <v>4409</v>
      </c>
      <c r="N2206" t="s">
        <v>69</v>
      </c>
      <c r="O2206">
        <v>43.13</v>
      </c>
      <c r="P2206">
        <v>44.08</v>
      </c>
      <c r="Q2206">
        <v>41.77</v>
      </c>
      <c r="R2206">
        <v>44.01</v>
      </c>
      <c r="S2206">
        <v>64.63</v>
      </c>
      <c r="T2206">
        <v>0.75</v>
      </c>
      <c r="U2206" t="s">
        <v>235</v>
      </c>
    </row>
    <row r="2207" spans="1:21">
      <c r="A2207" t="str">
        <f>"300749"</f>
        <v>300749</v>
      </c>
      <c r="B2207" t="s">
        <v>4410</v>
      </c>
      <c r="C2207">
        <v>1.18</v>
      </c>
      <c r="D2207">
        <v>9.47</v>
      </c>
      <c r="E2207">
        <v>0.11</v>
      </c>
      <c r="F2207">
        <v>9.46</v>
      </c>
      <c r="G2207">
        <v>9.47</v>
      </c>
      <c r="H2207">
        <v>25386</v>
      </c>
      <c r="I2207">
        <v>391</v>
      </c>
      <c r="J2207">
        <v>0</v>
      </c>
      <c r="K2207">
        <v>1.63</v>
      </c>
      <c r="L2207">
        <v>2393.04</v>
      </c>
      <c r="M2207" t="s">
        <v>2436</v>
      </c>
      <c r="N2207" t="s">
        <v>910</v>
      </c>
      <c r="O2207">
        <v>9.38</v>
      </c>
      <c r="P2207">
        <v>9.5</v>
      </c>
      <c r="Q2207">
        <v>9.3</v>
      </c>
      <c r="R2207">
        <v>9.36</v>
      </c>
      <c r="S2207">
        <v>20.35</v>
      </c>
      <c r="T2207">
        <v>0.94</v>
      </c>
      <c r="U2207" t="s">
        <v>183</v>
      </c>
    </row>
    <row r="2208" spans="1:21">
      <c r="A2208" t="str">
        <f>"300750"</f>
        <v>300750</v>
      </c>
      <c r="B2208" t="s">
        <v>4411</v>
      </c>
      <c r="C2208">
        <v>2.08</v>
      </c>
      <c r="D2208">
        <v>639</v>
      </c>
      <c r="E2208">
        <v>13</v>
      </c>
      <c r="F2208">
        <v>638.8</v>
      </c>
      <c r="G2208">
        <v>639</v>
      </c>
      <c r="H2208">
        <v>84568</v>
      </c>
      <c r="I2208">
        <v>2238</v>
      </c>
      <c r="J2208">
        <v>0.14</v>
      </c>
      <c r="K2208">
        <v>0.41</v>
      </c>
      <c r="L2208">
        <v>534361.75</v>
      </c>
      <c r="M2208" t="s">
        <v>4412</v>
      </c>
      <c r="N2208" t="s">
        <v>47</v>
      </c>
      <c r="O2208">
        <v>631</v>
      </c>
      <c r="P2208">
        <v>639</v>
      </c>
      <c r="Q2208">
        <v>620.05</v>
      </c>
      <c r="R2208">
        <v>626</v>
      </c>
      <c r="S2208">
        <v>144.12</v>
      </c>
      <c r="T2208">
        <v>0.86</v>
      </c>
      <c r="U2208" t="s">
        <v>339</v>
      </c>
    </row>
    <row r="2209" spans="1:21">
      <c r="A2209" t="str">
        <f>"300751"</f>
        <v>300751</v>
      </c>
      <c r="B2209" t="s">
        <v>4413</v>
      </c>
      <c r="C2209">
        <v>-0.06</v>
      </c>
      <c r="D2209">
        <v>657.5</v>
      </c>
      <c r="E2209">
        <v>-0.4</v>
      </c>
      <c r="F2209">
        <v>657.49</v>
      </c>
      <c r="G2209">
        <v>657.5</v>
      </c>
      <c r="H2209">
        <v>11951</v>
      </c>
      <c r="I2209">
        <v>155</v>
      </c>
      <c r="J2209">
        <v>-0.07</v>
      </c>
      <c r="K2209">
        <v>1.79</v>
      </c>
      <c r="L2209">
        <v>78584.45</v>
      </c>
      <c r="M2209" t="s">
        <v>4414</v>
      </c>
      <c r="N2209" t="s">
        <v>324</v>
      </c>
      <c r="O2209">
        <v>657.9</v>
      </c>
      <c r="P2209">
        <v>670</v>
      </c>
      <c r="Q2209">
        <v>645</v>
      </c>
      <c r="R2209">
        <v>657.9</v>
      </c>
      <c r="S2209">
        <v>111.48</v>
      </c>
      <c r="T2209">
        <v>1.11</v>
      </c>
      <c r="U2209" t="s">
        <v>102</v>
      </c>
    </row>
    <row r="2210" spans="1:21">
      <c r="A2210" t="str">
        <f>"300752"</f>
        <v>300752</v>
      </c>
      <c r="B2210" t="s">
        <v>4415</v>
      </c>
      <c r="C2210">
        <v>-2.4</v>
      </c>
      <c r="D2210">
        <v>25.57</v>
      </c>
      <c r="E2210">
        <v>-0.63</v>
      </c>
      <c r="F2210">
        <v>25.56</v>
      </c>
      <c r="G2210">
        <v>25.57</v>
      </c>
      <c r="H2210">
        <v>39201</v>
      </c>
      <c r="I2210">
        <v>550</v>
      </c>
      <c r="J2210">
        <v>-0.15</v>
      </c>
      <c r="K2210">
        <v>6.11</v>
      </c>
      <c r="L2210">
        <v>10160.88</v>
      </c>
      <c r="M2210" t="s">
        <v>4416</v>
      </c>
      <c r="N2210" t="s">
        <v>69</v>
      </c>
      <c r="O2210">
        <v>26.47</v>
      </c>
      <c r="P2210">
        <v>26.7</v>
      </c>
      <c r="Q2210">
        <v>25.53</v>
      </c>
      <c r="R2210">
        <v>26.2</v>
      </c>
      <c r="S2210" t="s">
        <v>40</v>
      </c>
      <c r="T2210">
        <v>0.55</v>
      </c>
      <c r="U2210" t="s">
        <v>24</v>
      </c>
    </row>
    <row r="2211" spans="1:21">
      <c r="A2211" t="str">
        <f>"300753"</f>
        <v>300753</v>
      </c>
      <c r="B2211" t="s">
        <v>4417</v>
      </c>
      <c r="C2211">
        <v>1.84</v>
      </c>
      <c r="D2211">
        <v>17.68</v>
      </c>
      <c r="E2211">
        <v>0.32</v>
      </c>
      <c r="F2211">
        <v>17.68</v>
      </c>
      <c r="G2211">
        <v>17.7</v>
      </c>
      <c r="H2211">
        <v>7921</v>
      </c>
      <c r="I2211">
        <v>133</v>
      </c>
      <c r="J2211">
        <v>0.11</v>
      </c>
      <c r="K2211">
        <v>1.34</v>
      </c>
      <c r="L2211">
        <v>1396.07</v>
      </c>
      <c r="M2211" t="s">
        <v>4418</v>
      </c>
      <c r="N2211" t="s">
        <v>186</v>
      </c>
      <c r="O2211">
        <v>17.55</v>
      </c>
      <c r="P2211">
        <v>17.75</v>
      </c>
      <c r="Q2211">
        <v>17.35</v>
      </c>
      <c r="R2211">
        <v>17.36</v>
      </c>
      <c r="S2211">
        <v>34.5</v>
      </c>
      <c r="T2211">
        <v>1</v>
      </c>
      <c r="U2211" t="s">
        <v>102</v>
      </c>
    </row>
    <row r="2212" spans="1:21">
      <c r="A2212" t="str">
        <f>"300755"</f>
        <v>300755</v>
      </c>
      <c r="B2212" t="s">
        <v>4419</v>
      </c>
      <c r="C2212">
        <v>0.51</v>
      </c>
      <c r="D2212">
        <v>45.29</v>
      </c>
      <c r="E2212">
        <v>0.23</v>
      </c>
      <c r="F2212">
        <v>45.27</v>
      </c>
      <c r="G2212">
        <v>45.29</v>
      </c>
      <c r="H2212">
        <v>35432</v>
      </c>
      <c r="I2212">
        <v>281</v>
      </c>
      <c r="J2212">
        <v>0.15</v>
      </c>
      <c r="K2212">
        <v>2.96</v>
      </c>
      <c r="L2212">
        <v>16066.53</v>
      </c>
      <c r="M2212" t="s">
        <v>4420</v>
      </c>
      <c r="N2212" t="s">
        <v>66</v>
      </c>
      <c r="O2212">
        <v>45.55</v>
      </c>
      <c r="P2212">
        <v>46.21</v>
      </c>
      <c r="Q2212">
        <v>44.5</v>
      </c>
      <c r="R2212">
        <v>45.06</v>
      </c>
      <c r="S2212">
        <v>24.37</v>
      </c>
      <c r="T2212">
        <v>0.7</v>
      </c>
      <c r="U2212" t="s">
        <v>363</v>
      </c>
    </row>
    <row r="2213" spans="1:21">
      <c r="A2213" t="str">
        <f>"300756"</f>
        <v>300756</v>
      </c>
      <c r="B2213" t="s">
        <v>4421</v>
      </c>
      <c r="C2213">
        <v>-2.52</v>
      </c>
      <c r="D2213">
        <v>27.1</v>
      </c>
      <c r="E2213">
        <v>-0.7</v>
      </c>
      <c r="F2213">
        <v>27.1</v>
      </c>
      <c r="G2213">
        <v>27.11</v>
      </c>
      <c r="H2213">
        <v>44776</v>
      </c>
      <c r="I2213">
        <v>309</v>
      </c>
      <c r="J2213">
        <v>-0.17</v>
      </c>
      <c r="K2213">
        <v>13.42</v>
      </c>
      <c r="L2213">
        <v>12328.35</v>
      </c>
      <c r="M2213" t="s">
        <v>4422</v>
      </c>
      <c r="N2213" t="s">
        <v>324</v>
      </c>
      <c r="O2213">
        <v>27.36</v>
      </c>
      <c r="P2213">
        <v>28.75</v>
      </c>
      <c r="Q2213">
        <v>26.63</v>
      </c>
      <c r="R2213">
        <v>27.8</v>
      </c>
      <c r="S2213">
        <v>52.41</v>
      </c>
      <c r="T2213">
        <v>0.95</v>
      </c>
      <c r="U2213" t="s">
        <v>183</v>
      </c>
    </row>
    <row r="2214" spans="1:21">
      <c r="A2214" t="str">
        <f>"300757"</f>
        <v>300757</v>
      </c>
      <c r="B2214" t="s">
        <v>4423</v>
      </c>
      <c r="C2214">
        <v>3.87</v>
      </c>
      <c r="D2214">
        <v>58.77</v>
      </c>
      <c r="E2214">
        <v>2.19</v>
      </c>
      <c r="F2214">
        <v>58.77</v>
      </c>
      <c r="G2214">
        <v>58.78</v>
      </c>
      <c r="H2214">
        <v>29543</v>
      </c>
      <c r="I2214">
        <v>393</v>
      </c>
      <c r="J2214">
        <v>0.03</v>
      </c>
      <c r="K2214">
        <v>5.38</v>
      </c>
      <c r="L2214">
        <v>17258.65</v>
      </c>
      <c r="M2214" t="s">
        <v>4424</v>
      </c>
      <c r="N2214" t="s">
        <v>324</v>
      </c>
      <c r="O2214">
        <v>56.75</v>
      </c>
      <c r="P2214">
        <v>59.65</v>
      </c>
      <c r="Q2214">
        <v>56.56</v>
      </c>
      <c r="R2214">
        <v>56.58</v>
      </c>
      <c r="S2214">
        <v>101.44</v>
      </c>
      <c r="T2214">
        <v>0.65</v>
      </c>
      <c r="U2214" t="s">
        <v>102</v>
      </c>
    </row>
    <row r="2215" spans="1:21">
      <c r="A2215" t="str">
        <f>"300758"</f>
        <v>300758</v>
      </c>
      <c r="B2215" t="s">
        <v>4425</v>
      </c>
      <c r="C2215">
        <v>0.26</v>
      </c>
      <c r="D2215">
        <v>15.45</v>
      </c>
      <c r="E2215">
        <v>0.04</v>
      </c>
      <c r="F2215">
        <v>15.45</v>
      </c>
      <c r="G2215">
        <v>15.46</v>
      </c>
      <c r="H2215">
        <v>54622</v>
      </c>
      <c r="I2215">
        <v>1069</v>
      </c>
      <c r="J2215">
        <v>0.26</v>
      </c>
      <c r="K2215">
        <v>2.77</v>
      </c>
      <c r="L2215">
        <v>8378.7</v>
      </c>
      <c r="M2215" t="s">
        <v>3609</v>
      </c>
      <c r="N2215" t="s">
        <v>416</v>
      </c>
      <c r="O2215">
        <v>15.35</v>
      </c>
      <c r="P2215">
        <v>15.5</v>
      </c>
      <c r="Q2215">
        <v>15.09</v>
      </c>
      <c r="R2215">
        <v>15.41</v>
      </c>
      <c r="S2215">
        <v>31.71</v>
      </c>
      <c r="T2215">
        <v>0.74</v>
      </c>
      <c r="U2215" t="s">
        <v>141</v>
      </c>
    </row>
    <row r="2216" spans="1:21">
      <c r="A2216" t="str">
        <f>"300759"</f>
        <v>300759</v>
      </c>
      <c r="B2216" t="s">
        <v>4426</v>
      </c>
      <c r="C2216">
        <v>-1.69</v>
      </c>
      <c r="D2216">
        <v>181.86</v>
      </c>
      <c r="E2216">
        <v>-3.13</v>
      </c>
      <c r="F2216">
        <v>181.85</v>
      </c>
      <c r="G2216">
        <v>181.86</v>
      </c>
      <c r="H2216">
        <v>25568</v>
      </c>
      <c r="I2216">
        <v>324</v>
      </c>
      <c r="J2216">
        <v>-0.28</v>
      </c>
      <c r="K2216">
        <v>0.9</v>
      </c>
      <c r="L2216">
        <v>46469.9</v>
      </c>
      <c r="M2216" t="s">
        <v>4427</v>
      </c>
      <c r="N2216" t="s">
        <v>192</v>
      </c>
      <c r="O2216">
        <v>184</v>
      </c>
      <c r="P2216">
        <v>185.46</v>
      </c>
      <c r="Q2216">
        <v>179.58</v>
      </c>
      <c r="R2216">
        <v>184.99</v>
      </c>
      <c r="S2216">
        <v>104.15</v>
      </c>
      <c r="T2216">
        <v>0.89</v>
      </c>
      <c r="U2216" t="s">
        <v>44</v>
      </c>
    </row>
    <row r="2217" spans="1:21">
      <c r="A2217" t="str">
        <f>"300760"</f>
        <v>300760</v>
      </c>
      <c r="B2217" t="s">
        <v>4428</v>
      </c>
      <c r="C2217">
        <v>0.7</v>
      </c>
      <c r="D2217">
        <v>378.1</v>
      </c>
      <c r="E2217">
        <v>2.62</v>
      </c>
      <c r="F2217">
        <v>378.01</v>
      </c>
      <c r="G2217">
        <v>378.1</v>
      </c>
      <c r="H2217">
        <v>18696</v>
      </c>
      <c r="I2217">
        <v>226</v>
      </c>
      <c r="J2217">
        <v>0.09</v>
      </c>
      <c r="K2217">
        <v>0.15</v>
      </c>
      <c r="L2217">
        <v>70645.14</v>
      </c>
      <c r="M2217" t="s">
        <v>4429</v>
      </c>
      <c r="N2217" t="s">
        <v>186</v>
      </c>
      <c r="O2217">
        <v>371</v>
      </c>
      <c r="P2217">
        <v>379.69</v>
      </c>
      <c r="Q2217">
        <v>371</v>
      </c>
      <c r="R2217">
        <v>375.48</v>
      </c>
      <c r="S2217">
        <v>51.74</v>
      </c>
      <c r="T2217">
        <v>0.55</v>
      </c>
      <c r="U2217" t="s">
        <v>24</v>
      </c>
    </row>
    <row r="2218" spans="1:21">
      <c r="A2218" t="str">
        <f>"300761"</f>
        <v>300761</v>
      </c>
      <c r="B2218" t="s">
        <v>4430</v>
      </c>
      <c r="C2218">
        <v>-0.91</v>
      </c>
      <c r="D2218">
        <v>29.47</v>
      </c>
      <c r="E2218">
        <v>-0.27</v>
      </c>
      <c r="F2218">
        <v>29.45</v>
      </c>
      <c r="G2218">
        <v>29.47</v>
      </c>
      <c r="H2218">
        <v>18901</v>
      </c>
      <c r="I2218">
        <v>525</v>
      </c>
      <c r="J2218">
        <v>0.44</v>
      </c>
      <c r="K2218">
        <v>1.58</v>
      </c>
      <c r="L2218">
        <v>5576.39</v>
      </c>
      <c r="M2218" t="s">
        <v>4431</v>
      </c>
      <c r="N2218" t="s">
        <v>147</v>
      </c>
      <c r="O2218">
        <v>29.74</v>
      </c>
      <c r="P2218">
        <v>29.95</v>
      </c>
      <c r="Q2218">
        <v>29.28</v>
      </c>
      <c r="R2218">
        <v>29.74</v>
      </c>
      <c r="S2218" t="s">
        <v>40</v>
      </c>
      <c r="T2218">
        <v>0.92</v>
      </c>
      <c r="U2218" t="s">
        <v>102</v>
      </c>
    </row>
    <row r="2219" spans="1:21">
      <c r="A2219" t="str">
        <f>"300762"</f>
        <v>300762</v>
      </c>
      <c r="B2219" t="s">
        <v>4432</v>
      </c>
      <c r="C2219">
        <v>-0.84</v>
      </c>
      <c r="D2219">
        <v>26</v>
      </c>
      <c r="E2219">
        <v>-0.22</v>
      </c>
      <c r="F2219">
        <v>25.99</v>
      </c>
      <c r="G2219">
        <v>26</v>
      </c>
      <c r="H2219">
        <v>77801</v>
      </c>
      <c r="I2219">
        <v>729</v>
      </c>
      <c r="J2219">
        <v>0.04</v>
      </c>
      <c r="K2219">
        <v>3.5</v>
      </c>
      <c r="L2219">
        <v>20319.43</v>
      </c>
      <c r="M2219" t="s">
        <v>4433</v>
      </c>
      <c r="N2219" t="s">
        <v>153</v>
      </c>
      <c r="O2219">
        <v>26.07</v>
      </c>
      <c r="P2219">
        <v>26.39</v>
      </c>
      <c r="Q2219">
        <v>25.85</v>
      </c>
      <c r="R2219">
        <v>26.22</v>
      </c>
      <c r="S2219">
        <v>94.09</v>
      </c>
      <c r="T2219">
        <v>0.62</v>
      </c>
      <c r="U2219" t="s">
        <v>848</v>
      </c>
    </row>
    <row r="2220" spans="1:21">
      <c r="A2220" t="str">
        <f>"300763"</f>
        <v>300763</v>
      </c>
      <c r="B2220" t="s">
        <v>4434</v>
      </c>
      <c r="C2220">
        <v>5.74</v>
      </c>
      <c r="D2220">
        <v>243</v>
      </c>
      <c r="E2220">
        <v>13.19</v>
      </c>
      <c r="F2220">
        <v>242.99</v>
      </c>
      <c r="G2220">
        <v>243</v>
      </c>
      <c r="H2220">
        <v>52185</v>
      </c>
      <c r="I2220">
        <v>400</v>
      </c>
      <c r="J2220">
        <v>0.36</v>
      </c>
      <c r="K2220">
        <v>4.86</v>
      </c>
      <c r="L2220">
        <v>124511.08</v>
      </c>
      <c r="M2220" t="s">
        <v>4435</v>
      </c>
      <c r="N2220" t="s">
        <v>47</v>
      </c>
      <c r="O2220">
        <v>229.81</v>
      </c>
      <c r="P2220">
        <v>245</v>
      </c>
      <c r="Q2220">
        <v>228.2</v>
      </c>
      <c r="R2220">
        <v>229.81</v>
      </c>
      <c r="S2220">
        <v>124.29</v>
      </c>
      <c r="T2220">
        <v>1.69</v>
      </c>
      <c r="U2220" t="s">
        <v>200</v>
      </c>
    </row>
    <row r="2221" spans="1:21">
      <c r="A2221" t="str">
        <f>"300765"</f>
        <v>300765</v>
      </c>
      <c r="B2221" t="s">
        <v>4436</v>
      </c>
      <c r="C2221">
        <v>2.25</v>
      </c>
      <c r="D2221">
        <v>13.19</v>
      </c>
      <c r="E2221">
        <v>0.29</v>
      </c>
      <c r="F2221">
        <v>13.18</v>
      </c>
      <c r="G2221">
        <v>13.19</v>
      </c>
      <c r="H2221">
        <v>35130</v>
      </c>
      <c r="I2221">
        <v>460</v>
      </c>
      <c r="J2221">
        <v>0.15</v>
      </c>
      <c r="K2221">
        <v>2.57</v>
      </c>
      <c r="L2221">
        <v>4616.82</v>
      </c>
      <c r="M2221" t="s">
        <v>4437</v>
      </c>
      <c r="N2221" t="s">
        <v>299</v>
      </c>
      <c r="O2221">
        <v>12.9</v>
      </c>
      <c r="P2221">
        <v>13.37</v>
      </c>
      <c r="Q2221">
        <v>12.89</v>
      </c>
      <c r="R2221">
        <v>12.9</v>
      </c>
      <c r="S2221">
        <v>22.1</v>
      </c>
      <c r="T2221">
        <v>1.52</v>
      </c>
      <c r="U2221" t="s">
        <v>207</v>
      </c>
    </row>
    <row r="2222" spans="1:21">
      <c r="A2222" t="str">
        <f>"300766"</f>
        <v>300766</v>
      </c>
      <c r="B2222" t="s">
        <v>4438</v>
      </c>
      <c r="C2222">
        <v>0.56</v>
      </c>
      <c r="D2222">
        <v>14.39</v>
      </c>
      <c r="E2222">
        <v>0.08</v>
      </c>
      <c r="F2222">
        <v>14.39</v>
      </c>
      <c r="G2222">
        <v>14.4</v>
      </c>
      <c r="H2222">
        <v>76840</v>
      </c>
      <c r="I2222">
        <v>1454</v>
      </c>
      <c r="J2222">
        <v>0</v>
      </c>
      <c r="K2222">
        <v>2.48</v>
      </c>
      <c r="L2222">
        <v>11144.35</v>
      </c>
      <c r="M2222" t="s">
        <v>2336</v>
      </c>
      <c r="N2222" t="s">
        <v>479</v>
      </c>
      <c r="O2222">
        <v>14.59</v>
      </c>
      <c r="P2222">
        <v>14.66</v>
      </c>
      <c r="Q2222">
        <v>14.34</v>
      </c>
      <c r="R2222">
        <v>14.31</v>
      </c>
      <c r="S2222">
        <v>48.45</v>
      </c>
      <c r="T2222">
        <v>0.62</v>
      </c>
      <c r="U2222" t="s">
        <v>200</v>
      </c>
    </row>
    <row r="2223" spans="1:21">
      <c r="A2223" t="str">
        <f>"300767"</f>
        <v>300767</v>
      </c>
      <c r="B2223" t="s">
        <v>4439</v>
      </c>
      <c r="C2223">
        <v>-0.55</v>
      </c>
      <c r="D2223">
        <v>86.8</v>
      </c>
      <c r="E2223">
        <v>-0.48</v>
      </c>
      <c r="F2223">
        <v>86.78</v>
      </c>
      <c r="G2223">
        <v>86.8</v>
      </c>
      <c r="H2223">
        <v>30934</v>
      </c>
      <c r="I2223">
        <v>118</v>
      </c>
      <c r="J2223">
        <v>-0.11</v>
      </c>
      <c r="K2223">
        <v>2.62</v>
      </c>
      <c r="L2223">
        <v>26367.35</v>
      </c>
      <c r="M2223" t="s">
        <v>4440</v>
      </c>
      <c r="N2223" t="s">
        <v>1509</v>
      </c>
      <c r="O2223">
        <v>87.26</v>
      </c>
      <c r="P2223">
        <v>87.96</v>
      </c>
      <c r="Q2223">
        <v>83.73</v>
      </c>
      <c r="R2223">
        <v>87.28</v>
      </c>
      <c r="S2223">
        <v>167.55</v>
      </c>
      <c r="T2223">
        <v>1.45</v>
      </c>
      <c r="U2223" t="s">
        <v>363</v>
      </c>
    </row>
    <row r="2224" spans="1:21">
      <c r="A2224" t="str">
        <f>"300768"</f>
        <v>300768</v>
      </c>
      <c r="B2224" t="s">
        <v>4441</v>
      </c>
      <c r="C2224">
        <v>1.11</v>
      </c>
      <c r="D2224">
        <v>45.72</v>
      </c>
      <c r="E2224">
        <v>0.5</v>
      </c>
      <c r="F2224">
        <v>45.72</v>
      </c>
      <c r="G2224">
        <v>45.75</v>
      </c>
      <c r="H2224">
        <v>11907</v>
      </c>
      <c r="I2224">
        <v>118</v>
      </c>
      <c r="J2224">
        <v>-0.06</v>
      </c>
      <c r="K2224">
        <v>0.85</v>
      </c>
      <c r="L2224">
        <v>5469.9</v>
      </c>
      <c r="M2224" t="s">
        <v>4442</v>
      </c>
      <c r="N2224" t="s">
        <v>30</v>
      </c>
      <c r="O2224">
        <v>45.69</v>
      </c>
      <c r="P2224">
        <v>46.46</v>
      </c>
      <c r="Q2224">
        <v>45.16</v>
      </c>
      <c r="R2224">
        <v>45.22</v>
      </c>
      <c r="S2224">
        <v>71.94</v>
      </c>
      <c r="T2224">
        <v>0.63</v>
      </c>
      <c r="U2224" t="s">
        <v>200</v>
      </c>
    </row>
    <row r="2225" spans="1:21">
      <c r="A2225" t="str">
        <f>"300769"</f>
        <v>300769</v>
      </c>
      <c r="B2225" t="s">
        <v>4443</v>
      </c>
      <c r="C2225">
        <v>2.8</v>
      </c>
      <c r="D2225">
        <v>542.6</v>
      </c>
      <c r="E2225">
        <v>14.77</v>
      </c>
      <c r="F2225">
        <v>542.59</v>
      </c>
      <c r="G2225">
        <v>542.6</v>
      </c>
      <c r="H2225">
        <v>21724</v>
      </c>
      <c r="I2225">
        <v>228</v>
      </c>
      <c r="J2225">
        <v>-0.01</v>
      </c>
      <c r="K2225">
        <v>3.99</v>
      </c>
      <c r="L2225">
        <v>117743.37</v>
      </c>
      <c r="M2225" t="s">
        <v>4444</v>
      </c>
      <c r="N2225" t="s">
        <v>309</v>
      </c>
      <c r="O2225">
        <v>521</v>
      </c>
      <c r="P2225">
        <v>555.98</v>
      </c>
      <c r="Q2225">
        <v>518.01</v>
      </c>
      <c r="R2225">
        <v>527.83</v>
      </c>
      <c r="S2225">
        <v>148.74</v>
      </c>
      <c r="T2225">
        <v>0.99</v>
      </c>
      <c r="U2225" t="s">
        <v>24</v>
      </c>
    </row>
    <row r="2226" spans="1:21">
      <c r="A2226" t="str">
        <f>"300770"</f>
        <v>300770</v>
      </c>
      <c r="B2226" t="s">
        <v>4445</v>
      </c>
      <c r="C2226">
        <v>3.43</v>
      </c>
      <c r="D2226">
        <v>64.17</v>
      </c>
      <c r="E2226">
        <v>2.13</v>
      </c>
      <c r="F2226">
        <v>64.17</v>
      </c>
      <c r="G2226">
        <v>64.18</v>
      </c>
      <c r="H2226">
        <v>199767</v>
      </c>
      <c r="I2226">
        <v>2932</v>
      </c>
      <c r="J2226">
        <v>0.33</v>
      </c>
      <c r="K2226">
        <v>14.11</v>
      </c>
      <c r="L2226">
        <v>124660.97</v>
      </c>
      <c r="M2226" t="s">
        <v>4446</v>
      </c>
      <c r="N2226" t="s">
        <v>199</v>
      </c>
      <c r="O2226">
        <v>62</v>
      </c>
      <c r="P2226">
        <v>64.8</v>
      </c>
      <c r="Q2226">
        <v>59.6</v>
      </c>
      <c r="R2226">
        <v>62.04</v>
      </c>
      <c r="S2226">
        <v>20.42</v>
      </c>
      <c r="T2226">
        <v>0.86</v>
      </c>
      <c r="U2226" t="s">
        <v>183</v>
      </c>
    </row>
    <row r="2227" spans="1:21">
      <c r="A2227" t="str">
        <f>"300771"</f>
        <v>300771</v>
      </c>
      <c r="B2227" t="s">
        <v>4447</v>
      </c>
      <c r="C2227">
        <v>2.85</v>
      </c>
      <c r="D2227">
        <v>18.02</v>
      </c>
      <c r="E2227">
        <v>0.5</v>
      </c>
      <c r="F2227">
        <v>18.01</v>
      </c>
      <c r="G2227">
        <v>18.02</v>
      </c>
      <c r="H2227">
        <v>15731</v>
      </c>
      <c r="I2227">
        <v>336</v>
      </c>
      <c r="J2227">
        <v>0.06</v>
      </c>
      <c r="K2227">
        <v>2.07</v>
      </c>
      <c r="L2227">
        <v>2823.47</v>
      </c>
      <c r="M2227" t="s">
        <v>4448</v>
      </c>
      <c r="N2227" t="s">
        <v>72</v>
      </c>
      <c r="O2227">
        <v>17.52</v>
      </c>
      <c r="P2227">
        <v>18.17</v>
      </c>
      <c r="Q2227">
        <v>17.51</v>
      </c>
      <c r="R2227">
        <v>17.52</v>
      </c>
      <c r="S2227">
        <v>27.41</v>
      </c>
      <c r="T2227">
        <v>1.34</v>
      </c>
      <c r="U2227" t="s">
        <v>24</v>
      </c>
    </row>
    <row r="2228" spans="1:21">
      <c r="A2228" t="str">
        <f>"300772"</f>
        <v>300772</v>
      </c>
      <c r="B2228" t="s">
        <v>4449</v>
      </c>
      <c r="C2228">
        <v>4.36</v>
      </c>
      <c r="D2228">
        <v>55.1</v>
      </c>
      <c r="E2228">
        <v>2.3</v>
      </c>
      <c r="F2228">
        <v>55.1</v>
      </c>
      <c r="G2228">
        <v>55.11</v>
      </c>
      <c r="H2228">
        <v>170127</v>
      </c>
      <c r="I2228">
        <v>923</v>
      </c>
      <c r="J2228">
        <v>0.04</v>
      </c>
      <c r="K2228">
        <v>8.85</v>
      </c>
      <c r="L2228">
        <v>93286.05</v>
      </c>
      <c r="M2228" t="s">
        <v>4450</v>
      </c>
      <c r="N2228" t="s">
        <v>47</v>
      </c>
      <c r="O2228">
        <v>52.18</v>
      </c>
      <c r="P2228">
        <v>56.72</v>
      </c>
      <c r="Q2228">
        <v>51.88</v>
      </c>
      <c r="R2228">
        <v>52.8</v>
      </c>
      <c r="S2228">
        <v>54.46</v>
      </c>
      <c r="T2228">
        <v>1.13</v>
      </c>
      <c r="U2228" t="s">
        <v>200</v>
      </c>
    </row>
    <row r="2229" spans="1:21">
      <c r="A2229" t="str">
        <f>"300773"</f>
        <v>300773</v>
      </c>
      <c r="B2229" t="s">
        <v>4451</v>
      </c>
      <c r="C2229">
        <v>0.67</v>
      </c>
      <c r="D2229">
        <v>25.41</v>
      </c>
      <c r="E2229">
        <v>0.17</v>
      </c>
      <c r="F2229">
        <v>25.41</v>
      </c>
      <c r="G2229">
        <v>25.42</v>
      </c>
      <c r="H2229">
        <v>84692</v>
      </c>
      <c r="I2229">
        <v>1207</v>
      </c>
      <c r="J2229">
        <v>-0.03</v>
      </c>
      <c r="K2229">
        <v>2.21</v>
      </c>
      <c r="L2229">
        <v>21455.77</v>
      </c>
      <c r="M2229" t="s">
        <v>4452</v>
      </c>
      <c r="N2229" t="s">
        <v>30</v>
      </c>
      <c r="O2229">
        <v>25.24</v>
      </c>
      <c r="P2229">
        <v>25.59</v>
      </c>
      <c r="Q2229">
        <v>25</v>
      </c>
      <c r="R2229">
        <v>25.24</v>
      </c>
      <c r="S2229">
        <v>17.81</v>
      </c>
      <c r="T2229">
        <v>0.86</v>
      </c>
      <c r="U2229" t="s">
        <v>44</v>
      </c>
    </row>
    <row r="2230" spans="1:21">
      <c r="A2230" t="str">
        <f>"300774"</f>
        <v>300774</v>
      </c>
      <c r="B2230" t="s">
        <v>4453</v>
      </c>
      <c r="C2230">
        <v>-3.77</v>
      </c>
      <c r="D2230">
        <v>19.68</v>
      </c>
      <c r="E2230">
        <v>-0.77</v>
      </c>
      <c r="F2230">
        <v>19.68</v>
      </c>
      <c r="G2230">
        <v>19.69</v>
      </c>
      <c r="H2230">
        <v>240316</v>
      </c>
      <c r="I2230">
        <v>2914</v>
      </c>
      <c r="J2230">
        <v>0.46</v>
      </c>
      <c r="K2230">
        <v>62.62</v>
      </c>
      <c r="L2230">
        <v>49737.63</v>
      </c>
      <c r="M2230" t="s">
        <v>4454</v>
      </c>
      <c r="N2230" t="s">
        <v>33</v>
      </c>
      <c r="O2230">
        <v>20.63</v>
      </c>
      <c r="P2230">
        <v>22.48</v>
      </c>
      <c r="Q2230">
        <v>19.22</v>
      </c>
      <c r="R2230">
        <v>20.45</v>
      </c>
      <c r="S2230">
        <v>57.64</v>
      </c>
      <c r="T2230">
        <v>3.24</v>
      </c>
      <c r="U2230" t="s">
        <v>44</v>
      </c>
    </row>
    <row r="2231" spans="1:21">
      <c r="A2231" t="str">
        <f>"300775"</f>
        <v>300775</v>
      </c>
      <c r="B2231" t="s">
        <v>4455</v>
      </c>
      <c r="C2231">
        <v>-0.77</v>
      </c>
      <c r="D2231">
        <v>51.62</v>
      </c>
      <c r="E2231">
        <v>-0.4</v>
      </c>
      <c r="F2231">
        <v>51.62</v>
      </c>
      <c r="G2231">
        <v>51.63</v>
      </c>
      <c r="H2231">
        <v>79974</v>
      </c>
      <c r="I2231">
        <v>459</v>
      </c>
      <c r="J2231">
        <v>0.04</v>
      </c>
      <c r="K2231">
        <v>3.03</v>
      </c>
      <c r="L2231">
        <v>41431.92</v>
      </c>
      <c r="M2231" t="s">
        <v>4456</v>
      </c>
      <c r="N2231" t="s">
        <v>611</v>
      </c>
      <c r="O2231">
        <v>51.44</v>
      </c>
      <c r="P2231">
        <v>52.96</v>
      </c>
      <c r="Q2231">
        <v>50.84</v>
      </c>
      <c r="R2231">
        <v>52.02</v>
      </c>
      <c r="S2231">
        <v>69.58</v>
      </c>
      <c r="T2231">
        <v>0.69</v>
      </c>
      <c r="U2231" t="s">
        <v>317</v>
      </c>
    </row>
    <row r="2232" spans="1:21">
      <c r="A2232" t="str">
        <f>"300776"</f>
        <v>300776</v>
      </c>
      <c r="B2232" t="s">
        <v>4457</v>
      </c>
      <c r="C2232">
        <v>5.75</v>
      </c>
      <c r="D2232">
        <v>205.63</v>
      </c>
      <c r="E2232">
        <v>11.19</v>
      </c>
      <c r="F2232">
        <v>205.63</v>
      </c>
      <c r="G2232">
        <v>205.78</v>
      </c>
      <c r="H2232">
        <v>54630</v>
      </c>
      <c r="I2232">
        <v>408</v>
      </c>
      <c r="J2232">
        <v>0.72</v>
      </c>
      <c r="K2232">
        <v>11.5</v>
      </c>
      <c r="L2232">
        <v>107374.35</v>
      </c>
      <c r="M2232" t="s">
        <v>4458</v>
      </c>
      <c r="N2232" t="s">
        <v>324</v>
      </c>
      <c r="O2232">
        <v>192.12</v>
      </c>
      <c r="P2232">
        <v>209.8</v>
      </c>
      <c r="Q2232">
        <v>183</v>
      </c>
      <c r="R2232">
        <v>194.44</v>
      </c>
      <c r="S2232">
        <v>58.23</v>
      </c>
      <c r="T2232">
        <v>2.56</v>
      </c>
      <c r="U2232" t="s">
        <v>267</v>
      </c>
    </row>
    <row r="2233" spans="1:21">
      <c r="A2233" t="str">
        <f>"300777"</f>
        <v>300777</v>
      </c>
      <c r="B2233" t="s">
        <v>4459</v>
      </c>
      <c r="C2233">
        <v>-2</v>
      </c>
      <c r="D2233">
        <v>66.15</v>
      </c>
      <c r="E2233">
        <v>-1.35</v>
      </c>
      <c r="F2233">
        <v>66.15</v>
      </c>
      <c r="G2233">
        <v>66.19</v>
      </c>
      <c r="H2233">
        <v>99672</v>
      </c>
      <c r="I2233">
        <v>818</v>
      </c>
      <c r="J2233">
        <v>0.46</v>
      </c>
      <c r="K2233">
        <v>3.8</v>
      </c>
      <c r="L2233">
        <v>66153.81</v>
      </c>
      <c r="M2233" t="s">
        <v>4460</v>
      </c>
      <c r="N2233" t="s">
        <v>216</v>
      </c>
      <c r="O2233">
        <v>67.81</v>
      </c>
      <c r="P2233">
        <v>68.18</v>
      </c>
      <c r="Q2233">
        <v>65</v>
      </c>
      <c r="R2233">
        <v>67.5</v>
      </c>
      <c r="S2233">
        <v>136.84</v>
      </c>
      <c r="T2233">
        <v>1.2</v>
      </c>
      <c r="U2233" t="s">
        <v>102</v>
      </c>
    </row>
    <row r="2234" spans="1:21">
      <c r="A2234" t="str">
        <f>"300778"</f>
        <v>300778</v>
      </c>
      <c r="B2234" t="s">
        <v>4461</v>
      </c>
      <c r="C2234">
        <v>-0.05</v>
      </c>
      <c r="D2234">
        <v>18.95</v>
      </c>
      <c r="E2234">
        <v>-0.01</v>
      </c>
      <c r="F2234">
        <v>18.95</v>
      </c>
      <c r="G2234">
        <v>18.96</v>
      </c>
      <c r="H2234">
        <v>5417</v>
      </c>
      <c r="I2234">
        <v>382</v>
      </c>
      <c r="J2234">
        <v>-0.2</v>
      </c>
      <c r="K2234">
        <v>0.94</v>
      </c>
      <c r="L2234">
        <v>1025.12</v>
      </c>
      <c r="M2234" t="s">
        <v>4462</v>
      </c>
      <c r="N2234" t="s">
        <v>50</v>
      </c>
      <c r="O2234">
        <v>18.9</v>
      </c>
      <c r="P2234">
        <v>19.13</v>
      </c>
      <c r="Q2234">
        <v>18.72</v>
      </c>
      <c r="R2234">
        <v>18.96</v>
      </c>
      <c r="S2234">
        <v>29.75</v>
      </c>
      <c r="T2234">
        <v>0.63</v>
      </c>
      <c r="U2234" t="s">
        <v>24</v>
      </c>
    </row>
    <row r="2235" spans="1:21">
      <c r="A2235" t="str">
        <f>"300779"</f>
        <v>300779</v>
      </c>
      <c r="B2235" t="s">
        <v>4463</v>
      </c>
      <c r="C2235">
        <v>-0.48</v>
      </c>
      <c r="D2235">
        <v>16.56</v>
      </c>
      <c r="E2235">
        <v>-0.08</v>
      </c>
      <c r="F2235">
        <v>16.56</v>
      </c>
      <c r="G2235">
        <v>16.58</v>
      </c>
      <c r="H2235">
        <v>13283</v>
      </c>
      <c r="I2235">
        <v>396</v>
      </c>
      <c r="J2235">
        <v>-0.41</v>
      </c>
      <c r="K2235">
        <v>1.9</v>
      </c>
      <c r="L2235">
        <v>2199.24</v>
      </c>
      <c r="M2235" t="s">
        <v>4464</v>
      </c>
      <c r="N2235" t="s">
        <v>33</v>
      </c>
      <c r="O2235">
        <v>16.58</v>
      </c>
      <c r="P2235">
        <v>16.71</v>
      </c>
      <c r="Q2235">
        <v>16.36</v>
      </c>
      <c r="R2235">
        <v>16.64</v>
      </c>
      <c r="S2235">
        <v>118.41</v>
      </c>
      <c r="T2235">
        <v>0.86</v>
      </c>
      <c r="U2235" t="s">
        <v>221</v>
      </c>
    </row>
    <row r="2236" spans="1:21">
      <c r="A2236" t="str">
        <f>"300780"</f>
        <v>300780</v>
      </c>
      <c r="B2236" t="s">
        <v>4465</v>
      </c>
      <c r="C2236">
        <v>3.03</v>
      </c>
      <c r="D2236">
        <v>17.33</v>
      </c>
      <c r="E2236">
        <v>0.51</v>
      </c>
      <c r="F2236">
        <v>17.32</v>
      </c>
      <c r="G2236">
        <v>17.33</v>
      </c>
      <c r="H2236">
        <v>39183</v>
      </c>
      <c r="I2236">
        <v>943</v>
      </c>
      <c r="J2236">
        <v>0.7</v>
      </c>
      <c r="K2236">
        <v>6.02</v>
      </c>
      <c r="L2236">
        <v>6679.45</v>
      </c>
      <c r="M2236" t="s">
        <v>4466</v>
      </c>
      <c r="N2236" t="s">
        <v>347</v>
      </c>
      <c r="O2236">
        <v>16.79</v>
      </c>
      <c r="P2236">
        <v>17.35</v>
      </c>
      <c r="Q2236">
        <v>16.69</v>
      </c>
      <c r="R2236">
        <v>16.82</v>
      </c>
      <c r="S2236">
        <v>43.32</v>
      </c>
      <c r="T2236">
        <v>0.95</v>
      </c>
      <c r="U2236" t="s">
        <v>196</v>
      </c>
    </row>
    <row r="2237" spans="1:21">
      <c r="A2237" t="str">
        <f>"300781"</f>
        <v>300781</v>
      </c>
      <c r="B2237" t="s">
        <v>4467</v>
      </c>
      <c r="C2237">
        <v>-4.63</v>
      </c>
      <c r="D2237">
        <v>23.7</v>
      </c>
      <c r="E2237">
        <v>-1.15</v>
      </c>
      <c r="F2237">
        <v>23.7</v>
      </c>
      <c r="G2237">
        <v>23.71</v>
      </c>
      <c r="H2237">
        <v>62645</v>
      </c>
      <c r="I2237">
        <v>1475</v>
      </c>
      <c r="J2237">
        <v>0.34</v>
      </c>
      <c r="K2237">
        <v>17.49</v>
      </c>
      <c r="L2237">
        <v>14855.56</v>
      </c>
      <c r="M2237" t="s">
        <v>4468</v>
      </c>
      <c r="N2237" t="s">
        <v>482</v>
      </c>
      <c r="O2237">
        <v>24.81</v>
      </c>
      <c r="P2237">
        <v>24.81</v>
      </c>
      <c r="Q2237">
        <v>23.01</v>
      </c>
      <c r="R2237">
        <v>24.85</v>
      </c>
      <c r="S2237">
        <v>39.04</v>
      </c>
      <c r="T2237">
        <v>0.98</v>
      </c>
      <c r="U2237" t="s">
        <v>183</v>
      </c>
    </row>
    <row r="2238" spans="1:21">
      <c r="A2238" t="str">
        <f>"300782"</f>
        <v>300782</v>
      </c>
      <c r="B2238" t="s">
        <v>4469</v>
      </c>
      <c r="C2238">
        <v>-1.15</v>
      </c>
      <c r="D2238">
        <v>300.36</v>
      </c>
      <c r="E2238">
        <v>-3.49</v>
      </c>
      <c r="F2238">
        <v>300.36</v>
      </c>
      <c r="G2238">
        <v>300.38</v>
      </c>
      <c r="H2238">
        <v>39520</v>
      </c>
      <c r="I2238">
        <v>433</v>
      </c>
      <c r="J2238">
        <v>-0.01</v>
      </c>
      <c r="K2238">
        <v>1.97</v>
      </c>
      <c r="L2238">
        <v>119072.15</v>
      </c>
      <c r="M2238" t="s">
        <v>4470</v>
      </c>
      <c r="N2238" t="s">
        <v>69</v>
      </c>
      <c r="O2238">
        <v>302</v>
      </c>
      <c r="P2238">
        <v>306.78</v>
      </c>
      <c r="Q2238">
        <v>299</v>
      </c>
      <c r="R2238">
        <v>303.85</v>
      </c>
      <c r="S2238">
        <v>49.2</v>
      </c>
      <c r="T2238">
        <v>0.96</v>
      </c>
      <c r="U2238" t="s">
        <v>102</v>
      </c>
    </row>
    <row r="2239" spans="1:21">
      <c r="A2239" t="str">
        <f>"300783"</f>
        <v>300783</v>
      </c>
      <c r="B2239" t="s">
        <v>4471</v>
      </c>
      <c r="C2239">
        <v>0.46</v>
      </c>
      <c r="D2239">
        <v>36.89</v>
      </c>
      <c r="E2239">
        <v>0.17</v>
      </c>
      <c r="F2239">
        <v>36.88</v>
      </c>
      <c r="G2239">
        <v>36.89</v>
      </c>
      <c r="H2239">
        <v>41200</v>
      </c>
      <c r="I2239">
        <v>578</v>
      </c>
      <c r="J2239">
        <v>0.05</v>
      </c>
      <c r="K2239">
        <v>1.82</v>
      </c>
      <c r="L2239">
        <v>15210.68</v>
      </c>
      <c r="M2239" t="s">
        <v>4472</v>
      </c>
      <c r="N2239" t="s">
        <v>299</v>
      </c>
      <c r="O2239">
        <v>36.5</v>
      </c>
      <c r="P2239">
        <v>37.39</v>
      </c>
      <c r="Q2239">
        <v>36.48</v>
      </c>
      <c r="R2239">
        <v>36.72</v>
      </c>
      <c r="S2239">
        <v>25.09</v>
      </c>
      <c r="T2239">
        <v>0.61</v>
      </c>
      <c r="U2239" t="s">
        <v>193</v>
      </c>
    </row>
    <row r="2240" spans="1:21">
      <c r="A2240" t="str">
        <f>"300785"</f>
        <v>300785</v>
      </c>
      <c r="B2240" t="s">
        <v>4473</v>
      </c>
      <c r="C2240">
        <v>0.23</v>
      </c>
      <c r="D2240">
        <v>75.15</v>
      </c>
      <c r="E2240">
        <v>0.17</v>
      </c>
      <c r="F2240">
        <v>75.15</v>
      </c>
      <c r="G2240">
        <v>75.17</v>
      </c>
      <c r="H2240">
        <v>3181</v>
      </c>
      <c r="I2240">
        <v>73</v>
      </c>
      <c r="J2240">
        <v>0</v>
      </c>
      <c r="K2240">
        <v>1.02</v>
      </c>
      <c r="L2240">
        <v>2385.61</v>
      </c>
      <c r="M2240" t="s">
        <v>4474</v>
      </c>
      <c r="N2240" t="s">
        <v>479</v>
      </c>
      <c r="O2240">
        <v>74.9</v>
      </c>
      <c r="P2240">
        <v>75.28</v>
      </c>
      <c r="Q2240">
        <v>74.7</v>
      </c>
      <c r="R2240">
        <v>74.98</v>
      </c>
      <c r="S2240">
        <v>48.2</v>
      </c>
      <c r="T2240">
        <v>0.66</v>
      </c>
      <c r="U2240" t="s">
        <v>44</v>
      </c>
    </row>
    <row r="2241" spans="1:21">
      <c r="A2241" t="str">
        <f>"300786"</f>
        <v>300786</v>
      </c>
      <c r="B2241" t="s">
        <v>4475</v>
      </c>
      <c r="C2241">
        <v>12.29</v>
      </c>
      <c r="D2241">
        <v>38.18</v>
      </c>
      <c r="E2241">
        <v>4.18</v>
      </c>
      <c r="F2241">
        <v>38.17</v>
      </c>
      <c r="G2241">
        <v>38.18</v>
      </c>
      <c r="H2241">
        <v>99345</v>
      </c>
      <c r="I2241">
        <v>995</v>
      </c>
      <c r="J2241">
        <v>0.58</v>
      </c>
      <c r="K2241">
        <v>19.09</v>
      </c>
      <c r="L2241">
        <v>36715.35</v>
      </c>
      <c r="M2241" t="s">
        <v>4476</v>
      </c>
      <c r="N2241" t="s">
        <v>33</v>
      </c>
      <c r="O2241">
        <v>34.17</v>
      </c>
      <c r="P2241">
        <v>39.76</v>
      </c>
      <c r="Q2241">
        <v>34.17</v>
      </c>
      <c r="R2241">
        <v>34</v>
      </c>
      <c r="S2241">
        <v>46.54</v>
      </c>
      <c r="T2241">
        <v>1.74</v>
      </c>
      <c r="U2241" t="s">
        <v>221</v>
      </c>
    </row>
    <row r="2242" spans="1:21">
      <c r="A2242" t="str">
        <f>"300787"</f>
        <v>300787</v>
      </c>
      <c r="B2242" t="s">
        <v>4477</v>
      </c>
      <c r="C2242">
        <v>-0.39</v>
      </c>
      <c r="D2242">
        <v>28.23</v>
      </c>
      <c r="E2242">
        <v>-0.11</v>
      </c>
      <c r="F2242">
        <v>28.23</v>
      </c>
      <c r="G2242">
        <v>28.24</v>
      </c>
      <c r="H2242">
        <v>29362</v>
      </c>
      <c r="I2242">
        <v>635</v>
      </c>
      <c r="J2242">
        <v>0.21</v>
      </c>
      <c r="K2242">
        <v>5.64</v>
      </c>
      <c r="L2242">
        <v>8292.57</v>
      </c>
      <c r="M2242" t="s">
        <v>4478</v>
      </c>
      <c r="N2242" t="s">
        <v>153</v>
      </c>
      <c r="O2242">
        <v>27.8</v>
      </c>
      <c r="P2242">
        <v>28.85</v>
      </c>
      <c r="Q2242">
        <v>27.8</v>
      </c>
      <c r="R2242">
        <v>28.34</v>
      </c>
      <c r="S2242">
        <v>30.61</v>
      </c>
      <c r="T2242">
        <v>0.8</v>
      </c>
      <c r="U2242" t="s">
        <v>235</v>
      </c>
    </row>
    <row r="2243" spans="1:21">
      <c r="A2243" t="str">
        <f>"300788"</f>
        <v>300788</v>
      </c>
      <c r="B2243" t="s">
        <v>4479</v>
      </c>
      <c r="C2243">
        <v>-0.04</v>
      </c>
      <c r="D2243">
        <v>26.62</v>
      </c>
      <c r="E2243">
        <v>-0.01</v>
      </c>
      <c r="F2243">
        <v>26.61</v>
      </c>
      <c r="G2243">
        <v>26.62</v>
      </c>
      <c r="H2243">
        <v>19468</v>
      </c>
      <c r="I2243">
        <v>291</v>
      </c>
      <c r="J2243">
        <v>0.11</v>
      </c>
      <c r="K2243">
        <v>3.86</v>
      </c>
      <c r="L2243">
        <v>5157.21</v>
      </c>
      <c r="M2243" t="s">
        <v>4480</v>
      </c>
      <c r="N2243" t="s">
        <v>650</v>
      </c>
      <c r="O2243">
        <v>26.51</v>
      </c>
      <c r="P2243">
        <v>26.95</v>
      </c>
      <c r="Q2243">
        <v>26.19</v>
      </c>
      <c r="R2243">
        <v>26.63</v>
      </c>
      <c r="S2243">
        <v>18.85</v>
      </c>
      <c r="T2243">
        <v>0.87</v>
      </c>
      <c r="U2243" t="s">
        <v>44</v>
      </c>
    </row>
    <row r="2244" spans="1:21">
      <c r="A2244" t="str">
        <f>"300789"</f>
        <v>300789</v>
      </c>
      <c r="B2244" t="s">
        <v>4481</v>
      </c>
      <c r="C2244">
        <v>-0.4</v>
      </c>
      <c r="D2244">
        <v>29.76</v>
      </c>
      <c r="E2244">
        <v>-0.12</v>
      </c>
      <c r="F2244">
        <v>29.75</v>
      </c>
      <c r="G2244">
        <v>29.76</v>
      </c>
      <c r="H2244">
        <v>14043</v>
      </c>
      <c r="I2244">
        <v>348</v>
      </c>
      <c r="J2244">
        <v>-0.16</v>
      </c>
      <c r="K2244">
        <v>4.56</v>
      </c>
      <c r="L2244">
        <v>4227.62</v>
      </c>
      <c r="M2244" t="s">
        <v>1299</v>
      </c>
      <c r="N2244" t="s">
        <v>30</v>
      </c>
      <c r="O2244">
        <v>29.89</v>
      </c>
      <c r="P2244">
        <v>30.68</v>
      </c>
      <c r="Q2244">
        <v>29.71</v>
      </c>
      <c r="R2244">
        <v>29.88</v>
      </c>
      <c r="S2244">
        <v>48.62</v>
      </c>
      <c r="T2244">
        <v>0.5</v>
      </c>
      <c r="U2244" t="s">
        <v>196</v>
      </c>
    </row>
    <row r="2245" spans="1:21">
      <c r="A2245" t="str">
        <f>"300790"</f>
        <v>300790</v>
      </c>
      <c r="B2245" t="s">
        <v>4482</v>
      </c>
      <c r="C2245">
        <v>6.98</v>
      </c>
      <c r="D2245">
        <v>42.31</v>
      </c>
      <c r="E2245">
        <v>2.76</v>
      </c>
      <c r="F2245">
        <v>42.31</v>
      </c>
      <c r="G2245">
        <v>42.32</v>
      </c>
      <c r="H2245">
        <v>44243</v>
      </c>
      <c r="I2245">
        <v>459</v>
      </c>
      <c r="J2245">
        <v>0.02</v>
      </c>
      <c r="K2245">
        <v>4.1</v>
      </c>
      <c r="L2245">
        <v>18359.83</v>
      </c>
      <c r="M2245" t="s">
        <v>4483</v>
      </c>
      <c r="N2245" t="s">
        <v>1028</v>
      </c>
      <c r="O2245">
        <v>39.34</v>
      </c>
      <c r="P2245">
        <v>42.6</v>
      </c>
      <c r="Q2245">
        <v>39.34</v>
      </c>
      <c r="R2245">
        <v>39.55</v>
      </c>
      <c r="S2245">
        <v>30.82</v>
      </c>
      <c r="T2245">
        <v>1.21</v>
      </c>
      <c r="U2245" t="s">
        <v>183</v>
      </c>
    </row>
    <row r="2246" spans="1:21">
      <c r="A2246" t="str">
        <f>"300791"</f>
        <v>300791</v>
      </c>
      <c r="B2246" t="s">
        <v>4484</v>
      </c>
      <c r="C2246">
        <v>0.52</v>
      </c>
      <c r="D2246">
        <v>46.69</v>
      </c>
      <c r="E2246">
        <v>0.24</v>
      </c>
      <c r="F2246">
        <v>46.69</v>
      </c>
      <c r="G2246">
        <v>46.7</v>
      </c>
      <c r="H2246">
        <v>10711</v>
      </c>
      <c r="I2246">
        <v>106</v>
      </c>
      <c r="J2246">
        <v>0.52</v>
      </c>
      <c r="K2246">
        <v>2.08</v>
      </c>
      <c r="L2246">
        <v>5000.82</v>
      </c>
      <c r="M2246" t="s">
        <v>4485</v>
      </c>
      <c r="N2246" t="s">
        <v>186</v>
      </c>
      <c r="O2246">
        <v>46.45</v>
      </c>
      <c r="P2246">
        <v>47.18</v>
      </c>
      <c r="Q2246">
        <v>46.02</v>
      </c>
      <c r="R2246">
        <v>46.45</v>
      </c>
      <c r="S2246">
        <v>31.49</v>
      </c>
      <c r="T2246">
        <v>0.7</v>
      </c>
      <c r="U2246" t="s">
        <v>183</v>
      </c>
    </row>
    <row r="2247" spans="1:21">
      <c r="A2247" t="str">
        <f>"300792"</f>
        <v>300792</v>
      </c>
      <c r="B2247" t="s">
        <v>4486</v>
      </c>
      <c r="C2247">
        <v>-0.76</v>
      </c>
      <c r="D2247">
        <v>50.98</v>
      </c>
      <c r="E2247">
        <v>-0.39</v>
      </c>
      <c r="F2247">
        <v>50.97</v>
      </c>
      <c r="G2247">
        <v>50.98</v>
      </c>
      <c r="H2247">
        <v>16505</v>
      </c>
      <c r="I2247">
        <v>153</v>
      </c>
      <c r="J2247">
        <v>0.04</v>
      </c>
      <c r="K2247">
        <v>1.79</v>
      </c>
      <c r="L2247">
        <v>8384.12</v>
      </c>
      <c r="M2247" t="s">
        <v>2547</v>
      </c>
      <c r="N2247" t="s">
        <v>479</v>
      </c>
      <c r="O2247">
        <v>50.85</v>
      </c>
      <c r="P2247">
        <v>51.58</v>
      </c>
      <c r="Q2247">
        <v>50.13</v>
      </c>
      <c r="R2247">
        <v>51.37</v>
      </c>
      <c r="S2247">
        <v>44.84</v>
      </c>
      <c r="T2247">
        <v>0.88</v>
      </c>
      <c r="U2247" t="s">
        <v>200</v>
      </c>
    </row>
    <row r="2248" spans="1:21">
      <c r="A2248" t="str">
        <f>"300793"</f>
        <v>300793</v>
      </c>
      <c r="B2248" t="s">
        <v>4487</v>
      </c>
      <c r="C2248">
        <v>-4.03</v>
      </c>
      <c r="D2248">
        <v>19.53</v>
      </c>
      <c r="E2248">
        <v>-0.82</v>
      </c>
      <c r="F2248">
        <v>19.53</v>
      </c>
      <c r="G2248">
        <v>19.54</v>
      </c>
      <c r="H2248">
        <v>112300</v>
      </c>
      <c r="I2248">
        <v>1985</v>
      </c>
      <c r="J2248">
        <v>0.05</v>
      </c>
      <c r="K2248">
        <v>11.02</v>
      </c>
      <c r="L2248">
        <v>22072.98</v>
      </c>
      <c r="M2248" t="s">
        <v>4488</v>
      </c>
      <c r="N2248" t="s">
        <v>72</v>
      </c>
      <c r="O2248">
        <v>20.01</v>
      </c>
      <c r="P2248">
        <v>20.11</v>
      </c>
      <c r="Q2248">
        <v>19.4</v>
      </c>
      <c r="R2248">
        <v>20.35</v>
      </c>
      <c r="S2248">
        <v>48.19</v>
      </c>
      <c r="T2248">
        <v>0.94</v>
      </c>
      <c r="U2248" t="s">
        <v>183</v>
      </c>
    </row>
    <row r="2249" spans="1:21">
      <c r="A2249" t="str">
        <f>"300795"</f>
        <v>300795</v>
      </c>
      <c r="B2249" t="s">
        <v>4489</v>
      </c>
      <c r="C2249">
        <v>-1.86</v>
      </c>
      <c r="D2249">
        <v>21.59</v>
      </c>
      <c r="E2249">
        <v>-0.41</v>
      </c>
      <c r="F2249">
        <v>21.57</v>
      </c>
      <c r="G2249">
        <v>21.59</v>
      </c>
      <c r="H2249">
        <v>3241</v>
      </c>
      <c r="I2249">
        <v>24</v>
      </c>
      <c r="J2249">
        <v>-0.04</v>
      </c>
      <c r="K2249">
        <v>0.88</v>
      </c>
      <c r="L2249">
        <v>703.59</v>
      </c>
      <c r="M2249" t="s">
        <v>4490</v>
      </c>
      <c r="N2249" t="s">
        <v>99</v>
      </c>
      <c r="O2249">
        <v>22</v>
      </c>
      <c r="P2249">
        <v>22</v>
      </c>
      <c r="Q2249">
        <v>21.59</v>
      </c>
      <c r="R2249">
        <v>22</v>
      </c>
      <c r="S2249" t="s">
        <v>40</v>
      </c>
      <c r="T2249">
        <v>0.59</v>
      </c>
      <c r="U2249" t="s">
        <v>200</v>
      </c>
    </row>
    <row r="2250" spans="1:21">
      <c r="A2250" t="str">
        <f>"300796"</f>
        <v>300796</v>
      </c>
      <c r="B2250" t="s">
        <v>4491</v>
      </c>
      <c r="C2250">
        <v>1.56</v>
      </c>
      <c r="D2250">
        <v>16.89</v>
      </c>
      <c r="E2250">
        <v>0.26</v>
      </c>
      <c r="F2250">
        <v>16.89</v>
      </c>
      <c r="G2250">
        <v>16.92</v>
      </c>
      <c r="H2250">
        <v>6923</v>
      </c>
      <c r="I2250">
        <v>78</v>
      </c>
      <c r="J2250">
        <v>-0.23</v>
      </c>
      <c r="K2250">
        <v>1.12</v>
      </c>
      <c r="L2250">
        <v>1167.55</v>
      </c>
      <c r="M2250" t="s">
        <v>2634</v>
      </c>
      <c r="N2250" t="s">
        <v>309</v>
      </c>
      <c r="O2250">
        <v>16.65</v>
      </c>
      <c r="P2250">
        <v>17.06</v>
      </c>
      <c r="Q2250">
        <v>16.6</v>
      </c>
      <c r="R2250">
        <v>16.63</v>
      </c>
      <c r="S2250">
        <v>34.89</v>
      </c>
      <c r="T2250">
        <v>0.93</v>
      </c>
      <c r="U2250" t="s">
        <v>200</v>
      </c>
    </row>
    <row r="2251" spans="1:21">
      <c r="A2251" t="str">
        <f>"300797"</f>
        <v>300797</v>
      </c>
      <c r="B2251" t="s">
        <v>4492</v>
      </c>
      <c r="C2251">
        <v>0.87</v>
      </c>
      <c r="D2251">
        <v>16.22</v>
      </c>
      <c r="E2251">
        <v>0.14</v>
      </c>
      <c r="F2251">
        <v>16.2</v>
      </c>
      <c r="G2251">
        <v>16.22</v>
      </c>
      <c r="H2251">
        <v>19385</v>
      </c>
      <c r="I2251">
        <v>300</v>
      </c>
      <c r="J2251">
        <v>0.12</v>
      </c>
      <c r="K2251">
        <v>2.54</v>
      </c>
      <c r="L2251">
        <v>3120.6</v>
      </c>
      <c r="M2251" t="s">
        <v>4493</v>
      </c>
      <c r="N2251" t="s">
        <v>1028</v>
      </c>
      <c r="O2251">
        <v>16.21</v>
      </c>
      <c r="P2251">
        <v>16.29</v>
      </c>
      <c r="Q2251">
        <v>15.85</v>
      </c>
      <c r="R2251">
        <v>16.08</v>
      </c>
      <c r="S2251">
        <v>43.01</v>
      </c>
      <c r="T2251">
        <v>1.19</v>
      </c>
      <c r="U2251" t="s">
        <v>44</v>
      </c>
    </row>
    <row r="2252" spans="1:21">
      <c r="A2252" t="str">
        <f>"300798"</f>
        <v>300798</v>
      </c>
      <c r="B2252" t="s">
        <v>4494</v>
      </c>
      <c r="C2252">
        <v>0.63</v>
      </c>
      <c r="D2252">
        <v>9.66</v>
      </c>
      <c r="E2252">
        <v>0.06</v>
      </c>
      <c r="F2252">
        <v>9.66</v>
      </c>
      <c r="G2252">
        <v>9.67</v>
      </c>
      <c r="H2252">
        <v>26548</v>
      </c>
      <c r="I2252">
        <v>403</v>
      </c>
      <c r="J2252">
        <v>0</v>
      </c>
      <c r="K2252">
        <v>1.26</v>
      </c>
      <c r="L2252">
        <v>2558.85</v>
      </c>
      <c r="M2252" t="s">
        <v>4495</v>
      </c>
      <c r="N2252" t="s">
        <v>416</v>
      </c>
      <c r="O2252">
        <v>9.6</v>
      </c>
      <c r="P2252">
        <v>9.72</v>
      </c>
      <c r="Q2252">
        <v>9.53</v>
      </c>
      <c r="R2252">
        <v>9.6</v>
      </c>
      <c r="S2252">
        <v>63.32</v>
      </c>
      <c r="T2252">
        <v>0.83</v>
      </c>
      <c r="U2252" t="s">
        <v>102</v>
      </c>
    </row>
    <row r="2253" spans="1:21">
      <c r="A2253" t="str">
        <f>"300799"</f>
        <v>300799</v>
      </c>
      <c r="B2253" t="s">
        <v>4496</v>
      </c>
      <c r="C2253">
        <v>6</v>
      </c>
      <c r="D2253">
        <v>57.73</v>
      </c>
      <c r="E2253">
        <v>3.27</v>
      </c>
      <c r="F2253">
        <v>57.73</v>
      </c>
      <c r="G2253">
        <v>57.88</v>
      </c>
      <c r="H2253">
        <v>16072</v>
      </c>
      <c r="I2253">
        <v>109</v>
      </c>
      <c r="J2253">
        <v>-0.44</v>
      </c>
      <c r="K2253">
        <v>4.92</v>
      </c>
      <c r="L2253">
        <v>9236.64</v>
      </c>
      <c r="M2253" t="s">
        <v>4497</v>
      </c>
      <c r="N2253" t="s">
        <v>30</v>
      </c>
      <c r="O2253">
        <v>54.46</v>
      </c>
      <c r="P2253">
        <v>58.99</v>
      </c>
      <c r="Q2253">
        <v>54.28</v>
      </c>
      <c r="R2253">
        <v>54.46</v>
      </c>
      <c r="S2253">
        <v>197.21</v>
      </c>
      <c r="T2253">
        <v>1.4</v>
      </c>
      <c r="U2253" t="s">
        <v>44</v>
      </c>
    </row>
    <row r="2254" spans="1:21">
      <c r="A2254" t="str">
        <f>"300800"</f>
        <v>300800</v>
      </c>
      <c r="B2254" t="s">
        <v>4498</v>
      </c>
      <c r="C2254">
        <v>4.48</v>
      </c>
      <c r="D2254">
        <v>25.4</v>
      </c>
      <c r="E2254">
        <v>1.09</v>
      </c>
      <c r="F2254">
        <v>25.4</v>
      </c>
      <c r="G2254">
        <v>25.41</v>
      </c>
      <c r="H2254">
        <v>56507</v>
      </c>
      <c r="I2254">
        <v>918</v>
      </c>
      <c r="J2254">
        <v>0.12</v>
      </c>
      <c r="K2254">
        <v>3.9</v>
      </c>
      <c r="L2254">
        <v>14281.57</v>
      </c>
      <c r="M2254" t="s">
        <v>4499</v>
      </c>
      <c r="N2254" t="s">
        <v>33</v>
      </c>
      <c r="O2254">
        <v>24.38</v>
      </c>
      <c r="P2254">
        <v>26.08</v>
      </c>
      <c r="Q2254">
        <v>24.03</v>
      </c>
      <c r="R2254">
        <v>24.31</v>
      </c>
      <c r="S2254">
        <v>23.74</v>
      </c>
      <c r="T2254">
        <v>1.53</v>
      </c>
      <c r="U2254" t="s">
        <v>204</v>
      </c>
    </row>
    <row r="2255" spans="1:21">
      <c r="A2255" t="str">
        <f>"300801"</f>
        <v>300801</v>
      </c>
      <c r="B2255" t="s">
        <v>4500</v>
      </c>
      <c r="C2255">
        <v>9.9</v>
      </c>
      <c r="D2255">
        <v>21.76</v>
      </c>
      <c r="E2255">
        <v>1.96</v>
      </c>
      <c r="F2255">
        <v>21.76</v>
      </c>
      <c r="G2255">
        <v>21.77</v>
      </c>
      <c r="H2255">
        <v>132377</v>
      </c>
      <c r="I2255">
        <v>2255</v>
      </c>
      <c r="J2255">
        <v>0.88</v>
      </c>
      <c r="K2255">
        <v>15.86</v>
      </c>
      <c r="L2255">
        <v>28088.99</v>
      </c>
      <c r="M2255" t="s">
        <v>4501</v>
      </c>
      <c r="N2255" t="s">
        <v>309</v>
      </c>
      <c r="O2255">
        <v>19.8</v>
      </c>
      <c r="P2255">
        <v>21.79</v>
      </c>
      <c r="Q2255">
        <v>19.8</v>
      </c>
      <c r="R2255">
        <v>19.8</v>
      </c>
      <c r="S2255">
        <v>29.75</v>
      </c>
      <c r="T2255">
        <v>3.12</v>
      </c>
      <c r="U2255" t="s">
        <v>221</v>
      </c>
    </row>
    <row r="2256" spans="1:21">
      <c r="A2256" t="str">
        <f>"300802"</f>
        <v>300802</v>
      </c>
      <c r="B2256" t="s">
        <v>4502</v>
      </c>
      <c r="C2256">
        <v>-1.26</v>
      </c>
      <c r="D2256">
        <v>42.25</v>
      </c>
      <c r="E2256">
        <v>-0.54</v>
      </c>
      <c r="F2256">
        <v>42.24</v>
      </c>
      <c r="G2256">
        <v>42.25</v>
      </c>
      <c r="H2256">
        <v>35158</v>
      </c>
      <c r="I2256">
        <v>192</v>
      </c>
      <c r="J2256">
        <v>0.02</v>
      </c>
      <c r="K2256">
        <v>4.2</v>
      </c>
      <c r="L2256">
        <v>15066.14</v>
      </c>
      <c r="M2256" t="s">
        <v>4503</v>
      </c>
      <c r="N2256" t="s">
        <v>72</v>
      </c>
      <c r="O2256">
        <v>43.07</v>
      </c>
      <c r="P2256">
        <v>43.8</v>
      </c>
      <c r="Q2256">
        <v>41.95</v>
      </c>
      <c r="R2256">
        <v>42.79</v>
      </c>
      <c r="S2256">
        <v>59.45</v>
      </c>
      <c r="T2256">
        <v>1.06</v>
      </c>
      <c r="U2256" t="s">
        <v>848</v>
      </c>
    </row>
    <row r="2257" spans="1:21">
      <c r="A2257" t="str">
        <f>"300803"</f>
        <v>300803</v>
      </c>
      <c r="B2257" t="s">
        <v>4504</v>
      </c>
      <c r="C2257">
        <v>0.98</v>
      </c>
      <c r="D2257">
        <v>34.15</v>
      </c>
      <c r="E2257">
        <v>0.33</v>
      </c>
      <c r="F2257">
        <v>34.15</v>
      </c>
      <c r="G2257">
        <v>34.16</v>
      </c>
      <c r="H2257">
        <v>55080</v>
      </c>
      <c r="I2257">
        <v>296</v>
      </c>
      <c r="J2257">
        <v>-0.02</v>
      </c>
      <c r="K2257">
        <v>2.5</v>
      </c>
      <c r="L2257">
        <v>18713.96</v>
      </c>
      <c r="M2257" t="s">
        <v>4505</v>
      </c>
      <c r="N2257" t="s">
        <v>30</v>
      </c>
      <c r="O2257">
        <v>33.78</v>
      </c>
      <c r="P2257">
        <v>34.75</v>
      </c>
      <c r="Q2257">
        <v>33.26</v>
      </c>
      <c r="R2257">
        <v>33.82</v>
      </c>
      <c r="S2257">
        <v>63.39</v>
      </c>
      <c r="T2257">
        <v>1.43</v>
      </c>
      <c r="U2257" t="s">
        <v>44</v>
      </c>
    </row>
    <row r="2258" spans="1:21">
      <c r="A2258" t="str">
        <f>"300805"</f>
        <v>300805</v>
      </c>
      <c r="B2258" t="s">
        <v>4506</v>
      </c>
      <c r="C2258">
        <v>1.29</v>
      </c>
      <c r="D2258">
        <v>11.78</v>
      </c>
      <c r="E2258">
        <v>0.15</v>
      </c>
      <c r="F2258">
        <v>11.77</v>
      </c>
      <c r="G2258">
        <v>11.78</v>
      </c>
      <c r="H2258">
        <v>54696</v>
      </c>
      <c r="I2258">
        <v>1284</v>
      </c>
      <c r="J2258">
        <v>-0.07</v>
      </c>
      <c r="K2258">
        <v>4.27</v>
      </c>
      <c r="L2258">
        <v>6534.19</v>
      </c>
      <c r="M2258" t="s">
        <v>4507</v>
      </c>
      <c r="N2258" t="s">
        <v>482</v>
      </c>
      <c r="O2258">
        <v>11.56</v>
      </c>
      <c r="P2258">
        <v>12.17</v>
      </c>
      <c r="Q2258">
        <v>11.56</v>
      </c>
      <c r="R2258">
        <v>11.63</v>
      </c>
      <c r="S2258">
        <v>556.96</v>
      </c>
      <c r="T2258">
        <v>0.81</v>
      </c>
      <c r="U2258" t="s">
        <v>183</v>
      </c>
    </row>
    <row r="2259" spans="1:21">
      <c r="A2259" t="str">
        <f>"300806"</f>
        <v>300806</v>
      </c>
      <c r="B2259" t="s">
        <v>4508</v>
      </c>
      <c r="C2259">
        <v>-1.03</v>
      </c>
      <c r="D2259">
        <v>52.71</v>
      </c>
      <c r="E2259">
        <v>-0.55</v>
      </c>
      <c r="F2259">
        <v>52.57</v>
      </c>
      <c r="G2259">
        <v>52.71</v>
      </c>
      <c r="H2259">
        <v>29311</v>
      </c>
      <c r="I2259">
        <v>351</v>
      </c>
      <c r="J2259">
        <v>0.76</v>
      </c>
      <c r="K2259">
        <v>2.81</v>
      </c>
      <c r="L2259">
        <v>15294.45</v>
      </c>
      <c r="M2259" t="s">
        <v>4509</v>
      </c>
      <c r="N2259" t="s">
        <v>839</v>
      </c>
      <c r="O2259">
        <v>52.93</v>
      </c>
      <c r="P2259">
        <v>53.49</v>
      </c>
      <c r="Q2259">
        <v>51.3</v>
      </c>
      <c r="R2259">
        <v>53.26</v>
      </c>
      <c r="S2259">
        <v>56.4</v>
      </c>
      <c r="T2259">
        <v>1</v>
      </c>
      <c r="U2259" t="s">
        <v>102</v>
      </c>
    </row>
    <row r="2260" spans="1:21">
      <c r="A2260" t="str">
        <f>"300807"</f>
        <v>300807</v>
      </c>
      <c r="B2260" t="s">
        <v>4510</v>
      </c>
      <c r="C2260">
        <v>3.12</v>
      </c>
      <c r="D2260">
        <v>24.49</v>
      </c>
      <c r="E2260">
        <v>0.74</v>
      </c>
      <c r="F2260">
        <v>24.48</v>
      </c>
      <c r="G2260">
        <v>24.49</v>
      </c>
      <c r="H2260">
        <v>17325</v>
      </c>
      <c r="I2260">
        <v>221</v>
      </c>
      <c r="J2260">
        <v>-0.03</v>
      </c>
      <c r="K2260">
        <v>5.86</v>
      </c>
      <c r="L2260">
        <v>4239.67</v>
      </c>
      <c r="M2260" t="s">
        <v>4511</v>
      </c>
      <c r="N2260" t="s">
        <v>30</v>
      </c>
      <c r="O2260">
        <v>23.76</v>
      </c>
      <c r="P2260">
        <v>24.9</v>
      </c>
      <c r="Q2260">
        <v>23.76</v>
      </c>
      <c r="R2260">
        <v>23.75</v>
      </c>
      <c r="S2260" t="s">
        <v>40</v>
      </c>
      <c r="T2260">
        <v>1.02</v>
      </c>
      <c r="U2260" t="s">
        <v>224</v>
      </c>
    </row>
    <row r="2261" spans="1:21">
      <c r="A2261" t="str">
        <f>"300808"</f>
        <v>300808</v>
      </c>
      <c r="B2261" t="s">
        <v>4512</v>
      </c>
      <c r="C2261">
        <v>0.95</v>
      </c>
      <c r="D2261">
        <v>13.86</v>
      </c>
      <c r="E2261">
        <v>0.13</v>
      </c>
      <c r="F2261">
        <v>13.85</v>
      </c>
      <c r="G2261">
        <v>13.86</v>
      </c>
      <c r="H2261">
        <v>8802</v>
      </c>
      <c r="I2261">
        <v>187</v>
      </c>
      <c r="J2261">
        <v>-0.28</v>
      </c>
      <c r="K2261">
        <v>1.77</v>
      </c>
      <c r="L2261">
        <v>1212.7</v>
      </c>
      <c r="M2261" t="s">
        <v>792</v>
      </c>
      <c r="N2261" t="s">
        <v>60</v>
      </c>
      <c r="O2261">
        <v>13.71</v>
      </c>
      <c r="P2261">
        <v>13.91</v>
      </c>
      <c r="Q2261">
        <v>13.52</v>
      </c>
      <c r="R2261">
        <v>13.73</v>
      </c>
      <c r="S2261">
        <v>85.95</v>
      </c>
      <c r="T2261">
        <v>0.99</v>
      </c>
      <c r="U2261" t="s">
        <v>183</v>
      </c>
    </row>
    <row r="2262" spans="1:21">
      <c r="A2262" t="str">
        <f>"300809"</f>
        <v>300809</v>
      </c>
      <c r="B2262" t="s">
        <v>4513</v>
      </c>
      <c r="C2262">
        <v>-1.06</v>
      </c>
      <c r="D2262">
        <v>58.09</v>
      </c>
      <c r="E2262">
        <v>-0.62</v>
      </c>
      <c r="F2262">
        <v>58.09</v>
      </c>
      <c r="G2262">
        <v>58.1</v>
      </c>
      <c r="H2262">
        <v>90251</v>
      </c>
      <c r="I2262">
        <v>1657</v>
      </c>
      <c r="J2262">
        <v>-0.69</v>
      </c>
      <c r="K2262">
        <v>19.84</v>
      </c>
      <c r="L2262">
        <v>52676.65</v>
      </c>
      <c r="M2262" t="s">
        <v>4514</v>
      </c>
      <c r="N2262" t="s">
        <v>247</v>
      </c>
      <c r="O2262">
        <v>58.31</v>
      </c>
      <c r="P2262">
        <v>60.58</v>
      </c>
      <c r="Q2262">
        <v>55.8</v>
      </c>
      <c r="R2262">
        <v>58.71</v>
      </c>
      <c r="S2262">
        <v>93.26</v>
      </c>
      <c r="T2262">
        <v>0.75</v>
      </c>
      <c r="U2262" t="s">
        <v>102</v>
      </c>
    </row>
    <row r="2263" spans="1:21">
      <c r="A2263" t="str">
        <f>"300810"</f>
        <v>300810</v>
      </c>
      <c r="B2263" t="s">
        <v>4515</v>
      </c>
      <c r="C2263">
        <v>5.1</v>
      </c>
      <c r="D2263">
        <v>26.6</v>
      </c>
      <c r="E2263">
        <v>1.29</v>
      </c>
      <c r="F2263">
        <v>26.6</v>
      </c>
      <c r="G2263">
        <v>26.61</v>
      </c>
      <c r="H2263">
        <v>80213</v>
      </c>
      <c r="I2263">
        <v>1197</v>
      </c>
      <c r="J2263">
        <v>0</v>
      </c>
      <c r="K2263">
        <v>10.27</v>
      </c>
      <c r="L2263">
        <v>21034.26</v>
      </c>
      <c r="M2263" t="s">
        <v>4516</v>
      </c>
      <c r="N2263" t="s">
        <v>3063</v>
      </c>
      <c r="O2263">
        <v>25.39</v>
      </c>
      <c r="P2263">
        <v>26.86</v>
      </c>
      <c r="Q2263">
        <v>25.1</v>
      </c>
      <c r="R2263">
        <v>25.31</v>
      </c>
      <c r="S2263">
        <v>378.78</v>
      </c>
      <c r="T2263">
        <v>1.42</v>
      </c>
      <c r="U2263" t="s">
        <v>44</v>
      </c>
    </row>
    <row r="2264" spans="1:21">
      <c r="A2264" t="str">
        <f>"300811"</f>
        <v>300811</v>
      </c>
      <c r="B2264" t="s">
        <v>4517</v>
      </c>
      <c r="C2264">
        <v>0.49</v>
      </c>
      <c r="D2264">
        <v>103.1</v>
      </c>
      <c r="E2264">
        <v>0.5</v>
      </c>
      <c r="F2264">
        <v>103.1</v>
      </c>
      <c r="G2264">
        <v>103.11</v>
      </c>
      <c r="H2264">
        <v>19853</v>
      </c>
      <c r="I2264">
        <v>106</v>
      </c>
      <c r="J2264">
        <v>-0.09</v>
      </c>
      <c r="K2264">
        <v>3.93</v>
      </c>
      <c r="L2264">
        <v>20737.06</v>
      </c>
      <c r="M2264" t="s">
        <v>4518</v>
      </c>
      <c r="N2264" t="s">
        <v>69</v>
      </c>
      <c r="O2264">
        <v>102.6</v>
      </c>
      <c r="P2264">
        <v>107.32</v>
      </c>
      <c r="Q2264">
        <v>101.2</v>
      </c>
      <c r="R2264">
        <v>102.6</v>
      </c>
      <c r="S2264">
        <v>95.04</v>
      </c>
      <c r="T2264">
        <v>0.97</v>
      </c>
      <c r="U2264" t="s">
        <v>24</v>
      </c>
    </row>
    <row r="2265" spans="1:21">
      <c r="A2265" t="str">
        <f>"300812"</f>
        <v>300812</v>
      </c>
      <c r="B2265" t="s">
        <v>4519</v>
      </c>
      <c r="C2265">
        <v>3.6</v>
      </c>
      <c r="D2265">
        <v>25.07</v>
      </c>
      <c r="E2265">
        <v>0.87</v>
      </c>
      <c r="F2265">
        <v>25.06</v>
      </c>
      <c r="G2265">
        <v>25.07</v>
      </c>
      <c r="H2265">
        <v>44798</v>
      </c>
      <c r="I2265">
        <v>651</v>
      </c>
      <c r="J2265">
        <v>-0.07</v>
      </c>
      <c r="K2265">
        <v>7.4</v>
      </c>
      <c r="L2265">
        <v>11190.2</v>
      </c>
      <c r="M2265" t="s">
        <v>4520</v>
      </c>
      <c r="N2265" t="s">
        <v>324</v>
      </c>
      <c r="O2265">
        <v>24.54</v>
      </c>
      <c r="P2265">
        <v>25.46</v>
      </c>
      <c r="Q2265">
        <v>24.31</v>
      </c>
      <c r="R2265">
        <v>24.2</v>
      </c>
      <c r="S2265">
        <v>41.28</v>
      </c>
      <c r="T2265">
        <v>0.76</v>
      </c>
      <c r="U2265" t="s">
        <v>24</v>
      </c>
    </row>
    <row r="2266" spans="1:21">
      <c r="A2266" t="str">
        <f>"300813"</f>
        <v>300813</v>
      </c>
      <c r="B2266" t="s">
        <v>4521</v>
      </c>
      <c r="C2266">
        <v>2.02</v>
      </c>
      <c r="D2266">
        <v>75.88</v>
      </c>
      <c r="E2266">
        <v>1.5</v>
      </c>
      <c r="F2266">
        <v>75.87</v>
      </c>
      <c r="G2266">
        <v>75.88</v>
      </c>
      <c r="H2266">
        <v>8337</v>
      </c>
      <c r="I2266">
        <v>72</v>
      </c>
      <c r="J2266">
        <v>-0.02</v>
      </c>
      <c r="K2266">
        <v>5.12</v>
      </c>
      <c r="L2266">
        <v>6370.65</v>
      </c>
      <c r="M2266" t="s">
        <v>4522</v>
      </c>
      <c r="N2266" t="s">
        <v>186</v>
      </c>
      <c r="O2266">
        <v>73.14</v>
      </c>
      <c r="P2266">
        <v>77.99</v>
      </c>
      <c r="Q2266">
        <v>73.14</v>
      </c>
      <c r="R2266">
        <v>74.38</v>
      </c>
      <c r="S2266">
        <v>69.8</v>
      </c>
      <c r="T2266">
        <v>0.67</v>
      </c>
      <c r="U2266" t="s">
        <v>200</v>
      </c>
    </row>
    <row r="2267" spans="1:21">
      <c r="A2267" t="str">
        <f>"300814"</f>
        <v>300814</v>
      </c>
      <c r="B2267" t="s">
        <v>4523</v>
      </c>
      <c r="C2267">
        <v>-1.11</v>
      </c>
      <c r="D2267">
        <v>27.67</v>
      </c>
      <c r="E2267">
        <v>-0.31</v>
      </c>
      <c r="F2267">
        <v>27.67</v>
      </c>
      <c r="G2267">
        <v>27.68</v>
      </c>
      <c r="H2267">
        <v>50222</v>
      </c>
      <c r="I2267">
        <v>912</v>
      </c>
      <c r="J2267">
        <v>-0.24</v>
      </c>
      <c r="K2267">
        <v>12.05</v>
      </c>
      <c r="L2267">
        <v>13970.44</v>
      </c>
      <c r="M2267" t="s">
        <v>4524</v>
      </c>
      <c r="N2267" t="s">
        <v>69</v>
      </c>
      <c r="O2267">
        <v>27.97</v>
      </c>
      <c r="P2267">
        <v>28.44</v>
      </c>
      <c r="Q2267">
        <v>27.25</v>
      </c>
      <c r="R2267">
        <v>27.98</v>
      </c>
      <c r="S2267">
        <v>51.19</v>
      </c>
      <c r="T2267">
        <v>0.6</v>
      </c>
      <c r="U2267" t="s">
        <v>24</v>
      </c>
    </row>
    <row r="2268" spans="1:21">
      <c r="A2268" t="str">
        <f>"300815"</f>
        <v>300815</v>
      </c>
      <c r="B2268" t="s">
        <v>4525</v>
      </c>
      <c r="C2268">
        <v>0.79</v>
      </c>
      <c r="D2268">
        <v>30.69</v>
      </c>
      <c r="E2268">
        <v>0.24</v>
      </c>
      <c r="F2268">
        <v>30.69</v>
      </c>
      <c r="G2268">
        <v>30.7</v>
      </c>
      <c r="H2268">
        <v>13241</v>
      </c>
      <c r="I2268">
        <v>116</v>
      </c>
      <c r="J2268">
        <v>-0.02</v>
      </c>
      <c r="K2268">
        <v>1.14</v>
      </c>
      <c r="L2268">
        <v>4050.42</v>
      </c>
      <c r="M2268" t="s">
        <v>4526</v>
      </c>
      <c r="N2268" t="s">
        <v>33</v>
      </c>
      <c r="O2268">
        <v>30.63</v>
      </c>
      <c r="P2268">
        <v>30.82</v>
      </c>
      <c r="Q2268">
        <v>30.19</v>
      </c>
      <c r="R2268">
        <v>30.45</v>
      </c>
      <c r="S2268">
        <v>15.06</v>
      </c>
      <c r="T2268">
        <v>0.64</v>
      </c>
      <c r="U2268" t="s">
        <v>193</v>
      </c>
    </row>
    <row r="2269" spans="1:21">
      <c r="A2269" t="str">
        <f>"300816"</f>
        <v>300816</v>
      </c>
      <c r="B2269" t="s">
        <v>4527</v>
      </c>
      <c r="C2269">
        <v>-1.69</v>
      </c>
      <c r="D2269">
        <v>53.6</v>
      </c>
      <c r="E2269">
        <v>-0.92</v>
      </c>
      <c r="F2269">
        <v>53.59</v>
      </c>
      <c r="G2269">
        <v>53.6</v>
      </c>
      <c r="H2269">
        <v>15256</v>
      </c>
      <c r="I2269">
        <v>177</v>
      </c>
      <c r="J2269">
        <v>0.13</v>
      </c>
      <c r="K2269">
        <v>4.13</v>
      </c>
      <c r="L2269">
        <v>8134.41</v>
      </c>
      <c r="M2269" t="s">
        <v>4528</v>
      </c>
      <c r="N2269" t="s">
        <v>33</v>
      </c>
      <c r="O2269">
        <v>54.52</v>
      </c>
      <c r="P2269">
        <v>55</v>
      </c>
      <c r="Q2269">
        <v>52.62</v>
      </c>
      <c r="R2269">
        <v>54.52</v>
      </c>
      <c r="S2269">
        <v>57.46</v>
      </c>
      <c r="T2269">
        <v>0.71</v>
      </c>
      <c r="U2269" t="s">
        <v>193</v>
      </c>
    </row>
    <row r="2270" spans="1:21">
      <c r="A2270" t="str">
        <f>"300817"</f>
        <v>300817</v>
      </c>
      <c r="B2270" t="s">
        <v>4529</v>
      </c>
      <c r="C2270">
        <v>3.01</v>
      </c>
      <c r="D2270">
        <v>24.27</v>
      </c>
      <c r="E2270">
        <v>0.71</v>
      </c>
      <c r="F2270">
        <v>24.27</v>
      </c>
      <c r="G2270">
        <v>24.28</v>
      </c>
      <c r="H2270">
        <v>24680</v>
      </c>
      <c r="I2270">
        <v>429</v>
      </c>
      <c r="J2270">
        <v>0.04</v>
      </c>
      <c r="K2270">
        <v>5.89</v>
      </c>
      <c r="L2270">
        <v>5942.67</v>
      </c>
      <c r="M2270" t="s">
        <v>4530</v>
      </c>
      <c r="N2270" t="s">
        <v>347</v>
      </c>
      <c r="O2270">
        <v>23.5</v>
      </c>
      <c r="P2270">
        <v>24.3</v>
      </c>
      <c r="Q2270">
        <v>23.2</v>
      </c>
      <c r="R2270">
        <v>23.56</v>
      </c>
      <c r="S2270">
        <v>28.72</v>
      </c>
      <c r="T2270">
        <v>1.21</v>
      </c>
      <c r="U2270" t="s">
        <v>200</v>
      </c>
    </row>
    <row r="2271" spans="1:21">
      <c r="A2271" t="str">
        <f>"300818"</f>
        <v>300818</v>
      </c>
      <c r="B2271" t="s">
        <v>4531</v>
      </c>
      <c r="C2271">
        <v>0.58</v>
      </c>
      <c r="D2271">
        <v>37.91</v>
      </c>
      <c r="E2271">
        <v>0.22</v>
      </c>
      <c r="F2271">
        <v>37.91</v>
      </c>
      <c r="G2271">
        <v>37.92</v>
      </c>
      <c r="H2271">
        <v>24069</v>
      </c>
      <c r="I2271">
        <v>414</v>
      </c>
      <c r="J2271">
        <v>0</v>
      </c>
      <c r="K2271">
        <v>7.65</v>
      </c>
      <c r="L2271">
        <v>9261.79</v>
      </c>
      <c r="M2271" t="s">
        <v>2284</v>
      </c>
      <c r="N2271" t="s">
        <v>324</v>
      </c>
      <c r="O2271">
        <v>38</v>
      </c>
      <c r="P2271">
        <v>39.8</v>
      </c>
      <c r="Q2271">
        <v>37.7</v>
      </c>
      <c r="R2271">
        <v>37.69</v>
      </c>
      <c r="S2271">
        <v>20.88</v>
      </c>
      <c r="T2271">
        <v>1.3</v>
      </c>
      <c r="U2271" t="s">
        <v>235</v>
      </c>
    </row>
    <row r="2272" spans="1:21">
      <c r="A2272" t="str">
        <f>"300819"</f>
        <v>300819</v>
      </c>
      <c r="B2272" t="s">
        <v>4532</v>
      </c>
      <c r="C2272">
        <v>2.87</v>
      </c>
      <c r="D2272">
        <v>26.86</v>
      </c>
      <c r="E2272">
        <v>0.75</v>
      </c>
      <c r="F2272">
        <v>26.85</v>
      </c>
      <c r="G2272">
        <v>26.86</v>
      </c>
      <c r="H2272">
        <v>25007</v>
      </c>
      <c r="I2272">
        <v>490</v>
      </c>
      <c r="J2272">
        <v>0.07</v>
      </c>
      <c r="K2272">
        <v>8.49</v>
      </c>
      <c r="L2272">
        <v>6692.07</v>
      </c>
      <c r="M2272" t="s">
        <v>4533</v>
      </c>
      <c r="N2272" t="s">
        <v>216</v>
      </c>
      <c r="O2272">
        <v>26.14</v>
      </c>
      <c r="P2272">
        <v>27.12</v>
      </c>
      <c r="Q2272">
        <v>26.14</v>
      </c>
      <c r="R2272">
        <v>26.11</v>
      </c>
      <c r="S2272">
        <v>62.6</v>
      </c>
      <c r="T2272">
        <v>1.16</v>
      </c>
      <c r="U2272" t="s">
        <v>102</v>
      </c>
    </row>
    <row r="2273" spans="1:21">
      <c r="A2273" t="str">
        <f>"300820"</f>
        <v>300820</v>
      </c>
      <c r="B2273" t="s">
        <v>4534</v>
      </c>
      <c r="C2273">
        <v>4.14</v>
      </c>
      <c r="D2273">
        <v>94.5</v>
      </c>
      <c r="E2273">
        <v>3.76</v>
      </c>
      <c r="F2273">
        <v>94.49</v>
      </c>
      <c r="G2273">
        <v>94.5</v>
      </c>
      <c r="H2273">
        <v>25417</v>
      </c>
      <c r="I2273">
        <v>284</v>
      </c>
      <c r="J2273">
        <v>-0.2</v>
      </c>
      <c r="K2273">
        <v>8.53</v>
      </c>
      <c r="L2273">
        <v>23921.96</v>
      </c>
      <c r="M2273" t="s">
        <v>4535</v>
      </c>
      <c r="N2273" t="s">
        <v>47</v>
      </c>
      <c r="O2273">
        <v>90.74</v>
      </c>
      <c r="P2273">
        <v>96.46</v>
      </c>
      <c r="Q2273">
        <v>90.5</v>
      </c>
      <c r="R2273">
        <v>90.74</v>
      </c>
      <c r="S2273">
        <v>55.67</v>
      </c>
      <c r="T2273">
        <v>0.65</v>
      </c>
      <c r="U2273" t="s">
        <v>196</v>
      </c>
    </row>
    <row r="2274" spans="1:21">
      <c r="A2274" t="str">
        <f>"300821"</f>
        <v>300821</v>
      </c>
      <c r="B2274" t="s">
        <v>4536</v>
      </c>
      <c r="C2274">
        <v>3.01</v>
      </c>
      <c r="D2274">
        <v>21.58</v>
      </c>
      <c r="E2274">
        <v>0.63</v>
      </c>
      <c r="F2274">
        <v>21.58</v>
      </c>
      <c r="G2274">
        <v>21.59</v>
      </c>
      <c r="H2274">
        <v>363444</v>
      </c>
      <c r="I2274">
        <v>4997</v>
      </c>
      <c r="J2274">
        <v>0.09</v>
      </c>
      <c r="K2274">
        <v>8.72</v>
      </c>
      <c r="L2274">
        <v>77149.37</v>
      </c>
      <c r="M2274" t="s">
        <v>4537</v>
      </c>
      <c r="N2274" t="s">
        <v>309</v>
      </c>
      <c r="O2274">
        <v>20.66</v>
      </c>
      <c r="P2274">
        <v>21.86</v>
      </c>
      <c r="Q2274">
        <v>20.32</v>
      </c>
      <c r="R2274">
        <v>20.95</v>
      </c>
      <c r="S2274">
        <v>24.97</v>
      </c>
      <c r="T2274">
        <v>1.46</v>
      </c>
      <c r="U2274" t="s">
        <v>221</v>
      </c>
    </row>
    <row r="2275" spans="1:21">
      <c r="A2275" t="str">
        <f>"300822"</f>
        <v>300822</v>
      </c>
      <c r="B2275" t="s">
        <v>4538</v>
      </c>
      <c r="C2275">
        <v>1.18</v>
      </c>
      <c r="D2275">
        <v>24.04</v>
      </c>
      <c r="E2275">
        <v>0.28</v>
      </c>
      <c r="F2275">
        <v>24.04</v>
      </c>
      <c r="G2275">
        <v>24.06</v>
      </c>
      <c r="H2275">
        <v>8514</v>
      </c>
      <c r="I2275">
        <v>83</v>
      </c>
      <c r="J2275">
        <v>-0.03</v>
      </c>
      <c r="K2275">
        <v>2.05</v>
      </c>
      <c r="L2275">
        <v>2038.33</v>
      </c>
      <c r="M2275" t="s">
        <v>3019</v>
      </c>
      <c r="N2275" t="s">
        <v>69</v>
      </c>
      <c r="O2275">
        <v>23.86</v>
      </c>
      <c r="P2275">
        <v>24.2</v>
      </c>
      <c r="Q2275">
        <v>23.54</v>
      </c>
      <c r="R2275">
        <v>23.76</v>
      </c>
      <c r="S2275">
        <v>22.92</v>
      </c>
      <c r="T2275">
        <v>0.71</v>
      </c>
      <c r="U2275" t="s">
        <v>24</v>
      </c>
    </row>
    <row r="2276" spans="1:21">
      <c r="A2276" t="str">
        <f>"300823"</f>
        <v>300823</v>
      </c>
      <c r="B2276" t="s">
        <v>4539</v>
      </c>
      <c r="C2276">
        <v>0.82</v>
      </c>
      <c r="D2276">
        <v>24.5</v>
      </c>
      <c r="E2276">
        <v>0.2</v>
      </c>
      <c r="F2276">
        <v>24.5</v>
      </c>
      <c r="G2276">
        <v>24.51</v>
      </c>
      <c r="H2276">
        <v>13988</v>
      </c>
      <c r="I2276">
        <v>988</v>
      </c>
      <c r="J2276">
        <v>0.08</v>
      </c>
      <c r="K2276">
        <v>3.66</v>
      </c>
      <c r="L2276">
        <v>3388.55</v>
      </c>
      <c r="M2276" t="s">
        <v>4540</v>
      </c>
      <c r="N2276" t="s">
        <v>324</v>
      </c>
      <c r="O2276">
        <v>24.44</v>
      </c>
      <c r="P2276">
        <v>24.55</v>
      </c>
      <c r="Q2276">
        <v>23.74</v>
      </c>
      <c r="R2276">
        <v>24.3</v>
      </c>
      <c r="S2276">
        <v>24.21</v>
      </c>
      <c r="T2276">
        <v>1.32</v>
      </c>
      <c r="U2276" t="s">
        <v>360</v>
      </c>
    </row>
    <row r="2277" spans="1:21">
      <c r="A2277" t="str">
        <f>"300824"</f>
        <v>300824</v>
      </c>
      <c r="B2277" t="s">
        <v>4541</v>
      </c>
      <c r="C2277">
        <v>0.16</v>
      </c>
      <c r="D2277">
        <v>19.32</v>
      </c>
      <c r="E2277">
        <v>0.03</v>
      </c>
      <c r="F2277">
        <v>19.31</v>
      </c>
      <c r="G2277">
        <v>19.32</v>
      </c>
      <c r="H2277">
        <v>7285</v>
      </c>
      <c r="I2277">
        <v>61</v>
      </c>
      <c r="J2277">
        <v>0.05</v>
      </c>
      <c r="K2277">
        <v>0.76</v>
      </c>
      <c r="L2277">
        <v>1409.15</v>
      </c>
      <c r="M2277" t="s">
        <v>3323</v>
      </c>
      <c r="N2277" t="s">
        <v>60</v>
      </c>
      <c r="O2277">
        <v>19.3</v>
      </c>
      <c r="P2277">
        <v>19.58</v>
      </c>
      <c r="Q2277">
        <v>19.16</v>
      </c>
      <c r="R2277">
        <v>19.29</v>
      </c>
      <c r="S2277">
        <v>45.84</v>
      </c>
      <c r="T2277">
        <v>0.57</v>
      </c>
      <c r="U2277" t="s">
        <v>24</v>
      </c>
    </row>
    <row r="2278" spans="1:21">
      <c r="A2278" t="str">
        <f>"300825"</f>
        <v>300825</v>
      </c>
      <c r="B2278" t="s">
        <v>4542</v>
      </c>
      <c r="C2278">
        <v>2.26</v>
      </c>
      <c r="D2278">
        <v>31.2</v>
      </c>
      <c r="E2278">
        <v>0.69</v>
      </c>
      <c r="F2278">
        <v>31.19</v>
      </c>
      <c r="G2278">
        <v>31.2</v>
      </c>
      <c r="H2278">
        <v>37409</v>
      </c>
      <c r="I2278">
        <v>627</v>
      </c>
      <c r="J2278">
        <v>0.26</v>
      </c>
      <c r="K2278">
        <v>1.52</v>
      </c>
      <c r="L2278">
        <v>11562.29</v>
      </c>
      <c r="M2278" t="s">
        <v>4543</v>
      </c>
      <c r="N2278" t="s">
        <v>78</v>
      </c>
      <c r="O2278">
        <v>30.6</v>
      </c>
      <c r="P2278">
        <v>31.38</v>
      </c>
      <c r="Q2278">
        <v>30.15</v>
      </c>
      <c r="R2278">
        <v>30.51</v>
      </c>
      <c r="S2278">
        <v>54.77</v>
      </c>
      <c r="T2278">
        <v>0.65</v>
      </c>
      <c r="U2278" t="s">
        <v>44</v>
      </c>
    </row>
    <row r="2279" spans="1:21">
      <c r="A2279" t="str">
        <f>"300826"</f>
        <v>300826</v>
      </c>
      <c r="B2279" t="s">
        <v>4544</v>
      </c>
      <c r="C2279">
        <v>6.3</v>
      </c>
      <c r="D2279">
        <v>21.26</v>
      </c>
      <c r="E2279">
        <v>1.26</v>
      </c>
      <c r="F2279">
        <v>21.25</v>
      </c>
      <c r="G2279">
        <v>21.26</v>
      </c>
      <c r="H2279">
        <v>50500</v>
      </c>
      <c r="I2279">
        <v>1178</v>
      </c>
      <c r="J2279">
        <v>0.14</v>
      </c>
      <c r="K2279">
        <v>9.93</v>
      </c>
      <c r="L2279">
        <v>10569.35</v>
      </c>
      <c r="M2279" t="s">
        <v>4545</v>
      </c>
      <c r="N2279" t="s">
        <v>50</v>
      </c>
      <c r="O2279">
        <v>20.15</v>
      </c>
      <c r="P2279">
        <v>21.26</v>
      </c>
      <c r="Q2279">
        <v>20.15</v>
      </c>
      <c r="R2279">
        <v>20</v>
      </c>
      <c r="S2279">
        <v>42.29</v>
      </c>
      <c r="T2279">
        <v>1.32</v>
      </c>
      <c r="U2279" t="s">
        <v>102</v>
      </c>
    </row>
    <row r="2280" spans="1:21">
      <c r="A2280" t="str">
        <f>"300827"</f>
        <v>300827</v>
      </c>
      <c r="B2280" t="s">
        <v>4546</v>
      </c>
      <c r="C2280">
        <v>1.31</v>
      </c>
      <c r="D2280">
        <v>102.99</v>
      </c>
      <c r="E2280">
        <v>1.33</v>
      </c>
      <c r="F2280">
        <v>102.99</v>
      </c>
      <c r="G2280">
        <v>103</v>
      </c>
      <c r="H2280">
        <v>44672</v>
      </c>
      <c r="I2280">
        <v>652</v>
      </c>
      <c r="J2280">
        <v>0</v>
      </c>
      <c r="K2280">
        <v>8.28</v>
      </c>
      <c r="L2280">
        <v>45814.96</v>
      </c>
      <c r="M2280" t="s">
        <v>4547</v>
      </c>
      <c r="N2280" t="s">
        <v>47</v>
      </c>
      <c r="O2280">
        <v>100.5</v>
      </c>
      <c r="P2280">
        <v>104.49</v>
      </c>
      <c r="Q2280">
        <v>100</v>
      </c>
      <c r="R2280">
        <v>101.66</v>
      </c>
      <c r="S2280">
        <v>228.79</v>
      </c>
      <c r="T2280">
        <v>0.66</v>
      </c>
      <c r="U2280" t="s">
        <v>102</v>
      </c>
    </row>
    <row r="2281" spans="1:21">
      <c r="A2281" t="str">
        <f>"300828"</f>
        <v>300828</v>
      </c>
      <c r="B2281" t="s">
        <v>4548</v>
      </c>
      <c r="C2281">
        <v>8.77</v>
      </c>
      <c r="D2281">
        <v>27.16</v>
      </c>
      <c r="E2281">
        <v>2.19</v>
      </c>
      <c r="F2281">
        <v>27.15</v>
      </c>
      <c r="G2281">
        <v>27.16</v>
      </c>
      <c r="H2281">
        <v>105214</v>
      </c>
      <c r="I2281">
        <v>1128</v>
      </c>
      <c r="J2281">
        <v>-0.03</v>
      </c>
      <c r="K2281">
        <v>18.93</v>
      </c>
      <c r="L2281">
        <v>28493.42</v>
      </c>
      <c r="M2281" t="s">
        <v>4549</v>
      </c>
      <c r="N2281" t="s">
        <v>494</v>
      </c>
      <c r="O2281">
        <v>25.21</v>
      </c>
      <c r="P2281">
        <v>29.2</v>
      </c>
      <c r="Q2281">
        <v>25.01</v>
      </c>
      <c r="R2281">
        <v>24.97</v>
      </c>
      <c r="S2281">
        <v>41.31</v>
      </c>
      <c r="T2281">
        <v>1.58</v>
      </c>
      <c r="U2281" t="s">
        <v>360</v>
      </c>
    </row>
    <row r="2282" spans="1:21">
      <c r="A2282" t="str">
        <f>"300829"</f>
        <v>300829</v>
      </c>
      <c r="B2282" t="s">
        <v>4550</v>
      </c>
      <c r="C2282">
        <v>6.7</v>
      </c>
      <c r="D2282">
        <v>44.94</v>
      </c>
      <c r="E2282">
        <v>2.82</v>
      </c>
      <c r="F2282">
        <v>44.94</v>
      </c>
      <c r="G2282">
        <v>44.95</v>
      </c>
      <c r="H2282">
        <v>58924</v>
      </c>
      <c r="I2282">
        <v>301</v>
      </c>
      <c r="J2282">
        <v>-0.12</v>
      </c>
      <c r="K2282">
        <v>5.93</v>
      </c>
      <c r="L2282">
        <v>26609.67</v>
      </c>
      <c r="M2282" t="s">
        <v>4551</v>
      </c>
      <c r="N2282" t="s">
        <v>299</v>
      </c>
      <c r="O2282">
        <v>42.12</v>
      </c>
      <c r="P2282">
        <v>46.9</v>
      </c>
      <c r="Q2282">
        <v>42.12</v>
      </c>
      <c r="R2282">
        <v>42.12</v>
      </c>
      <c r="S2282">
        <v>54.79</v>
      </c>
      <c r="T2282">
        <v>2.41</v>
      </c>
      <c r="U2282" t="s">
        <v>224</v>
      </c>
    </row>
    <row r="2283" spans="1:21">
      <c r="A2283" t="str">
        <f>"300830"</f>
        <v>300830</v>
      </c>
      <c r="B2283" t="s">
        <v>4552</v>
      </c>
      <c r="C2283">
        <v>-1.14</v>
      </c>
      <c r="D2283">
        <v>12.98</v>
      </c>
      <c r="E2283">
        <v>-0.15</v>
      </c>
      <c r="F2283">
        <v>12.97</v>
      </c>
      <c r="G2283">
        <v>12.98</v>
      </c>
      <c r="H2283">
        <v>166115</v>
      </c>
      <c r="I2283">
        <v>3314</v>
      </c>
      <c r="J2283">
        <v>0.15</v>
      </c>
      <c r="K2283">
        <v>8.61</v>
      </c>
      <c r="L2283">
        <v>21636.41</v>
      </c>
      <c r="M2283" t="s">
        <v>4553</v>
      </c>
      <c r="N2283" t="s">
        <v>30</v>
      </c>
      <c r="O2283">
        <v>13.15</v>
      </c>
      <c r="P2283">
        <v>13.25</v>
      </c>
      <c r="Q2283">
        <v>12.78</v>
      </c>
      <c r="R2283">
        <v>13.13</v>
      </c>
      <c r="S2283">
        <v>227.52</v>
      </c>
      <c r="T2283">
        <v>0.61</v>
      </c>
      <c r="U2283" t="s">
        <v>221</v>
      </c>
    </row>
    <row r="2284" spans="1:21">
      <c r="A2284" t="str">
        <f>"300831"</f>
        <v>300831</v>
      </c>
      <c r="B2284" t="s">
        <v>4554</v>
      </c>
      <c r="C2284">
        <v>0.95</v>
      </c>
      <c r="D2284">
        <v>21.33</v>
      </c>
      <c r="E2284">
        <v>0.2</v>
      </c>
      <c r="F2284">
        <v>21.32</v>
      </c>
      <c r="G2284">
        <v>21.33</v>
      </c>
      <c r="H2284">
        <v>488016</v>
      </c>
      <c r="I2284">
        <v>4275</v>
      </c>
      <c r="J2284">
        <v>0.61</v>
      </c>
      <c r="K2284">
        <v>26.45</v>
      </c>
      <c r="L2284">
        <v>100593.56</v>
      </c>
      <c r="M2284" t="s">
        <v>4555</v>
      </c>
      <c r="N2284" t="s">
        <v>69</v>
      </c>
      <c r="O2284">
        <v>21.47</v>
      </c>
      <c r="P2284">
        <v>22.13</v>
      </c>
      <c r="Q2284">
        <v>19.44</v>
      </c>
      <c r="R2284">
        <v>21.13</v>
      </c>
      <c r="S2284">
        <v>123.44</v>
      </c>
      <c r="T2284">
        <v>2.28</v>
      </c>
      <c r="U2284" t="s">
        <v>317</v>
      </c>
    </row>
    <row r="2285" spans="1:21">
      <c r="A2285" t="str">
        <f>"300832"</f>
        <v>300832</v>
      </c>
      <c r="B2285" t="s">
        <v>4556</v>
      </c>
      <c r="C2285">
        <v>0</v>
      </c>
      <c r="D2285">
        <v>46.68</v>
      </c>
      <c r="E2285">
        <v>0</v>
      </c>
      <c r="F2285">
        <v>46.68</v>
      </c>
      <c r="G2285">
        <v>46.71</v>
      </c>
      <c r="H2285">
        <v>13005</v>
      </c>
      <c r="I2285">
        <v>178</v>
      </c>
      <c r="J2285">
        <v>0.09</v>
      </c>
      <c r="K2285">
        <v>0.48</v>
      </c>
      <c r="L2285">
        <v>6042.02</v>
      </c>
      <c r="M2285" t="s">
        <v>4557</v>
      </c>
      <c r="N2285" t="s">
        <v>186</v>
      </c>
      <c r="O2285">
        <v>46.5</v>
      </c>
      <c r="P2285">
        <v>46.98</v>
      </c>
      <c r="Q2285">
        <v>45.86</v>
      </c>
      <c r="R2285">
        <v>46.68</v>
      </c>
      <c r="S2285">
        <v>41.37</v>
      </c>
      <c r="T2285">
        <v>0.48</v>
      </c>
      <c r="U2285" t="s">
        <v>24</v>
      </c>
    </row>
    <row r="2286" spans="1:21">
      <c r="A2286" t="str">
        <f>"300833"</f>
        <v>300833</v>
      </c>
      <c r="B2286" t="s">
        <v>4558</v>
      </c>
      <c r="C2286">
        <v>2.06</v>
      </c>
      <c r="D2286">
        <v>87.7</v>
      </c>
      <c r="E2286">
        <v>1.77</v>
      </c>
      <c r="F2286">
        <v>87.7</v>
      </c>
      <c r="G2286">
        <v>87.72</v>
      </c>
      <c r="H2286">
        <v>6338</v>
      </c>
      <c r="I2286">
        <v>97</v>
      </c>
      <c r="J2286">
        <v>-0.34</v>
      </c>
      <c r="K2286">
        <v>3.01</v>
      </c>
      <c r="L2286">
        <v>5591.42</v>
      </c>
      <c r="M2286" t="s">
        <v>4559</v>
      </c>
      <c r="N2286" t="s">
        <v>324</v>
      </c>
      <c r="O2286">
        <v>88</v>
      </c>
      <c r="P2286">
        <v>90.88</v>
      </c>
      <c r="Q2286">
        <v>86.28</v>
      </c>
      <c r="R2286">
        <v>85.93</v>
      </c>
      <c r="S2286">
        <v>59.95</v>
      </c>
      <c r="T2286">
        <v>0.94</v>
      </c>
      <c r="U2286" t="s">
        <v>183</v>
      </c>
    </row>
    <row r="2287" spans="1:21">
      <c r="A2287" t="str">
        <f>"300835"</f>
        <v>300835</v>
      </c>
      <c r="B2287" t="s">
        <v>4560</v>
      </c>
      <c r="C2287">
        <v>1.57</v>
      </c>
      <c r="D2287">
        <v>79.11</v>
      </c>
      <c r="E2287">
        <v>1.22</v>
      </c>
      <c r="F2287">
        <v>79.1</v>
      </c>
      <c r="G2287">
        <v>79.11</v>
      </c>
      <c r="H2287">
        <v>49206</v>
      </c>
      <c r="I2287">
        <v>746</v>
      </c>
      <c r="J2287">
        <v>-0.17</v>
      </c>
      <c r="K2287">
        <v>12.21</v>
      </c>
      <c r="L2287">
        <v>38302.22</v>
      </c>
      <c r="M2287" t="s">
        <v>4561</v>
      </c>
      <c r="N2287" t="s">
        <v>69</v>
      </c>
      <c r="O2287">
        <v>77.21</v>
      </c>
      <c r="P2287">
        <v>81.56</v>
      </c>
      <c r="Q2287">
        <v>75.56</v>
      </c>
      <c r="R2287">
        <v>77.89</v>
      </c>
      <c r="S2287">
        <v>40.43</v>
      </c>
      <c r="T2287">
        <v>1.03</v>
      </c>
      <c r="U2287" t="s">
        <v>193</v>
      </c>
    </row>
    <row r="2288" spans="1:21">
      <c r="A2288" t="str">
        <f>"300836"</f>
        <v>300836</v>
      </c>
      <c r="B2288" t="s">
        <v>4562</v>
      </c>
      <c r="C2288">
        <v>0.96</v>
      </c>
      <c r="D2288">
        <v>34.84</v>
      </c>
      <c r="E2288">
        <v>0.33</v>
      </c>
      <c r="F2288">
        <v>34.84</v>
      </c>
      <c r="G2288">
        <v>34.85</v>
      </c>
      <c r="H2288">
        <v>4138</v>
      </c>
      <c r="I2288">
        <v>93</v>
      </c>
      <c r="J2288">
        <v>0.09</v>
      </c>
      <c r="K2288">
        <v>1.3</v>
      </c>
      <c r="L2288">
        <v>1436.83</v>
      </c>
      <c r="M2288" t="s">
        <v>74</v>
      </c>
      <c r="N2288" t="s">
        <v>324</v>
      </c>
      <c r="O2288">
        <v>34.4</v>
      </c>
      <c r="P2288">
        <v>35</v>
      </c>
      <c r="Q2288">
        <v>34.2</v>
      </c>
      <c r="R2288">
        <v>34.51</v>
      </c>
      <c r="S2288">
        <v>119.12</v>
      </c>
      <c r="T2288">
        <v>0.38</v>
      </c>
      <c r="U2288" t="s">
        <v>102</v>
      </c>
    </row>
    <row r="2289" spans="1:21">
      <c r="A2289" t="str">
        <f>"300837"</f>
        <v>300837</v>
      </c>
      <c r="B2289" t="s">
        <v>4563</v>
      </c>
      <c r="C2289">
        <v>1.67</v>
      </c>
      <c r="D2289">
        <v>44.34</v>
      </c>
      <c r="E2289">
        <v>0.73</v>
      </c>
      <c r="F2289">
        <v>44.34</v>
      </c>
      <c r="G2289">
        <v>44.37</v>
      </c>
      <c r="H2289">
        <v>6604</v>
      </c>
      <c r="I2289">
        <v>125</v>
      </c>
      <c r="J2289">
        <v>-0.13</v>
      </c>
      <c r="K2289">
        <v>1.99</v>
      </c>
      <c r="L2289">
        <v>2890.21</v>
      </c>
      <c r="M2289" t="s">
        <v>4564</v>
      </c>
      <c r="N2289" t="s">
        <v>324</v>
      </c>
      <c r="O2289">
        <v>43.45</v>
      </c>
      <c r="P2289">
        <v>44.63</v>
      </c>
      <c r="Q2289">
        <v>43.06</v>
      </c>
      <c r="R2289">
        <v>43.61</v>
      </c>
      <c r="S2289">
        <v>28.27</v>
      </c>
      <c r="T2289">
        <v>1.53</v>
      </c>
      <c r="U2289" t="s">
        <v>200</v>
      </c>
    </row>
    <row r="2290" spans="1:21">
      <c r="A2290" t="str">
        <f>"300838"</f>
        <v>300838</v>
      </c>
      <c r="B2290" t="s">
        <v>4565</v>
      </c>
      <c r="C2290">
        <v>1.62</v>
      </c>
      <c r="D2290">
        <v>17.56</v>
      </c>
      <c r="E2290">
        <v>0.28</v>
      </c>
      <c r="F2290">
        <v>17.56</v>
      </c>
      <c r="G2290">
        <v>17.58</v>
      </c>
      <c r="H2290">
        <v>14929</v>
      </c>
      <c r="I2290">
        <v>226</v>
      </c>
      <c r="J2290">
        <v>-0.16</v>
      </c>
      <c r="K2290">
        <v>2.83</v>
      </c>
      <c r="L2290">
        <v>2612.88</v>
      </c>
      <c r="M2290" t="s">
        <v>4566</v>
      </c>
      <c r="N2290" t="s">
        <v>1028</v>
      </c>
      <c r="O2290">
        <v>17.45</v>
      </c>
      <c r="P2290">
        <v>17.75</v>
      </c>
      <c r="Q2290">
        <v>17.19</v>
      </c>
      <c r="R2290">
        <v>17.28</v>
      </c>
      <c r="S2290">
        <v>26.44</v>
      </c>
      <c r="T2290">
        <v>1</v>
      </c>
      <c r="U2290" t="s">
        <v>200</v>
      </c>
    </row>
    <row r="2291" spans="1:21">
      <c r="A2291" t="str">
        <f>"300839"</f>
        <v>300839</v>
      </c>
      <c r="B2291" t="s">
        <v>4567</v>
      </c>
      <c r="C2291">
        <v>-2.48</v>
      </c>
      <c r="D2291">
        <v>20.47</v>
      </c>
      <c r="E2291">
        <v>-0.52</v>
      </c>
      <c r="F2291">
        <v>20.47</v>
      </c>
      <c r="G2291">
        <v>20.48</v>
      </c>
      <c r="H2291">
        <v>21878</v>
      </c>
      <c r="I2291">
        <v>377</v>
      </c>
      <c r="J2291">
        <v>-0.09</v>
      </c>
      <c r="K2291">
        <v>3.63</v>
      </c>
      <c r="L2291">
        <v>4497.7</v>
      </c>
      <c r="M2291" t="s">
        <v>4568</v>
      </c>
      <c r="N2291" t="s">
        <v>140</v>
      </c>
      <c r="O2291">
        <v>21.01</v>
      </c>
      <c r="P2291">
        <v>21.15</v>
      </c>
      <c r="Q2291">
        <v>20.37</v>
      </c>
      <c r="R2291">
        <v>20.99</v>
      </c>
      <c r="S2291">
        <v>433.28</v>
      </c>
      <c r="T2291">
        <v>0.75</v>
      </c>
      <c r="U2291" t="s">
        <v>200</v>
      </c>
    </row>
    <row r="2292" spans="1:21">
      <c r="A2292" t="str">
        <f>"300840"</f>
        <v>300840</v>
      </c>
      <c r="B2292" t="s">
        <v>4569</v>
      </c>
      <c r="C2292">
        <v>1.12</v>
      </c>
      <c r="D2292">
        <v>11.71</v>
      </c>
      <c r="E2292">
        <v>0.13</v>
      </c>
      <c r="F2292">
        <v>11.7</v>
      </c>
      <c r="G2292">
        <v>11.71</v>
      </c>
      <c r="H2292">
        <v>10962</v>
      </c>
      <c r="I2292">
        <v>239</v>
      </c>
      <c r="J2292">
        <v>0.09</v>
      </c>
      <c r="K2292">
        <v>0.71</v>
      </c>
      <c r="L2292">
        <v>1278.82</v>
      </c>
      <c r="M2292" t="s">
        <v>4570</v>
      </c>
      <c r="N2292" t="s">
        <v>1061</v>
      </c>
      <c r="O2292">
        <v>11.58</v>
      </c>
      <c r="P2292">
        <v>11.73</v>
      </c>
      <c r="Q2292">
        <v>11.57</v>
      </c>
      <c r="R2292">
        <v>11.58</v>
      </c>
      <c r="S2292">
        <v>50.58</v>
      </c>
      <c r="T2292">
        <v>0.38</v>
      </c>
      <c r="U2292" t="s">
        <v>221</v>
      </c>
    </row>
    <row r="2293" spans="1:21">
      <c r="A2293" t="str">
        <f>"300841"</f>
        <v>300841</v>
      </c>
      <c r="B2293" t="s">
        <v>4571</v>
      </c>
      <c r="C2293">
        <v>1.18</v>
      </c>
      <c r="D2293">
        <v>165.95</v>
      </c>
      <c r="E2293">
        <v>1.93</v>
      </c>
      <c r="F2293">
        <v>165.95</v>
      </c>
      <c r="G2293">
        <v>165.97</v>
      </c>
      <c r="H2293">
        <v>4776</v>
      </c>
      <c r="I2293">
        <v>32</v>
      </c>
      <c r="J2293">
        <v>0.02</v>
      </c>
      <c r="K2293">
        <v>0.76</v>
      </c>
      <c r="L2293">
        <v>7932.17</v>
      </c>
      <c r="M2293" t="s">
        <v>4572</v>
      </c>
      <c r="N2293" t="s">
        <v>231</v>
      </c>
      <c r="O2293">
        <v>165.2</v>
      </c>
      <c r="P2293">
        <v>167.44</v>
      </c>
      <c r="Q2293">
        <v>164.55</v>
      </c>
      <c r="R2293">
        <v>164.02</v>
      </c>
      <c r="S2293">
        <v>19.2</v>
      </c>
      <c r="T2293">
        <v>0.69</v>
      </c>
      <c r="U2293" t="s">
        <v>196</v>
      </c>
    </row>
    <row r="2294" spans="1:21">
      <c r="A2294" t="str">
        <f>"300842"</f>
        <v>300842</v>
      </c>
      <c r="B2294" t="s">
        <v>4573</v>
      </c>
      <c r="C2294">
        <v>12.37</v>
      </c>
      <c r="D2294">
        <v>84.55</v>
      </c>
      <c r="E2294">
        <v>9.31</v>
      </c>
      <c r="F2294">
        <v>84.53</v>
      </c>
      <c r="G2294">
        <v>84.55</v>
      </c>
      <c r="H2294">
        <v>82013</v>
      </c>
      <c r="I2294">
        <v>624</v>
      </c>
      <c r="J2294">
        <v>0.25</v>
      </c>
      <c r="K2294">
        <v>11.8</v>
      </c>
      <c r="L2294">
        <v>66474.24</v>
      </c>
      <c r="M2294" t="s">
        <v>4574</v>
      </c>
      <c r="N2294" t="s">
        <v>1246</v>
      </c>
      <c r="O2294">
        <v>74.8</v>
      </c>
      <c r="P2294">
        <v>86.99</v>
      </c>
      <c r="Q2294">
        <v>74.58</v>
      </c>
      <c r="R2294">
        <v>75.24</v>
      </c>
      <c r="S2294">
        <v>68.9</v>
      </c>
      <c r="T2294">
        <v>2.82</v>
      </c>
      <c r="U2294" t="s">
        <v>102</v>
      </c>
    </row>
    <row r="2295" spans="1:21">
      <c r="A2295" t="str">
        <f>"300843"</f>
        <v>300843</v>
      </c>
      <c r="B2295" t="s">
        <v>4575</v>
      </c>
      <c r="C2295">
        <v>0.96</v>
      </c>
      <c r="D2295">
        <v>28.36</v>
      </c>
      <c r="E2295">
        <v>0.27</v>
      </c>
      <c r="F2295">
        <v>28.36</v>
      </c>
      <c r="G2295">
        <v>28.37</v>
      </c>
      <c r="H2295">
        <v>29063</v>
      </c>
      <c r="I2295">
        <v>255</v>
      </c>
      <c r="J2295">
        <v>0.07</v>
      </c>
      <c r="K2295">
        <v>5.49</v>
      </c>
      <c r="L2295">
        <v>8350.26</v>
      </c>
      <c r="M2295" t="s">
        <v>4325</v>
      </c>
      <c r="N2295" t="s">
        <v>69</v>
      </c>
      <c r="O2295">
        <v>28.44</v>
      </c>
      <c r="P2295">
        <v>29.3</v>
      </c>
      <c r="Q2295">
        <v>28.22</v>
      </c>
      <c r="R2295">
        <v>28.09</v>
      </c>
      <c r="S2295">
        <v>44.24</v>
      </c>
      <c r="T2295">
        <v>0.55</v>
      </c>
      <c r="U2295" t="s">
        <v>183</v>
      </c>
    </row>
    <row r="2296" spans="1:21">
      <c r="A2296" t="str">
        <f>"300844"</f>
        <v>300844</v>
      </c>
      <c r="B2296" t="s">
        <v>4576</v>
      </c>
      <c r="C2296">
        <v>1.79</v>
      </c>
      <c r="D2296">
        <v>64.13</v>
      </c>
      <c r="E2296">
        <v>1.13</v>
      </c>
      <c r="F2296">
        <v>64.13</v>
      </c>
      <c r="G2296">
        <v>64.15</v>
      </c>
      <c r="H2296">
        <v>4495</v>
      </c>
      <c r="I2296">
        <v>116</v>
      </c>
      <c r="J2296">
        <v>0.02</v>
      </c>
      <c r="K2296">
        <v>4.45</v>
      </c>
      <c r="L2296">
        <v>2875.05</v>
      </c>
      <c r="M2296" t="s">
        <v>4577</v>
      </c>
      <c r="N2296" t="s">
        <v>50</v>
      </c>
      <c r="O2296">
        <v>63.26</v>
      </c>
      <c r="P2296">
        <v>64.58</v>
      </c>
      <c r="Q2296">
        <v>63.26</v>
      </c>
      <c r="R2296">
        <v>63</v>
      </c>
      <c r="S2296">
        <v>38.92</v>
      </c>
      <c r="T2296">
        <v>0.41</v>
      </c>
      <c r="U2296" t="s">
        <v>183</v>
      </c>
    </row>
    <row r="2297" spans="1:21">
      <c r="A2297" t="str">
        <f>"300845"</f>
        <v>300845</v>
      </c>
      <c r="B2297" t="s">
        <v>4578</v>
      </c>
      <c r="C2297">
        <v>0.14</v>
      </c>
      <c r="D2297">
        <v>21.12</v>
      </c>
      <c r="E2297">
        <v>0.03</v>
      </c>
      <c r="F2297">
        <v>21.11</v>
      </c>
      <c r="G2297">
        <v>21.12</v>
      </c>
      <c r="H2297">
        <v>19191</v>
      </c>
      <c r="I2297">
        <v>232</v>
      </c>
      <c r="J2297">
        <v>0.48</v>
      </c>
      <c r="K2297">
        <v>3.03</v>
      </c>
      <c r="L2297">
        <v>4061.32</v>
      </c>
      <c r="M2297" t="s">
        <v>4579</v>
      </c>
      <c r="N2297" t="s">
        <v>30</v>
      </c>
      <c r="O2297">
        <v>21.65</v>
      </c>
      <c r="P2297">
        <v>21.77</v>
      </c>
      <c r="Q2297">
        <v>20.71</v>
      </c>
      <c r="R2297">
        <v>21.09</v>
      </c>
      <c r="S2297">
        <v>128.12</v>
      </c>
      <c r="T2297">
        <v>0.57</v>
      </c>
      <c r="U2297" t="s">
        <v>224</v>
      </c>
    </row>
    <row r="2298" spans="1:21">
      <c r="A2298" t="str">
        <f>"300846"</f>
        <v>300846</v>
      </c>
      <c r="B2298" t="s">
        <v>4580</v>
      </c>
      <c r="C2298">
        <v>-0.15</v>
      </c>
      <c r="D2298">
        <v>13.58</v>
      </c>
      <c r="E2298">
        <v>-0.02</v>
      </c>
      <c r="F2298">
        <v>13.58</v>
      </c>
      <c r="G2298">
        <v>13.59</v>
      </c>
      <c r="H2298">
        <v>154125</v>
      </c>
      <c r="I2298">
        <v>1556</v>
      </c>
      <c r="J2298">
        <v>-0.14</v>
      </c>
      <c r="K2298">
        <v>5.81</v>
      </c>
      <c r="L2298">
        <v>21034.26</v>
      </c>
      <c r="M2298" t="s">
        <v>4581</v>
      </c>
      <c r="N2298" t="s">
        <v>30</v>
      </c>
      <c r="O2298">
        <v>13.4</v>
      </c>
      <c r="P2298">
        <v>14.02</v>
      </c>
      <c r="Q2298">
        <v>13.32</v>
      </c>
      <c r="R2298">
        <v>13.6</v>
      </c>
      <c r="S2298">
        <v>242.66</v>
      </c>
      <c r="T2298">
        <v>0.55</v>
      </c>
      <c r="U2298" t="s">
        <v>44</v>
      </c>
    </row>
    <row r="2299" spans="1:21">
      <c r="A2299" t="str">
        <f>"300847"</f>
        <v>300847</v>
      </c>
      <c r="B2299" t="s">
        <v>4582</v>
      </c>
      <c r="C2299">
        <v>-1.5</v>
      </c>
      <c r="D2299">
        <v>15.08</v>
      </c>
      <c r="E2299">
        <v>-0.23</v>
      </c>
      <c r="F2299">
        <v>15.08</v>
      </c>
      <c r="G2299">
        <v>15.09</v>
      </c>
      <c r="H2299">
        <v>41494</v>
      </c>
      <c r="I2299">
        <v>668</v>
      </c>
      <c r="J2299">
        <v>0</v>
      </c>
      <c r="K2299">
        <v>2.75</v>
      </c>
      <c r="L2299">
        <v>6232.42</v>
      </c>
      <c r="M2299" t="s">
        <v>4583</v>
      </c>
      <c r="N2299" t="s">
        <v>309</v>
      </c>
      <c r="O2299">
        <v>15.23</v>
      </c>
      <c r="P2299">
        <v>15.28</v>
      </c>
      <c r="Q2299">
        <v>14.86</v>
      </c>
      <c r="R2299">
        <v>15.31</v>
      </c>
      <c r="S2299">
        <v>46.03</v>
      </c>
      <c r="T2299">
        <v>0.88</v>
      </c>
      <c r="U2299" t="s">
        <v>207</v>
      </c>
    </row>
    <row r="2300" spans="1:21">
      <c r="A2300" t="str">
        <f>"300848"</f>
        <v>300848</v>
      </c>
      <c r="B2300" t="s">
        <v>4584</v>
      </c>
      <c r="C2300">
        <v>-0.18</v>
      </c>
      <c r="D2300">
        <v>33.08</v>
      </c>
      <c r="E2300">
        <v>-0.06</v>
      </c>
      <c r="F2300">
        <v>33.08</v>
      </c>
      <c r="G2300">
        <v>33.09</v>
      </c>
      <c r="H2300">
        <v>31708</v>
      </c>
      <c r="I2300">
        <v>802</v>
      </c>
      <c r="J2300">
        <v>-0.05</v>
      </c>
      <c r="K2300">
        <v>7.58</v>
      </c>
      <c r="L2300">
        <v>10502.07</v>
      </c>
      <c r="M2300" t="s">
        <v>812</v>
      </c>
      <c r="N2300" t="s">
        <v>309</v>
      </c>
      <c r="O2300">
        <v>33.01</v>
      </c>
      <c r="P2300">
        <v>33.58</v>
      </c>
      <c r="Q2300">
        <v>32.55</v>
      </c>
      <c r="R2300">
        <v>33.14</v>
      </c>
      <c r="S2300">
        <v>43.48</v>
      </c>
      <c r="T2300">
        <v>0.56</v>
      </c>
      <c r="U2300" t="s">
        <v>221</v>
      </c>
    </row>
    <row r="2301" spans="1:21">
      <c r="A2301" t="str">
        <f>"300849"</f>
        <v>300849</v>
      </c>
      <c r="B2301" t="s">
        <v>4585</v>
      </c>
      <c r="C2301">
        <v>0.96</v>
      </c>
      <c r="D2301">
        <v>12.62</v>
      </c>
      <c r="E2301">
        <v>0.12</v>
      </c>
      <c r="F2301">
        <v>12.62</v>
      </c>
      <c r="G2301">
        <v>12.63</v>
      </c>
      <c r="H2301">
        <v>9131</v>
      </c>
      <c r="I2301">
        <v>335</v>
      </c>
      <c r="J2301">
        <v>0.16</v>
      </c>
      <c r="K2301">
        <v>1.05</v>
      </c>
      <c r="L2301">
        <v>1144</v>
      </c>
      <c r="M2301" t="s">
        <v>4586</v>
      </c>
      <c r="N2301" t="s">
        <v>839</v>
      </c>
      <c r="O2301">
        <v>12.4</v>
      </c>
      <c r="P2301">
        <v>12.65</v>
      </c>
      <c r="Q2301">
        <v>12.37</v>
      </c>
      <c r="R2301">
        <v>12.5</v>
      </c>
      <c r="S2301">
        <v>93.51</v>
      </c>
      <c r="T2301">
        <v>0.7</v>
      </c>
      <c r="U2301" t="s">
        <v>200</v>
      </c>
    </row>
    <row r="2302" spans="1:21">
      <c r="A2302" t="str">
        <f>"300850"</f>
        <v>300850</v>
      </c>
      <c r="B2302" t="s">
        <v>4587</v>
      </c>
      <c r="C2302">
        <v>-0.05</v>
      </c>
      <c r="D2302">
        <v>220.39</v>
      </c>
      <c r="E2302">
        <v>-0.11</v>
      </c>
      <c r="F2302">
        <v>220.35</v>
      </c>
      <c r="G2302">
        <v>220.39</v>
      </c>
      <c r="H2302">
        <v>21829</v>
      </c>
      <c r="I2302">
        <v>133</v>
      </c>
      <c r="J2302">
        <v>-0.04</v>
      </c>
      <c r="K2302">
        <v>2.11</v>
      </c>
      <c r="L2302">
        <v>47875.26</v>
      </c>
      <c r="M2302" t="s">
        <v>4588</v>
      </c>
      <c r="N2302" t="s">
        <v>347</v>
      </c>
      <c r="O2302">
        <v>221.27</v>
      </c>
      <c r="P2302">
        <v>223</v>
      </c>
      <c r="Q2302">
        <v>216</v>
      </c>
      <c r="R2302">
        <v>220.5</v>
      </c>
      <c r="S2302">
        <v>80.16</v>
      </c>
      <c r="T2302">
        <v>0.67</v>
      </c>
      <c r="U2302" t="s">
        <v>224</v>
      </c>
    </row>
    <row r="2303" spans="1:21">
      <c r="A2303" t="str">
        <f>"300851"</f>
        <v>300851</v>
      </c>
      <c r="B2303" t="s">
        <v>4589</v>
      </c>
      <c r="C2303">
        <v>0.31</v>
      </c>
      <c r="D2303">
        <v>29.02</v>
      </c>
      <c r="E2303">
        <v>0.09</v>
      </c>
      <c r="F2303">
        <v>29.01</v>
      </c>
      <c r="G2303">
        <v>29.03</v>
      </c>
      <c r="H2303">
        <v>2282</v>
      </c>
      <c r="I2303">
        <v>51</v>
      </c>
      <c r="J2303">
        <v>0.17</v>
      </c>
      <c r="K2303">
        <v>0.56</v>
      </c>
      <c r="L2303">
        <v>660.36</v>
      </c>
      <c r="M2303" t="s">
        <v>4590</v>
      </c>
      <c r="N2303" t="s">
        <v>43</v>
      </c>
      <c r="O2303">
        <v>28.81</v>
      </c>
      <c r="P2303">
        <v>29.04</v>
      </c>
      <c r="Q2303">
        <v>28.81</v>
      </c>
      <c r="R2303">
        <v>28.93</v>
      </c>
      <c r="S2303">
        <v>78.9</v>
      </c>
      <c r="T2303">
        <v>0.95</v>
      </c>
      <c r="U2303" t="s">
        <v>44</v>
      </c>
    </row>
    <row r="2304" spans="1:21">
      <c r="A2304" t="str">
        <f>"300852"</f>
        <v>300852</v>
      </c>
      <c r="B2304" t="s">
        <v>4591</v>
      </c>
      <c r="C2304">
        <v>0.79</v>
      </c>
      <c r="D2304">
        <v>56.45</v>
      </c>
      <c r="E2304">
        <v>0.44</v>
      </c>
      <c r="F2304">
        <v>56.45</v>
      </c>
      <c r="G2304">
        <v>56.47</v>
      </c>
      <c r="H2304">
        <v>20889</v>
      </c>
      <c r="I2304">
        <v>313</v>
      </c>
      <c r="J2304">
        <v>0.14</v>
      </c>
      <c r="K2304">
        <v>5.87</v>
      </c>
      <c r="L2304">
        <v>11896.13</v>
      </c>
      <c r="M2304" t="s">
        <v>4592</v>
      </c>
      <c r="N2304" t="s">
        <v>69</v>
      </c>
      <c r="O2304">
        <v>56.5</v>
      </c>
      <c r="P2304">
        <v>57.69</v>
      </c>
      <c r="Q2304">
        <v>56.06</v>
      </c>
      <c r="R2304">
        <v>56.01</v>
      </c>
      <c r="S2304">
        <v>30.6</v>
      </c>
      <c r="T2304">
        <v>0.5</v>
      </c>
      <c r="U2304" t="s">
        <v>183</v>
      </c>
    </row>
    <row r="2305" spans="1:21">
      <c r="A2305" t="str">
        <f>"300853"</f>
        <v>300853</v>
      </c>
      <c r="B2305" t="s">
        <v>4593</v>
      </c>
      <c r="C2305">
        <v>-1.38</v>
      </c>
      <c r="D2305">
        <v>42.14</v>
      </c>
      <c r="E2305">
        <v>-0.59</v>
      </c>
      <c r="F2305">
        <v>42.13</v>
      </c>
      <c r="G2305">
        <v>42.14</v>
      </c>
      <c r="H2305">
        <v>53799</v>
      </c>
      <c r="I2305">
        <v>436</v>
      </c>
      <c r="J2305">
        <v>0.45</v>
      </c>
      <c r="K2305">
        <v>5.8</v>
      </c>
      <c r="L2305">
        <v>22948.68</v>
      </c>
      <c r="M2305" t="s">
        <v>4594</v>
      </c>
      <c r="N2305" t="s">
        <v>1028</v>
      </c>
      <c r="O2305">
        <v>43.5</v>
      </c>
      <c r="P2305">
        <v>43.88</v>
      </c>
      <c r="Q2305">
        <v>41.41</v>
      </c>
      <c r="R2305">
        <v>42.73</v>
      </c>
      <c r="S2305">
        <v>134.12</v>
      </c>
      <c r="T2305">
        <v>1.04</v>
      </c>
      <c r="U2305" t="s">
        <v>200</v>
      </c>
    </row>
    <row r="2306" spans="1:21">
      <c r="A2306" t="str">
        <f>"300854"</f>
        <v>300854</v>
      </c>
      <c r="B2306" t="s">
        <v>4595</v>
      </c>
      <c r="C2306">
        <v>-2.87</v>
      </c>
      <c r="D2306">
        <v>32.54</v>
      </c>
      <c r="E2306">
        <v>-0.96</v>
      </c>
      <c r="F2306">
        <v>32.54</v>
      </c>
      <c r="G2306">
        <v>32.55</v>
      </c>
      <c r="H2306">
        <v>36233</v>
      </c>
      <c r="I2306">
        <v>790</v>
      </c>
      <c r="J2306">
        <v>0.09</v>
      </c>
      <c r="K2306">
        <v>15.41</v>
      </c>
      <c r="L2306">
        <v>11809.12</v>
      </c>
      <c r="M2306" t="s">
        <v>4596</v>
      </c>
      <c r="N2306" t="s">
        <v>33</v>
      </c>
      <c r="O2306">
        <v>33</v>
      </c>
      <c r="P2306">
        <v>33.04</v>
      </c>
      <c r="Q2306">
        <v>32.22</v>
      </c>
      <c r="R2306">
        <v>33.5</v>
      </c>
      <c r="S2306">
        <v>32.13</v>
      </c>
      <c r="T2306">
        <v>0.61</v>
      </c>
      <c r="U2306" t="s">
        <v>24</v>
      </c>
    </row>
    <row r="2307" spans="1:21">
      <c r="A2307" t="str">
        <f>"300855"</f>
        <v>300855</v>
      </c>
      <c r="B2307" t="s">
        <v>4597</v>
      </c>
      <c r="C2307">
        <v>0.96</v>
      </c>
      <c r="D2307">
        <v>63.16</v>
      </c>
      <c r="E2307">
        <v>0.6</v>
      </c>
      <c r="F2307">
        <v>63.16</v>
      </c>
      <c r="G2307">
        <v>63.17</v>
      </c>
      <c r="H2307">
        <v>29056</v>
      </c>
      <c r="I2307">
        <v>102</v>
      </c>
      <c r="J2307">
        <v>0.29</v>
      </c>
      <c r="K2307">
        <v>2.63</v>
      </c>
      <c r="L2307">
        <v>18417.95</v>
      </c>
      <c r="M2307" t="s">
        <v>4598</v>
      </c>
      <c r="N2307" t="s">
        <v>724</v>
      </c>
      <c r="O2307">
        <v>61.69</v>
      </c>
      <c r="P2307">
        <v>64.72</v>
      </c>
      <c r="Q2307">
        <v>61.69</v>
      </c>
      <c r="R2307">
        <v>62.56</v>
      </c>
      <c r="S2307">
        <v>72.06</v>
      </c>
      <c r="T2307">
        <v>1.02</v>
      </c>
      <c r="U2307" t="s">
        <v>102</v>
      </c>
    </row>
    <row r="2308" spans="1:21">
      <c r="A2308" t="str">
        <f>"300856"</f>
        <v>300856</v>
      </c>
      <c r="B2308" t="s">
        <v>4599</v>
      </c>
      <c r="C2308">
        <v>0.19</v>
      </c>
      <c r="D2308">
        <v>53.5</v>
      </c>
      <c r="E2308">
        <v>0.1</v>
      </c>
      <c r="F2308">
        <v>53.5</v>
      </c>
      <c r="G2308">
        <v>53.51</v>
      </c>
      <c r="H2308">
        <v>14688</v>
      </c>
      <c r="I2308">
        <v>247</v>
      </c>
      <c r="J2308">
        <v>0.09</v>
      </c>
      <c r="K2308">
        <v>3.78</v>
      </c>
      <c r="L2308">
        <v>7814.15</v>
      </c>
      <c r="M2308" t="s">
        <v>4192</v>
      </c>
      <c r="N2308" t="s">
        <v>309</v>
      </c>
      <c r="O2308">
        <v>53.1</v>
      </c>
      <c r="P2308">
        <v>54.68</v>
      </c>
      <c r="Q2308">
        <v>52.35</v>
      </c>
      <c r="R2308">
        <v>53.4</v>
      </c>
      <c r="S2308">
        <v>40.53</v>
      </c>
      <c r="T2308">
        <v>0.87</v>
      </c>
      <c r="U2308" t="s">
        <v>102</v>
      </c>
    </row>
    <row r="2309" spans="1:21">
      <c r="A2309" t="str">
        <f>"300857"</f>
        <v>300857</v>
      </c>
      <c r="B2309" t="s">
        <v>4600</v>
      </c>
      <c r="C2309">
        <v>3.03</v>
      </c>
      <c r="D2309">
        <v>26.9</v>
      </c>
      <c r="E2309">
        <v>0.79</v>
      </c>
      <c r="F2309">
        <v>26.89</v>
      </c>
      <c r="G2309">
        <v>26.9</v>
      </c>
      <c r="H2309">
        <v>16207</v>
      </c>
      <c r="I2309">
        <v>271</v>
      </c>
      <c r="J2309">
        <v>0</v>
      </c>
      <c r="K2309">
        <v>1.14</v>
      </c>
      <c r="L2309">
        <v>4344.29</v>
      </c>
      <c r="M2309" t="s">
        <v>4601</v>
      </c>
      <c r="N2309" t="s">
        <v>72</v>
      </c>
      <c r="O2309">
        <v>26.17</v>
      </c>
      <c r="P2309">
        <v>27.08</v>
      </c>
      <c r="Q2309">
        <v>26.16</v>
      </c>
      <c r="R2309">
        <v>26.11</v>
      </c>
      <c r="S2309">
        <v>40.18</v>
      </c>
      <c r="T2309">
        <v>0.79</v>
      </c>
      <c r="U2309" t="s">
        <v>24</v>
      </c>
    </row>
    <row r="2310" spans="1:21">
      <c r="A2310" t="str">
        <f>"300858"</f>
        <v>300858</v>
      </c>
      <c r="B2310" t="s">
        <v>4602</v>
      </c>
      <c r="C2310">
        <v>11.08</v>
      </c>
      <c r="D2310">
        <v>30.99</v>
      </c>
      <c r="E2310">
        <v>3.09</v>
      </c>
      <c r="F2310">
        <v>30.99</v>
      </c>
      <c r="G2310">
        <v>31</v>
      </c>
      <c r="H2310">
        <v>40971</v>
      </c>
      <c r="I2310">
        <v>375</v>
      </c>
      <c r="J2310">
        <v>0.42</v>
      </c>
      <c r="K2310">
        <v>7.72</v>
      </c>
      <c r="L2310">
        <v>12194.6</v>
      </c>
      <c r="M2310" t="s">
        <v>4603</v>
      </c>
      <c r="N2310" t="s">
        <v>299</v>
      </c>
      <c r="O2310">
        <v>27.77</v>
      </c>
      <c r="P2310">
        <v>31.31</v>
      </c>
      <c r="Q2310">
        <v>27.77</v>
      </c>
      <c r="R2310">
        <v>27.9</v>
      </c>
      <c r="S2310">
        <v>40.7</v>
      </c>
      <c r="T2310">
        <v>2.75</v>
      </c>
      <c r="U2310" t="s">
        <v>44</v>
      </c>
    </row>
    <row r="2311" spans="1:21">
      <c r="A2311" t="str">
        <f>"300859"</f>
        <v>300859</v>
      </c>
      <c r="B2311" t="s">
        <v>4604</v>
      </c>
      <c r="C2311">
        <v>0.1</v>
      </c>
      <c r="D2311">
        <v>20.11</v>
      </c>
      <c r="E2311">
        <v>0.02</v>
      </c>
      <c r="F2311">
        <v>20.11</v>
      </c>
      <c r="G2311">
        <v>20.14</v>
      </c>
      <c r="H2311">
        <v>19255</v>
      </c>
      <c r="I2311">
        <v>332</v>
      </c>
      <c r="J2311">
        <v>-0.04</v>
      </c>
      <c r="K2311">
        <v>2.01</v>
      </c>
      <c r="L2311">
        <v>3841.17</v>
      </c>
      <c r="M2311" t="s">
        <v>2630</v>
      </c>
      <c r="N2311" t="s">
        <v>489</v>
      </c>
      <c r="O2311">
        <v>20.09</v>
      </c>
      <c r="P2311">
        <v>20.38</v>
      </c>
      <c r="Q2311">
        <v>19.64</v>
      </c>
      <c r="R2311">
        <v>20.09</v>
      </c>
      <c r="S2311">
        <v>48.03</v>
      </c>
      <c r="T2311">
        <v>0.84</v>
      </c>
      <c r="U2311" t="s">
        <v>210</v>
      </c>
    </row>
    <row r="2312" spans="1:21">
      <c r="A2312" t="str">
        <f>"300860"</f>
        <v>300860</v>
      </c>
      <c r="B2312" t="s">
        <v>4605</v>
      </c>
      <c r="C2312">
        <v>-0.79</v>
      </c>
      <c r="D2312">
        <v>48.85</v>
      </c>
      <c r="E2312">
        <v>-0.39</v>
      </c>
      <c r="F2312">
        <v>48.85</v>
      </c>
      <c r="G2312">
        <v>48.89</v>
      </c>
      <c r="H2312">
        <v>16602</v>
      </c>
      <c r="I2312">
        <v>262</v>
      </c>
      <c r="J2312">
        <v>-0.15</v>
      </c>
      <c r="K2312">
        <v>3.96</v>
      </c>
      <c r="L2312">
        <v>8179.2</v>
      </c>
      <c r="M2312" t="s">
        <v>4606</v>
      </c>
      <c r="N2312" t="s">
        <v>63</v>
      </c>
      <c r="O2312">
        <v>49.51</v>
      </c>
      <c r="P2312">
        <v>50.35</v>
      </c>
      <c r="Q2312">
        <v>48.5</v>
      </c>
      <c r="R2312">
        <v>49.24</v>
      </c>
      <c r="S2312">
        <v>50.52</v>
      </c>
      <c r="T2312">
        <v>0.51</v>
      </c>
      <c r="U2312" t="s">
        <v>44</v>
      </c>
    </row>
    <row r="2313" spans="1:21">
      <c r="A2313" t="str">
        <f>"300861"</f>
        <v>300861</v>
      </c>
      <c r="B2313" t="s">
        <v>4607</v>
      </c>
      <c r="C2313">
        <v>0.13</v>
      </c>
      <c r="D2313">
        <v>81.61</v>
      </c>
      <c r="E2313">
        <v>0.11</v>
      </c>
      <c r="F2313">
        <v>81.55</v>
      </c>
      <c r="G2313">
        <v>81.62</v>
      </c>
      <c r="H2313">
        <v>15169</v>
      </c>
      <c r="I2313">
        <v>154</v>
      </c>
      <c r="J2313">
        <v>0.05</v>
      </c>
      <c r="K2313">
        <v>0.86</v>
      </c>
      <c r="L2313">
        <v>12295.29</v>
      </c>
      <c r="M2313" t="s">
        <v>4608</v>
      </c>
      <c r="N2313" t="s">
        <v>750</v>
      </c>
      <c r="O2313">
        <v>81.2</v>
      </c>
      <c r="P2313">
        <v>82.66</v>
      </c>
      <c r="Q2313">
        <v>79.52</v>
      </c>
      <c r="R2313">
        <v>81.5</v>
      </c>
      <c r="S2313">
        <v>44.42</v>
      </c>
      <c r="T2313">
        <v>0.77</v>
      </c>
      <c r="U2313" t="s">
        <v>317</v>
      </c>
    </row>
    <row r="2314" spans="1:21">
      <c r="A2314" t="str">
        <f>"300862"</f>
        <v>300862</v>
      </c>
      <c r="B2314" t="s">
        <v>4609</v>
      </c>
      <c r="C2314">
        <v>1.87</v>
      </c>
      <c r="D2314">
        <v>34.35</v>
      </c>
      <c r="E2314">
        <v>0.63</v>
      </c>
      <c r="F2314">
        <v>34.35</v>
      </c>
      <c r="G2314">
        <v>34.36</v>
      </c>
      <c r="H2314">
        <v>20072</v>
      </c>
      <c r="I2314">
        <v>223</v>
      </c>
      <c r="J2314">
        <v>-0.05</v>
      </c>
      <c r="K2314">
        <v>2.34</v>
      </c>
      <c r="L2314">
        <v>6901.47</v>
      </c>
      <c r="M2314" t="s">
        <v>2017</v>
      </c>
      <c r="N2314" t="s">
        <v>1028</v>
      </c>
      <c r="O2314">
        <v>33.69</v>
      </c>
      <c r="P2314">
        <v>34.89</v>
      </c>
      <c r="Q2314">
        <v>33.57</v>
      </c>
      <c r="R2314">
        <v>33.72</v>
      </c>
      <c r="S2314">
        <v>47.17</v>
      </c>
      <c r="T2314">
        <v>0.57</v>
      </c>
      <c r="U2314" t="s">
        <v>193</v>
      </c>
    </row>
    <row r="2315" spans="1:21">
      <c r="A2315" t="str">
        <f>"300863"</f>
        <v>300863</v>
      </c>
      <c r="B2315" t="s">
        <v>4610</v>
      </c>
      <c r="C2315">
        <v>1.08</v>
      </c>
      <c r="D2315">
        <v>100.08</v>
      </c>
      <c r="E2315">
        <v>1.07</v>
      </c>
      <c r="F2315">
        <v>100.08</v>
      </c>
      <c r="G2315">
        <v>100.1</v>
      </c>
      <c r="H2315">
        <v>32150</v>
      </c>
      <c r="I2315">
        <v>681</v>
      </c>
      <c r="J2315">
        <v>0.6</v>
      </c>
      <c r="K2315">
        <v>17.17</v>
      </c>
      <c r="L2315">
        <v>31837.27</v>
      </c>
      <c r="M2315" t="s">
        <v>4611</v>
      </c>
      <c r="N2315" t="s">
        <v>91</v>
      </c>
      <c r="O2315">
        <v>99.01</v>
      </c>
      <c r="P2315">
        <v>102</v>
      </c>
      <c r="Q2315">
        <v>96</v>
      </c>
      <c r="R2315">
        <v>99.01</v>
      </c>
      <c r="S2315">
        <v>57.55</v>
      </c>
      <c r="T2315">
        <v>0.58</v>
      </c>
      <c r="U2315" t="s">
        <v>200</v>
      </c>
    </row>
    <row r="2316" spans="1:21">
      <c r="A2316" t="str">
        <f>"300864"</f>
        <v>300864</v>
      </c>
      <c r="B2316" t="s">
        <v>4612</v>
      </c>
      <c r="C2316">
        <v>0.21</v>
      </c>
      <c r="D2316">
        <v>46.8</v>
      </c>
      <c r="E2316">
        <v>0.1</v>
      </c>
      <c r="F2316">
        <v>46.8</v>
      </c>
      <c r="G2316">
        <v>46.81</v>
      </c>
      <c r="H2316">
        <v>6122</v>
      </c>
      <c r="I2316">
        <v>151</v>
      </c>
      <c r="J2316">
        <v>0.02</v>
      </c>
      <c r="K2316">
        <v>2.68</v>
      </c>
      <c r="L2316">
        <v>2849.75</v>
      </c>
      <c r="M2316" t="s">
        <v>4613</v>
      </c>
      <c r="N2316" t="s">
        <v>33</v>
      </c>
      <c r="O2316">
        <v>46.66</v>
      </c>
      <c r="P2316">
        <v>46.97</v>
      </c>
      <c r="Q2316">
        <v>46.1</v>
      </c>
      <c r="R2316">
        <v>46.7</v>
      </c>
      <c r="S2316">
        <v>46.14</v>
      </c>
      <c r="T2316">
        <v>0.53</v>
      </c>
      <c r="U2316" t="s">
        <v>102</v>
      </c>
    </row>
    <row r="2317" spans="1:21">
      <c r="A2317" t="str">
        <f>"300865"</f>
        <v>300865</v>
      </c>
      <c r="B2317" t="s">
        <v>4614</v>
      </c>
      <c r="C2317">
        <v>1.07</v>
      </c>
      <c r="D2317">
        <v>26.33</v>
      </c>
      <c r="E2317">
        <v>0.28</v>
      </c>
      <c r="F2317">
        <v>26.33</v>
      </c>
      <c r="G2317">
        <v>26.35</v>
      </c>
      <c r="H2317">
        <v>6378</v>
      </c>
      <c r="I2317">
        <v>63</v>
      </c>
      <c r="J2317">
        <v>-0.14</v>
      </c>
      <c r="K2317">
        <v>2.26</v>
      </c>
      <c r="L2317">
        <v>1681.14</v>
      </c>
      <c r="M2317" t="s">
        <v>1862</v>
      </c>
      <c r="N2317" t="s">
        <v>324</v>
      </c>
      <c r="O2317">
        <v>26.49</v>
      </c>
      <c r="P2317">
        <v>26.58</v>
      </c>
      <c r="Q2317">
        <v>26.06</v>
      </c>
      <c r="R2317">
        <v>26.05</v>
      </c>
      <c r="S2317">
        <v>39.64</v>
      </c>
      <c r="T2317">
        <v>1.02</v>
      </c>
      <c r="U2317" t="s">
        <v>196</v>
      </c>
    </row>
    <row r="2318" spans="1:21">
      <c r="A2318" t="str">
        <f>"300866"</f>
        <v>300866</v>
      </c>
      <c r="B2318" t="s">
        <v>4615</v>
      </c>
      <c r="C2318">
        <v>9.81</v>
      </c>
      <c r="D2318">
        <v>100.83</v>
      </c>
      <c r="E2318">
        <v>9.01</v>
      </c>
      <c r="F2318">
        <v>100.83</v>
      </c>
      <c r="G2318">
        <v>100.84</v>
      </c>
      <c r="H2318">
        <v>48449</v>
      </c>
      <c r="I2318">
        <v>192</v>
      </c>
      <c r="J2318">
        <v>0.02</v>
      </c>
      <c r="K2318">
        <v>3.21</v>
      </c>
      <c r="L2318">
        <v>47350.2</v>
      </c>
      <c r="M2318" t="s">
        <v>4616</v>
      </c>
      <c r="N2318" t="s">
        <v>69</v>
      </c>
      <c r="O2318">
        <v>91.5</v>
      </c>
      <c r="P2318">
        <v>104.04</v>
      </c>
      <c r="Q2318">
        <v>91.05</v>
      </c>
      <c r="R2318">
        <v>91.82</v>
      </c>
      <c r="S2318">
        <v>47.61</v>
      </c>
      <c r="T2318">
        <v>2.29</v>
      </c>
      <c r="U2318" t="s">
        <v>204</v>
      </c>
    </row>
    <row r="2319" spans="1:21">
      <c r="A2319" t="str">
        <f>"300867"</f>
        <v>300867</v>
      </c>
      <c r="B2319" t="s">
        <v>4617</v>
      </c>
      <c r="C2319">
        <v>-0.6</v>
      </c>
      <c r="D2319">
        <v>28</v>
      </c>
      <c r="E2319">
        <v>-0.17</v>
      </c>
      <c r="F2319">
        <v>27.99</v>
      </c>
      <c r="G2319">
        <v>28</v>
      </c>
      <c r="H2319">
        <v>31398</v>
      </c>
      <c r="I2319">
        <v>521</v>
      </c>
      <c r="J2319">
        <v>0</v>
      </c>
      <c r="K2319">
        <v>2.03</v>
      </c>
      <c r="L2319">
        <v>8751.24</v>
      </c>
      <c r="M2319" t="s">
        <v>4618</v>
      </c>
      <c r="N2319" t="s">
        <v>33</v>
      </c>
      <c r="O2319">
        <v>28.04</v>
      </c>
      <c r="P2319">
        <v>28.11</v>
      </c>
      <c r="Q2319">
        <v>27.65</v>
      </c>
      <c r="R2319">
        <v>28.17</v>
      </c>
      <c r="S2319">
        <v>13.19</v>
      </c>
      <c r="T2319">
        <v>0.82</v>
      </c>
      <c r="U2319" t="s">
        <v>339</v>
      </c>
    </row>
    <row r="2320" spans="1:21">
      <c r="A2320" t="str">
        <f>"300868"</f>
        <v>300868</v>
      </c>
      <c r="B2320" t="s">
        <v>4619</v>
      </c>
      <c r="C2320">
        <v>1.48</v>
      </c>
      <c r="D2320">
        <v>25.37</v>
      </c>
      <c r="E2320">
        <v>0.37</v>
      </c>
      <c r="F2320">
        <v>25.37</v>
      </c>
      <c r="G2320">
        <v>25.38</v>
      </c>
      <c r="H2320">
        <v>11026</v>
      </c>
      <c r="I2320">
        <v>97</v>
      </c>
      <c r="J2320">
        <v>-0.03</v>
      </c>
      <c r="K2320">
        <v>2.2</v>
      </c>
      <c r="L2320">
        <v>2785.17</v>
      </c>
      <c r="M2320" t="s">
        <v>4620</v>
      </c>
      <c r="N2320" t="s">
        <v>153</v>
      </c>
      <c r="O2320">
        <v>25.01</v>
      </c>
      <c r="P2320">
        <v>25.42</v>
      </c>
      <c r="Q2320">
        <v>25</v>
      </c>
      <c r="R2320">
        <v>25</v>
      </c>
      <c r="S2320">
        <v>71.4</v>
      </c>
      <c r="T2320">
        <v>1.12</v>
      </c>
      <c r="U2320" t="s">
        <v>24</v>
      </c>
    </row>
    <row r="2321" spans="1:21">
      <c r="A2321" t="str">
        <f>"300869"</f>
        <v>300869</v>
      </c>
      <c r="B2321" t="s">
        <v>4621</v>
      </c>
      <c r="C2321">
        <v>0.98</v>
      </c>
      <c r="D2321">
        <v>35.17</v>
      </c>
      <c r="E2321">
        <v>0.34</v>
      </c>
      <c r="F2321">
        <v>35.16</v>
      </c>
      <c r="G2321">
        <v>35.17</v>
      </c>
      <c r="H2321">
        <v>40045</v>
      </c>
      <c r="I2321">
        <v>622</v>
      </c>
      <c r="J2321">
        <v>0.03</v>
      </c>
      <c r="K2321">
        <v>1.87</v>
      </c>
      <c r="L2321">
        <v>14080.48</v>
      </c>
      <c r="M2321" t="s">
        <v>4622</v>
      </c>
      <c r="N2321" t="s">
        <v>186</v>
      </c>
      <c r="O2321">
        <v>34.93</v>
      </c>
      <c r="P2321">
        <v>35.44</v>
      </c>
      <c r="Q2321">
        <v>34.92</v>
      </c>
      <c r="R2321">
        <v>34.83</v>
      </c>
      <c r="S2321">
        <v>36.79</v>
      </c>
      <c r="T2321">
        <v>0.49</v>
      </c>
      <c r="U2321" t="s">
        <v>207</v>
      </c>
    </row>
    <row r="2322" spans="1:21">
      <c r="A2322" t="str">
        <f>"300870"</f>
        <v>300870</v>
      </c>
      <c r="B2322" t="s">
        <v>4623</v>
      </c>
      <c r="C2322">
        <v>0.38</v>
      </c>
      <c r="D2322">
        <v>84.5</v>
      </c>
      <c r="E2322">
        <v>0.32</v>
      </c>
      <c r="F2322">
        <v>84.5</v>
      </c>
      <c r="G2322">
        <v>84.55</v>
      </c>
      <c r="H2322">
        <v>9630</v>
      </c>
      <c r="I2322">
        <v>102</v>
      </c>
      <c r="J2322">
        <v>0.66</v>
      </c>
      <c r="K2322">
        <v>2.46</v>
      </c>
      <c r="L2322">
        <v>8230.62</v>
      </c>
      <c r="M2322" t="s">
        <v>4624</v>
      </c>
      <c r="N2322" t="s">
        <v>69</v>
      </c>
      <c r="O2322">
        <v>84.18</v>
      </c>
      <c r="P2322">
        <v>89.28</v>
      </c>
      <c r="Q2322">
        <v>83.52</v>
      </c>
      <c r="R2322">
        <v>84.18</v>
      </c>
      <c r="S2322">
        <v>61.34</v>
      </c>
      <c r="T2322">
        <v>0.87</v>
      </c>
      <c r="U2322" t="s">
        <v>24</v>
      </c>
    </row>
    <row r="2323" spans="1:21">
      <c r="A2323" t="str">
        <f>"300871"</f>
        <v>300871</v>
      </c>
      <c r="B2323" t="s">
        <v>4625</v>
      </c>
      <c r="C2323">
        <v>0.04</v>
      </c>
      <c r="D2323">
        <v>27.76</v>
      </c>
      <c r="E2323">
        <v>0.01</v>
      </c>
      <c r="F2323">
        <v>27.76</v>
      </c>
      <c r="G2323">
        <v>27.77</v>
      </c>
      <c r="H2323">
        <v>9576</v>
      </c>
      <c r="I2323">
        <v>179</v>
      </c>
      <c r="J2323">
        <v>0.07</v>
      </c>
      <c r="K2323">
        <v>1.22</v>
      </c>
      <c r="L2323">
        <v>2642.82</v>
      </c>
      <c r="M2323" t="s">
        <v>2164</v>
      </c>
      <c r="N2323" t="s">
        <v>147</v>
      </c>
      <c r="O2323">
        <v>27.58</v>
      </c>
      <c r="P2323">
        <v>27.94</v>
      </c>
      <c r="Q2323">
        <v>27.29</v>
      </c>
      <c r="R2323">
        <v>27.75</v>
      </c>
      <c r="S2323">
        <v>28.91</v>
      </c>
      <c r="T2323">
        <v>0.71</v>
      </c>
      <c r="U2323" t="s">
        <v>267</v>
      </c>
    </row>
    <row r="2324" spans="1:21">
      <c r="A2324" t="str">
        <f>"300872"</f>
        <v>300872</v>
      </c>
      <c r="B2324" t="s">
        <v>4626</v>
      </c>
      <c r="C2324">
        <v>1.04</v>
      </c>
      <c r="D2324">
        <v>31.19</v>
      </c>
      <c r="E2324">
        <v>0.32</v>
      </c>
      <c r="F2324">
        <v>31.19</v>
      </c>
      <c r="G2324">
        <v>31.2</v>
      </c>
      <c r="H2324">
        <v>19957</v>
      </c>
      <c r="I2324">
        <v>211</v>
      </c>
      <c r="J2324">
        <v>-0.02</v>
      </c>
      <c r="K2324">
        <v>1.4</v>
      </c>
      <c r="L2324">
        <v>6206.59</v>
      </c>
      <c r="M2324" t="s">
        <v>4627</v>
      </c>
      <c r="N2324" t="s">
        <v>30</v>
      </c>
      <c r="O2324">
        <v>30.88</v>
      </c>
      <c r="P2324">
        <v>31.31</v>
      </c>
      <c r="Q2324">
        <v>30.7</v>
      </c>
      <c r="R2324">
        <v>30.87</v>
      </c>
      <c r="S2324">
        <v>43.71</v>
      </c>
      <c r="T2324">
        <v>0.76</v>
      </c>
      <c r="U2324" t="s">
        <v>694</v>
      </c>
    </row>
    <row r="2325" spans="1:21">
      <c r="A2325" t="str">
        <f>"300873"</f>
        <v>300873</v>
      </c>
      <c r="B2325" t="s">
        <v>4628</v>
      </c>
      <c r="C2325">
        <v>2.4</v>
      </c>
      <c r="D2325">
        <v>53.76</v>
      </c>
      <c r="E2325">
        <v>1.26</v>
      </c>
      <c r="F2325">
        <v>53.76</v>
      </c>
      <c r="G2325">
        <v>53.79</v>
      </c>
      <c r="H2325">
        <v>23779</v>
      </c>
      <c r="I2325">
        <v>227</v>
      </c>
      <c r="J2325">
        <v>-0.05</v>
      </c>
      <c r="K2325">
        <v>3.54</v>
      </c>
      <c r="L2325">
        <v>12765.69</v>
      </c>
      <c r="M2325" t="s">
        <v>4629</v>
      </c>
      <c r="N2325" t="s">
        <v>1049</v>
      </c>
      <c r="O2325">
        <v>52.45</v>
      </c>
      <c r="P2325">
        <v>54.53</v>
      </c>
      <c r="Q2325">
        <v>52.15</v>
      </c>
      <c r="R2325">
        <v>52.5</v>
      </c>
      <c r="S2325">
        <v>21.82</v>
      </c>
      <c r="T2325">
        <v>1.27</v>
      </c>
      <c r="U2325" t="s">
        <v>102</v>
      </c>
    </row>
    <row r="2326" spans="1:21">
      <c r="A2326" t="str">
        <f>"300875"</f>
        <v>300875</v>
      </c>
      <c r="B2326" t="s">
        <v>4630</v>
      </c>
      <c r="C2326">
        <v>1.05</v>
      </c>
      <c r="D2326">
        <v>66.39</v>
      </c>
      <c r="E2326">
        <v>0.69</v>
      </c>
      <c r="F2326">
        <v>66.38</v>
      </c>
      <c r="G2326">
        <v>66.39</v>
      </c>
      <c r="H2326">
        <v>8012</v>
      </c>
      <c r="I2326">
        <v>69</v>
      </c>
      <c r="J2326">
        <v>0.14</v>
      </c>
      <c r="K2326">
        <v>2.33</v>
      </c>
      <c r="L2326">
        <v>5271.54</v>
      </c>
      <c r="M2326" t="s">
        <v>4631</v>
      </c>
      <c r="N2326" t="s">
        <v>324</v>
      </c>
      <c r="O2326">
        <v>65.1</v>
      </c>
      <c r="P2326">
        <v>66.5</v>
      </c>
      <c r="Q2326">
        <v>64.51</v>
      </c>
      <c r="R2326">
        <v>65.7</v>
      </c>
      <c r="S2326">
        <v>114.38</v>
      </c>
      <c r="T2326">
        <v>0.86</v>
      </c>
      <c r="U2326" t="s">
        <v>360</v>
      </c>
    </row>
    <row r="2327" spans="1:21">
      <c r="A2327" t="str">
        <f>"300876"</f>
        <v>300876</v>
      </c>
      <c r="B2327" t="s">
        <v>4632</v>
      </c>
      <c r="C2327">
        <v>4.76</v>
      </c>
      <c r="D2327">
        <v>30.8</v>
      </c>
      <c r="E2327">
        <v>1.4</v>
      </c>
      <c r="F2327">
        <v>30.79</v>
      </c>
      <c r="G2327">
        <v>30.8</v>
      </c>
      <c r="H2327">
        <v>13695</v>
      </c>
      <c r="I2327">
        <v>188</v>
      </c>
      <c r="J2327">
        <v>-0.05</v>
      </c>
      <c r="K2327">
        <v>4.84</v>
      </c>
      <c r="L2327">
        <v>4173.41</v>
      </c>
      <c r="M2327" t="s">
        <v>4633</v>
      </c>
      <c r="N2327" t="s">
        <v>216</v>
      </c>
      <c r="O2327">
        <v>29.53</v>
      </c>
      <c r="P2327">
        <v>31</v>
      </c>
      <c r="Q2327">
        <v>29.35</v>
      </c>
      <c r="R2327">
        <v>29.4</v>
      </c>
      <c r="S2327">
        <v>38.95</v>
      </c>
      <c r="T2327">
        <v>1.54</v>
      </c>
      <c r="U2327" t="s">
        <v>183</v>
      </c>
    </row>
    <row r="2328" spans="1:21">
      <c r="A2328" t="str">
        <f>"300877"</f>
        <v>300877</v>
      </c>
      <c r="B2328" t="s">
        <v>4634</v>
      </c>
      <c r="C2328">
        <v>5.4</v>
      </c>
      <c r="D2328">
        <v>25.77</v>
      </c>
      <c r="E2328">
        <v>1.32</v>
      </c>
      <c r="F2328">
        <v>25.76</v>
      </c>
      <c r="G2328">
        <v>25.77</v>
      </c>
      <c r="H2328">
        <v>27848</v>
      </c>
      <c r="I2328">
        <v>464</v>
      </c>
      <c r="J2328">
        <v>-0.03</v>
      </c>
      <c r="K2328">
        <v>5.51</v>
      </c>
      <c r="L2328">
        <v>7087.22</v>
      </c>
      <c r="M2328" t="s">
        <v>4635</v>
      </c>
      <c r="N2328" t="s">
        <v>664</v>
      </c>
      <c r="O2328">
        <v>24.5</v>
      </c>
      <c r="P2328">
        <v>26</v>
      </c>
      <c r="Q2328">
        <v>24.41</v>
      </c>
      <c r="R2328">
        <v>24.45</v>
      </c>
      <c r="S2328">
        <v>29.46</v>
      </c>
      <c r="T2328">
        <v>2.52</v>
      </c>
      <c r="U2328" t="s">
        <v>193</v>
      </c>
    </row>
    <row r="2329" spans="1:21">
      <c r="A2329" t="str">
        <f>"300878"</f>
        <v>300878</v>
      </c>
      <c r="B2329" t="s">
        <v>4636</v>
      </c>
      <c r="C2329">
        <v>0.46</v>
      </c>
      <c r="D2329">
        <v>41.72</v>
      </c>
      <c r="E2329">
        <v>0.19</v>
      </c>
      <c r="F2329">
        <v>41.7</v>
      </c>
      <c r="G2329">
        <v>41.72</v>
      </c>
      <c r="H2329">
        <v>2832</v>
      </c>
      <c r="I2329">
        <v>16</v>
      </c>
      <c r="J2329">
        <v>-0.01</v>
      </c>
      <c r="K2329">
        <v>1.25</v>
      </c>
      <c r="L2329">
        <v>1178.48</v>
      </c>
      <c r="M2329" t="s">
        <v>4637</v>
      </c>
      <c r="N2329" t="s">
        <v>270</v>
      </c>
      <c r="O2329">
        <v>41.18</v>
      </c>
      <c r="P2329">
        <v>41.93</v>
      </c>
      <c r="Q2329">
        <v>41.18</v>
      </c>
      <c r="R2329">
        <v>41.53</v>
      </c>
      <c r="S2329">
        <v>27.15</v>
      </c>
      <c r="T2329">
        <v>0.54</v>
      </c>
      <c r="U2329" t="s">
        <v>200</v>
      </c>
    </row>
    <row r="2330" spans="1:21">
      <c r="A2330" t="str">
        <f>"300879"</f>
        <v>300879</v>
      </c>
      <c r="B2330" t="s">
        <v>4638</v>
      </c>
      <c r="C2330">
        <v>1.61</v>
      </c>
      <c r="D2330">
        <v>19.55</v>
      </c>
      <c r="E2330">
        <v>0.31</v>
      </c>
      <c r="F2330">
        <v>19.55</v>
      </c>
      <c r="G2330">
        <v>19.59</v>
      </c>
      <c r="H2330">
        <v>12484</v>
      </c>
      <c r="I2330">
        <v>306</v>
      </c>
      <c r="J2330">
        <v>-0.25</v>
      </c>
      <c r="K2330">
        <v>2.27</v>
      </c>
      <c r="L2330">
        <v>2438.86</v>
      </c>
      <c r="M2330" t="s">
        <v>2362</v>
      </c>
      <c r="N2330" t="s">
        <v>786</v>
      </c>
      <c r="O2330">
        <v>19.43</v>
      </c>
      <c r="P2330">
        <v>19.67</v>
      </c>
      <c r="Q2330">
        <v>19.29</v>
      </c>
      <c r="R2330">
        <v>19.24</v>
      </c>
      <c r="S2330">
        <v>32.52</v>
      </c>
      <c r="T2330">
        <v>0.51</v>
      </c>
      <c r="U2330" t="s">
        <v>200</v>
      </c>
    </row>
    <row r="2331" spans="1:21">
      <c r="A2331" t="str">
        <f>"300880"</f>
        <v>300880</v>
      </c>
      <c r="B2331" t="s">
        <v>4639</v>
      </c>
      <c r="C2331">
        <v>-0.04</v>
      </c>
      <c r="D2331">
        <v>26.65</v>
      </c>
      <c r="E2331">
        <v>-0.01</v>
      </c>
      <c r="F2331">
        <v>26.63</v>
      </c>
      <c r="G2331">
        <v>26.65</v>
      </c>
      <c r="H2331">
        <v>42522</v>
      </c>
      <c r="I2331">
        <v>557</v>
      </c>
      <c r="J2331">
        <v>0.45</v>
      </c>
      <c r="K2331">
        <v>6.07</v>
      </c>
      <c r="L2331">
        <v>11388.05</v>
      </c>
      <c r="M2331" t="s">
        <v>4640</v>
      </c>
      <c r="N2331" t="s">
        <v>1028</v>
      </c>
      <c r="O2331">
        <v>26.65</v>
      </c>
      <c r="P2331">
        <v>27.38</v>
      </c>
      <c r="Q2331">
        <v>26.2</v>
      </c>
      <c r="R2331">
        <v>26.66</v>
      </c>
      <c r="S2331">
        <v>38.65</v>
      </c>
      <c r="T2331">
        <v>0.88</v>
      </c>
      <c r="U2331" t="s">
        <v>200</v>
      </c>
    </row>
    <row r="2332" spans="1:21">
      <c r="A2332" t="str">
        <f>"300881"</f>
        <v>300881</v>
      </c>
      <c r="B2332" t="s">
        <v>4641</v>
      </c>
      <c r="C2332">
        <v>1.9</v>
      </c>
      <c r="D2332">
        <v>27.42</v>
      </c>
      <c r="E2332">
        <v>0.51</v>
      </c>
      <c r="F2332">
        <v>27.42</v>
      </c>
      <c r="G2332">
        <v>27.43</v>
      </c>
      <c r="H2332">
        <v>17514</v>
      </c>
      <c r="I2332">
        <v>293</v>
      </c>
      <c r="J2332">
        <v>0.07</v>
      </c>
      <c r="K2332">
        <v>7.01</v>
      </c>
      <c r="L2332">
        <v>4762.77</v>
      </c>
      <c r="M2332" t="s">
        <v>3504</v>
      </c>
      <c r="N2332" t="s">
        <v>724</v>
      </c>
      <c r="O2332">
        <v>27.2</v>
      </c>
      <c r="P2332">
        <v>27.88</v>
      </c>
      <c r="Q2332">
        <v>26.58</v>
      </c>
      <c r="R2332">
        <v>26.91</v>
      </c>
      <c r="S2332">
        <v>63.87</v>
      </c>
      <c r="T2332">
        <v>1.14</v>
      </c>
      <c r="U2332" t="s">
        <v>102</v>
      </c>
    </row>
    <row r="2333" spans="1:21">
      <c r="A2333" t="str">
        <f>"300882"</f>
        <v>300882</v>
      </c>
      <c r="B2333" t="s">
        <v>4642</v>
      </c>
      <c r="C2333">
        <v>0.6</v>
      </c>
      <c r="D2333">
        <v>21.68</v>
      </c>
      <c r="E2333">
        <v>0.13</v>
      </c>
      <c r="F2333">
        <v>21.68</v>
      </c>
      <c r="G2333">
        <v>21.69</v>
      </c>
      <c r="H2333">
        <v>65286</v>
      </c>
      <c r="I2333">
        <v>1556</v>
      </c>
      <c r="J2333">
        <v>0.09</v>
      </c>
      <c r="K2333">
        <v>11.33</v>
      </c>
      <c r="L2333">
        <v>14057.86</v>
      </c>
      <c r="M2333" t="s">
        <v>4643</v>
      </c>
      <c r="N2333" t="s">
        <v>1028</v>
      </c>
      <c r="O2333">
        <v>21.55</v>
      </c>
      <c r="P2333">
        <v>21.85</v>
      </c>
      <c r="Q2333">
        <v>21.21</v>
      </c>
      <c r="R2333">
        <v>21.55</v>
      </c>
      <c r="S2333">
        <v>63.12</v>
      </c>
      <c r="T2333">
        <v>0.6</v>
      </c>
      <c r="U2333" t="s">
        <v>200</v>
      </c>
    </row>
    <row r="2334" spans="1:21">
      <c r="A2334" t="str">
        <f>"300883"</f>
        <v>300883</v>
      </c>
      <c r="B2334" t="s">
        <v>4644</v>
      </c>
      <c r="C2334">
        <v>0.72</v>
      </c>
      <c r="D2334">
        <v>8.43</v>
      </c>
      <c r="E2334">
        <v>0.06</v>
      </c>
      <c r="F2334">
        <v>8.43</v>
      </c>
      <c r="G2334">
        <v>8.44</v>
      </c>
      <c r="H2334">
        <v>36275</v>
      </c>
      <c r="I2334">
        <v>503</v>
      </c>
      <c r="J2334">
        <v>0.12</v>
      </c>
      <c r="K2334">
        <v>1.52</v>
      </c>
      <c r="L2334">
        <v>3044.67</v>
      </c>
      <c r="M2334" t="s">
        <v>4645</v>
      </c>
      <c r="N2334" t="s">
        <v>285</v>
      </c>
      <c r="O2334">
        <v>8.37</v>
      </c>
      <c r="P2334">
        <v>8.47</v>
      </c>
      <c r="Q2334">
        <v>8.29</v>
      </c>
      <c r="R2334">
        <v>8.37</v>
      </c>
      <c r="S2334">
        <v>56.41</v>
      </c>
      <c r="T2334">
        <v>0.65</v>
      </c>
      <c r="U2334" t="s">
        <v>193</v>
      </c>
    </row>
    <row r="2335" spans="1:21">
      <c r="A2335" t="str">
        <f>"300884"</f>
        <v>300884</v>
      </c>
      <c r="B2335" t="s">
        <v>4646</v>
      </c>
      <c r="C2335">
        <v>3.85</v>
      </c>
      <c r="D2335">
        <v>18.87</v>
      </c>
      <c r="E2335">
        <v>0.7</v>
      </c>
      <c r="F2335">
        <v>18.86</v>
      </c>
      <c r="G2335">
        <v>18.87</v>
      </c>
      <c r="H2335">
        <v>34212</v>
      </c>
      <c r="I2335">
        <v>675</v>
      </c>
      <c r="J2335">
        <v>0.11</v>
      </c>
      <c r="K2335">
        <v>3.66</v>
      </c>
      <c r="L2335">
        <v>6395.71</v>
      </c>
      <c r="M2335" t="s">
        <v>4647</v>
      </c>
      <c r="N2335" t="s">
        <v>153</v>
      </c>
      <c r="O2335">
        <v>18.18</v>
      </c>
      <c r="P2335">
        <v>19.09</v>
      </c>
      <c r="Q2335">
        <v>18.18</v>
      </c>
      <c r="R2335">
        <v>18.17</v>
      </c>
      <c r="S2335">
        <v>34.67</v>
      </c>
      <c r="T2335">
        <v>1.55</v>
      </c>
      <c r="U2335" t="s">
        <v>339</v>
      </c>
    </row>
    <row r="2336" spans="1:21">
      <c r="A2336" t="str">
        <f>"300885"</f>
        <v>300885</v>
      </c>
      <c r="B2336" t="s">
        <v>4648</v>
      </c>
      <c r="C2336">
        <v>7.65</v>
      </c>
      <c r="D2336">
        <v>21.26</v>
      </c>
      <c r="E2336">
        <v>1.51</v>
      </c>
      <c r="F2336">
        <v>21.25</v>
      </c>
      <c r="G2336">
        <v>21.26</v>
      </c>
      <c r="H2336">
        <v>48503</v>
      </c>
      <c r="I2336">
        <v>623</v>
      </c>
      <c r="J2336">
        <v>0.38</v>
      </c>
      <c r="K2336">
        <v>8.8</v>
      </c>
      <c r="L2336">
        <v>10198.09</v>
      </c>
      <c r="M2336" t="s">
        <v>4649</v>
      </c>
      <c r="N2336" t="s">
        <v>347</v>
      </c>
      <c r="O2336">
        <v>19.75</v>
      </c>
      <c r="P2336">
        <v>21.77</v>
      </c>
      <c r="Q2336">
        <v>19.74</v>
      </c>
      <c r="R2336">
        <v>19.75</v>
      </c>
      <c r="S2336">
        <v>34.2</v>
      </c>
      <c r="T2336">
        <v>2.25</v>
      </c>
      <c r="U2336" t="s">
        <v>102</v>
      </c>
    </row>
    <row r="2337" spans="1:21">
      <c r="A2337" t="str">
        <f>"300886"</f>
        <v>300886</v>
      </c>
      <c r="B2337" t="s">
        <v>4650</v>
      </c>
      <c r="C2337">
        <v>1.28</v>
      </c>
      <c r="D2337">
        <v>26.94</v>
      </c>
      <c r="E2337">
        <v>0.34</v>
      </c>
      <c r="F2337">
        <v>26.94</v>
      </c>
      <c r="G2337">
        <v>27</v>
      </c>
      <c r="H2337">
        <v>11968</v>
      </c>
      <c r="I2337">
        <v>421</v>
      </c>
      <c r="J2337">
        <v>-0.51</v>
      </c>
      <c r="K2337">
        <v>2.43</v>
      </c>
      <c r="L2337">
        <v>3226.11</v>
      </c>
      <c r="M2337" t="s">
        <v>4651</v>
      </c>
      <c r="N2337" t="s">
        <v>309</v>
      </c>
      <c r="O2337">
        <v>26.52</v>
      </c>
      <c r="P2337">
        <v>27.26</v>
      </c>
      <c r="Q2337">
        <v>26.52</v>
      </c>
      <c r="R2337">
        <v>26.6</v>
      </c>
      <c r="S2337">
        <v>79.42</v>
      </c>
      <c r="T2337">
        <v>0.53</v>
      </c>
      <c r="U2337" t="s">
        <v>193</v>
      </c>
    </row>
    <row r="2338" spans="1:21">
      <c r="A2338" t="str">
        <f>"300887"</f>
        <v>300887</v>
      </c>
      <c r="B2338" t="s">
        <v>4652</v>
      </c>
      <c r="C2338">
        <v>-4.88</v>
      </c>
      <c r="D2338">
        <v>68.88</v>
      </c>
      <c r="E2338">
        <v>-3.53</v>
      </c>
      <c r="F2338">
        <v>68.88</v>
      </c>
      <c r="G2338">
        <v>68.91</v>
      </c>
      <c r="H2338">
        <v>22322</v>
      </c>
      <c r="I2338">
        <v>123</v>
      </c>
      <c r="J2338">
        <v>-0.16</v>
      </c>
      <c r="K2338">
        <v>6.53</v>
      </c>
      <c r="L2338">
        <v>15229.79</v>
      </c>
      <c r="M2338" t="s">
        <v>4653</v>
      </c>
      <c r="N2338" t="s">
        <v>99</v>
      </c>
      <c r="O2338">
        <v>72.3</v>
      </c>
      <c r="P2338">
        <v>72.3</v>
      </c>
      <c r="Q2338">
        <v>65.82</v>
      </c>
      <c r="R2338">
        <v>72.41</v>
      </c>
      <c r="S2338">
        <v>76.03</v>
      </c>
      <c r="T2338">
        <v>1.82</v>
      </c>
      <c r="U2338" t="s">
        <v>44</v>
      </c>
    </row>
    <row r="2339" spans="1:21">
      <c r="A2339" t="str">
        <f>"300888"</f>
        <v>300888</v>
      </c>
      <c r="B2339" t="s">
        <v>4654</v>
      </c>
      <c r="C2339">
        <v>0.15</v>
      </c>
      <c r="D2339">
        <v>80.23</v>
      </c>
      <c r="E2339">
        <v>0.12</v>
      </c>
      <c r="F2339">
        <v>80.23</v>
      </c>
      <c r="G2339">
        <v>80.24</v>
      </c>
      <c r="H2339">
        <v>6576</v>
      </c>
      <c r="I2339">
        <v>73</v>
      </c>
      <c r="J2339">
        <v>-0.05</v>
      </c>
      <c r="K2339">
        <v>0.48</v>
      </c>
      <c r="L2339">
        <v>5268.68</v>
      </c>
      <c r="M2339" t="s">
        <v>4655</v>
      </c>
      <c r="N2339" t="s">
        <v>186</v>
      </c>
      <c r="O2339">
        <v>80.12</v>
      </c>
      <c r="P2339">
        <v>80.5</v>
      </c>
      <c r="Q2339">
        <v>79.7</v>
      </c>
      <c r="R2339">
        <v>80.11</v>
      </c>
      <c r="S2339">
        <v>23.24</v>
      </c>
      <c r="T2339">
        <v>0.43</v>
      </c>
      <c r="U2339" t="s">
        <v>24</v>
      </c>
    </row>
    <row r="2340" spans="1:21">
      <c r="A2340" t="str">
        <f>"300889"</f>
        <v>300889</v>
      </c>
      <c r="B2340" t="s">
        <v>4656</v>
      </c>
      <c r="C2340">
        <v>0.97</v>
      </c>
      <c r="D2340">
        <v>18.71</v>
      </c>
      <c r="E2340">
        <v>0.18</v>
      </c>
      <c r="F2340">
        <v>18.71</v>
      </c>
      <c r="G2340">
        <v>18.72</v>
      </c>
      <c r="H2340">
        <v>12149</v>
      </c>
      <c r="I2340">
        <v>172</v>
      </c>
      <c r="J2340">
        <v>0</v>
      </c>
      <c r="K2340">
        <v>1.55</v>
      </c>
      <c r="L2340">
        <v>2281.08</v>
      </c>
      <c r="M2340" t="s">
        <v>2107</v>
      </c>
      <c r="N2340" t="s">
        <v>47</v>
      </c>
      <c r="O2340">
        <v>18.61</v>
      </c>
      <c r="P2340">
        <v>18.89</v>
      </c>
      <c r="Q2340">
        <v>18.53</v>
      </c>
      <c r="R2340">
        <v>18.53</v>
      </c>
      <c r="S2340">
        <v>51.84</v>
      </c>
      <c r="T2340">
        <v>0.82</v>
      </c>
      <c r="U2340" t="s">
        <v>24</v>
      </c>
    </row>
    <row r="2341" spans="1:21">
      <c r="A2341" t="str">
        <f>"300890"</f>
        <v>300890</v>
      </c>
      <c r="B2341" t="s">
        <v>4657</v>
      </c>
      <c r="C2341">
        <v>8.95</v>
      </c>
      <c r="D2341">
        <v>64.67</v>
      </c>
      <c r="E2341">
        <v>5.31</v>
      </c>
      <c r="F2341">
        <v>64.67</v>
      </c>
      <c r="G2341">
        <v>64.68</v>
      </c>
      <c r="H2341">
        <v>63022</v>
      </c>
      <c r="I2341">
        <v>493</v>
      </c>
      <c r="J2341">
        <v>0.14</v>
      </c>
      <c r="K2341">
        <v>8.09</v>
      </c>
      <c r="L2341">
        <v>39523.95</v>
      </c>
      <c r="M2341" t="s">
        <v>4658</v>
      </c>
      <c r="N2341" t="s">
        <v>750</v>
      </c>
      <c r="O2341">
        <v>58.92</v>
      </c>
      <c r="P2341">
        <v>65.3</v>
      </c>
      <c r="Q2341">
        <v>58.71</v>
      </c>
      <c r="R2341">
        <v>59.36</v>
      </c>
      <c r="S2341">
        <v>85.85</v>
      </c>
      <c r="T2341">
        <v>2.15</v>
      </c>
      <c r="U2341" t="s">
        <v>24</v>
      </c>
    </row>
    <row r="2342" spans="1:21">
      <c r="A2342" t="str">
        <f>"300891"</f>
        <v>300891</v>
      </c>
      <c r="B2342" t="s">
        <v>4659</v>
      </c>
      <c r="C2342">
        <v>-0.53</v>
      </c>
      <c r="D2342">
        <v>16.98</v>
      </c>
      <c r="E2342">
        <v>-0.09</v>
      </c>
      <c r="F2342">
        <v>16.98</v>
      </c>
      <c r="G2342">
        <v>16.99</v>
      </c>
      <c r="H2342">
        <v>85740</v>
      </c>
      <c r="I2342">
        <v>1142</v>
      </c>
      <c r="J2342">
        <v>0.06</v>
      </c>
      <c r="K2342">
        <v>3.72</v>
      </c>
      <c r="L2342">
        <v>14464.54</v>
      </c>
      <c r="M2342" t="s">
        <v>389</v>
      </c>
      <c r="N2342" t="s">
        <v>309</v>
      </c>
      <c r="O2342">
        <v>16.87</v>
      </c>
      <c r="P2342">
        <v>17.09</v>
      </c>
      <c r="Q2342">
        <v>16.66</v>
      </c>
      <c r="R2342">
        <v>17.07</v>
      </c>
      <c r="S2342">
        <v>29.53</v>
      </c>
      <c r="T2342">
        <v>1.12</v>
      </c>
      <c r="U2342" t="s">
        <v>183</v>
      </c>
    </row>
    <row r="2343" spans="1:21">
      <c r="A2343" t="str">
        <f>"300892"</f>
        <v>300892</v>
      </c>
      <c r="B2343" t="s">
        <v>4660</v>
      </c>
      <c r="C2343">
        <v>-1.35</v>
      </c>
      <c r="D2343">
        <v>41.67</v>
      </c>
      <c r="E2343">
        <v>-0.57</v>
      </c>
      <c r="F2343">
        <v>41.67</v>
      </c>
      <c r="G2343">
        <v>41.68</v>
      </c>
      <c r="H2343">
        <v>19112</v>
      </c>
      <c r="I2343">
        <v>254</v>
      </c>
      <c r="J2343">
        <v>0.39</v>
      </c>
      <c r="K2343">
        <v>6.24</v>
      </c>
      <c r="L2343">
        <v>8005.69</v>
      </c>
      <c r="M2343" t="s">
        <v>4661</v>
      </c>
      <c r="N2343" t="s">
        <v>1735</v>
      </c>
      <c r="O2343">
        <v>42.61</v>
      </c>
      <c r="P2343">
        <v>43.45</v>
      </c>
      <c r="Q2343">
        <v>41.24</v>
      </c>
      <c r="R2343">
        <v>42.24</v>
      </c>
      <c r="S2343">
        <v>44.53</v>
      </c>
      <c r="T2343">
        <v>0.64</v>
      </c>
      <c r="U2343" t="s">
        <v>848</v>
      </c>
    </row>
    <row r="2344" spans="1:21">
      <c r="A2344" t="str">
        <f>"300893"</f>
        <v>300893</v>
      </c>
      <c r="B2344" t="s">
        <v>4662</v>
      </c>
      <c r="C2344">
        <v>-2.56</v>
      </c>
      <c r="D2344">
        <v>38</v>
      </c>
      <c r="E2344">
        <v>-1</v>
      </c>
      <c r="F2344">
        <v>38</v>
      </c>
      <c r="G2344">
        <v>38.01</v>
      </c>
      <c r="H2344">
        <v>94705</v>
      </c>
      <c r="I2344">
        <v>1650</v>
      </c>
      <c r="J2344">
        <v>-0.59</v>
      </c>
      <c r="K2344">
        <v>25.25</v>
      </c>
      <c r="L2344">
        <v>36067.21</v>
      </c>
      <c r="M2344" t="s">
        <v>4663</v>
      </c>
      <c r="N2344" t="s">
        <v>91</v>
      </c>
      <c r="O2344">
        <v>36.28</v>
      </c>
      <c r="P2344">
        <v>39.19</v>
      </c>
      <c r="Q2344">
        <v>36.02</v>
      </c>
      <c r="R2344">
        <v>39</v>
      </c>
      <c r="S2344">
        <v>56.86</v>
      </c>
      <c r="T2344">
        <v>0.82</v>
      </c>
      <c r="U2344" t="s">
        <v>200</v>
      </c>
    </row>
    <row r="2345" spans="1:21">
      <c r="A2345" t="str">
        <f>"300894"</f>
        <v>300894</v>
      </c>
      <c r="B2345" t="s">
        <v>4664</v>
      </c>
      <c r="C2345">
        <v>0.34</v>
      </c>
      <c r="D2345">
        <v>52.8</v>
      </c>
      <c r="E2345">
        <v>0.18</v>
      </c>
      <c r="F2345">
        <v>52.8</v>
      </c>
      <c r="G2345">
        <v>52.82</v>
      </c>
      <c r="H2345">
        <v>13785</v>
      </c>
      <c r="I2345">
        <v>397</v>
      </c>
      <c r="J2345">
        <v>0.76</v>
      </c>
      <c r="K2345">
        <v>3.4</v>
      </c>
      <c r="L2345">
        <v>7222.36</v>
      </c>
      <c r="M2345" t="s">
        <v>4665</v>
      </c>
      <c r="N2345" t="s">
        <v>60</v>
      </c>
      <c r="O2345">
        <v>52.27</v>
      </c>
      <c r="P2345">
        <v>53.7</v>
      </c>
      <c r="Q2345">
        <v>51.72</v>
      </c>
      <c r="R2345">
        <v>52.62</v>
      </c>
      <c r="S2345">
        <v>58.66</v>
      </c>
      <c r="T2345">
        <v>0.58</v>
      </c>
      <c r="U2345" t="s">
        <v>200</v>
      </c>
    </row>
    <row r="2346" spans="1:21">
      <c r="A2346" t="str">
        <f>"300895"</f>
        <v>300895</v>
      </c>
      <c r="B2346" t="s">
        <v>4666</v>
      </c>
      <c r="C2346">
        <v>-1.87</v>
      </c>
      <c r="D2346">
        <v>43.14</v>
      </c>
      <c r="E2346">
        <v>-0.82</v>
      </c>
      <c r="F2346">
        <v>43.13</v>
      </c>
      <c r="G2346">
        <v>43.14</v>
      </c>
      <c r="H2346">
        <v>67181</v>
      </c>
      <c r="I2346">
        <v>1199</v>
      </c>
      <c r="J2346">
        <v>-0.04</v>
      </c>
      <c r="K2346">
        <v>12.5</v>
      </c>
      <c r="L2346">
        <v>28976.75</v>
      </c>
      <c r="M2346" t="s">
        <v>4667</v>
      </c>
      <c r="N2346" t="s">
        <v>30</v>
      </c>
      <c r="O2346">
        <v>43</v>
      </c>
      <c r="P2346">
        <v>43.78</v>
      </c>
      <c r="Q2346">
        <v>42.57</v>
      </c>
      <c r="R2346">
        <v>43.96</v>
      </c>
      <c r="S2346">
        <v>86.78</v>
      </c>
      <c r="T2346">
        <v>0.94</v>
      </c>
      <c r="U2346" t="s">
        <v>44</v>
      </c>
    </row>
    <row r="2347" spans="1:21">
      <c r="A2347" t="str">
        <f>"300896"</f>
        <v>300896</v>
      </c>
      <c r="B2347" t="s">
        <v>4668</v>
      </c>
      <c r="C2347">
        <v>0.88</v>
      </c>
      <c r="D2347">
        <v>565.91</v>
      </c>
      <c r="E2347">
        <v>4.91</v>
      </c>
      <c r="F2347">
        <v>565.9</v>
      </c>
      <c r="G2347">
        <v>565.91</v>
      </c>
      <c r="H2347">
        <v>9909</v>
      </c>
      <c r="I2347">
        <v>156</v>
      </c>
      <c r="J2347">
        <v>-0.01</v>
      </c>
      <c r="K2347">
        <v>0.95</v>
      </c>
      <c r="L2347">
        <v>56040.09</v>
      </c>
      <c r="M2347" t="s">
        <v>4669</v>
      </c>
      <c r="N2347" t="s">
        <v>186</v>
      </c>
      <c r="O2347">
        <v>559.99</v>
      </c>
      <c r="P2347">
        <v>569.88</v>
      </c>
      <c r="Q2347">
        <v>558</v>
      </c>
      <c r="R2347">
        <v>561</v>
      </c>
      <c r="S2347">
        <v>129.54</v>
      </c>
      <c r="T2347">
        <v>0.54</v>
      </c>
      <c r="U2347" t="s">
        <v>44</v>
      </c>
    </row>
    <row r="2348" spans="1:21">
      <c r="A2348" t="str">
        <f>"300897"</f>
        <v>300897</v>
      </c>
      <c r="B2348" t="s">
        <v>4670</v>
      </c>
      <c r="C2348">
        <v>1.74</v>
      </c>
      <c r="D2348">
        <v>33.92</v>
      </c>
      <c r="E2348">
        <v>0.58</v>
      </c>
      <c r="F2348">
        <v>33.9</v>
      </c>
      <c r="G2348">
        <v>33.92</v>
      </c>
      <c r="H2348">
        <v>5615</v>
      </c>
      <c r="I2348">
        <v>101</v>
      </c>
      <c r="J2348">
        <v>0.03</v>
      </c>
      <c r="K2348">
        <v>2.75</v>
      </c>
      <c r="L2348">
        <v>1898.28</v>
      </c>
      <c r="M2348" t="s">
        <v>4671</v>
      </c>
      <c r="N2348" t="s">
        <v>1028</v>
      </c>
      <c r="O2348">
        <v>33.73</v>
      </c>
      <c r="P2348">
        <v>34.02</v>
      </c>
      <c r="Q2348">
        <v>33.34</v>
      </c>
      <c r="R2348">
        <v>33.34</v>
      </c>
      <c r="S2348">
        <v>34.76</v>
      </c>
      <c r="T2348">
        <v>1.11</v>
      </c>
      <c r="U2348" t="s">
        <v>200</v>
      </c>
    </row>
    <row r="2349" spans="1:21">
      <c r="A2349" t="str">
        <f>"300898"</f>
        <v>300898</v>
      </c>
      <c r="B2349" t="s">
        <v>4672</v>
      </c>
      <c r="C2349">
        <v>0.07</v>
      </c>
      <c r="D2349">
        <v>29.24</v>
      </c>
      <c r="E2349">
        <v>0.02</v>
      </c>
      <c r="F2349">
        <v>29.24</v>
      </c>
      <c r="G2349">
        <v>29.25</v>
      </c>
      <c r="H2349">
        <v>16374</v>
      </c>
      <c r="I2349">
        <v>178</v>
      </c>
      <c r="J2349">
        <v>0</v>
      </c>
      <c r="K2349">
        <v>3.22</v>
      </c>
      <c r="L2349">
        <v>4789.98</v>
      </c>
      <c r="M2349" t="s">
        <v>4673</v>
      </c>
      <c r="N2349" t="s">
        <v>1735</v>
      </c>
      <c r="O2349">
        <v>29.29</v>
      </c>
      <c r="P2349">
        <v>29.54</v>
      </c>
      <c r="Q2349">
        <v>29</v>
      </c>
      <c r="R2349">
        <v>29.22</v>
      </c>
      <c r="S2349">
        <v>45.08</v>
      </c>
      <c r="T2349">
        <v>0.7</v>
      </c>
      <c r="U2349" t="s">
        <v>200</v>
      </c>
    </row>
    <row r="2350" spans="1:21">
      <c r="A2350" t="str">
        <f>"300899"</f>
        <v>300899</v>
      </c>
      <c r="B2350" t="s">
        <v>4674</v>
      </c>
      <c r="C2350">
        <v>-0.74</v>
      </c>
      <c r="D2350">
        <v>32.01</v>
      </c>
      <c r="E2350">
        <v>-0.24</v>
      </c>
      <c r="F2350">
        <v>32.01</v>
      </c>
      <c r="G2350">
        <v>32.02</v>
      </c>
      <c r="H2350">
        <v>8770</v>
      </c>
      <c r="I2350">
        <v>151</v>
      </c>
      <c r="J2350">
        <v>-0.11</v>
      </c>
      <c r="K2350">
        <v>2.76</v>
      </c>
      <c r="L2350">
        <v>2793.05</v>
      </c>
      <c r="M2350" t="s">
        <v>4675</v>
      </c>
      <c r="N2350" t="s">
        <v>33</v>
      </c>
      <c r="O2350">
        <v>31.63</v>
      </c>
      <c r="P2350">
        <v>32.46</v>
      </c>
      <c r="Q2350">
        <v>31.32</v>
      </c>
      <c r="R2350">
        <v>32.25</v>
      </c>
      <c r="S2350">
        <v>52.8</v>
      </c>
      <c r="T2350">
        <v>0.96</v>
      </c>
      <c r="U2350" t="s">
        <v>848</v>
      </c>
    </row>
    <row r="2351" spans="1:21">
      <c r="A2351" t="str">
        <f>"300900"</f>
        <v>300900</v>
      </c>
      <c r="B2351" t="s">
        <v>4676</v>
      </c>
      <c r="C2351">
        <v>-3.52</v>
      </c>
      <c r="D2351">
        <v>39.22</v>
      </c>
      <c r="E2351">
        <v>-1.43</v>
      </c>
      <c r="F2351">
        <v>39.22</v>
      </c>
      <c r="G2351">
        <v>39.24</v>
      </c>
      <c r="H2351">
        <v>136573</v>
      </c>
      <c r="I2351">
        <v>1717</v>
      </c>
      <c r="J2351">
        <v>0.36</v>
      </c>
      <c r="K2351">
        <v>9.85</v>
      </c>
      <c r="L2351">
        <v>53783.76</v>
      </c>
      <c r="M2351" t="s">
        <v>4677</v>
      </c>
      <c r="N2351" t="s">
        <v>611</v>
      </c>
      <c r="O2351">
        <v>40.53</v>
      </c>
      <c r="P2351">
        <v>40.54</v>
      </c>
      <c r="Q2351">
        <v>38.07</v>
      </c>
      <c r="R2351">
        <v>40.65</v>
      </c>
      <c r="S2351">
        <v>153.52</v>
      </c>
      <c r="T2351">
        <v>0.81</v>
      </c>
      <c r="U2351" t="s">
        <v>445</v>
      </c>
    </row>
    <row r="2352" spans="1:21">
      <c r="A2352" t="str">
        <f>"300901"</f>
        <v>300901</v>
      </c>
      <c r="B2352" t="s">
        <v>4678</v>
      </c>
      <c r="C2352">
        <v>2.24</v>
      </c>
      <c r="D2352">
        <v>12.33</v>
      </c>
      <c r="E2352">
        <v>0.27</v>
      </c>
      <c r="F2352">
        <v>12.33</v>
      </c>
      <c r="G2352">
        <v>12.34</v>
      </c>
      <c r="H2352">
        <v>15011</v>
      </c>
      <c r="I2352">
        <v>360</v>
      </c>
      <c r="J2352">
        <v>0.33</v>
      </c>
      <c r="K2352">
        <v>1.23</v>
      </c>
      <c r="L2352">
        <v>1843.14</v>
      </c>
      <c r="M2352" t="s">
        <v>4679</v>
      </c>
      <c r="N2352" t="s">
        <v>1061</v>
      </c>
      <c r="O2352">
        <v>12.06</v>
      </c>
      <c r="P2352">
        <v>12.49</v>
      </c>
      <c r="Q2352">
        <v>12.06</v>
      </c>
      <c r="R2352">
        <v>12.06</v>
      </c>
      <c r="S2352">
        <v>34.57</v>
      </c>
      <c r="T2352">
        <v>0.74</v>
      </c>
      <c r="U2352" t="s">
        <v>200</v>
      </c>
    </row>
    <row r="2353" spans="1:21">
      <c r="A2353" t="str">
        <f>"300902"</f>
        <v>300902</v>
      </c>
      <c r="B2353" t="s">
        <v>4680</v>
      </c>
      <c r="C2353">
        <v>3.81</v>
      </c>
      <c r="D2353">
        <v>27.8</v>
      </c>
      <c r="E2353">
        <v>1.02</v>
      </c>
      <c r="F2353">
        <v>27.79</v>
      </c>
      <c r="G2353">
        <v>27.8</v>
      </c>
      <c r="H2353">
        <v>17549</v>
      </c>
      <c r="I2353">
        <v>476</v>
      </c>
      <c r="J2353">
        <v>0.14</v>
      </c>
      <c r="K2353">
        <v>3.31</v>
      </c>
      <c r="L2353">
        <v>4820.62</v>
      </c>
      <c r="M2353" t="s">
        <v>4681</v>
      </c>
      <c r="N2353" t="s">
        <v>324</v>
      </c>
      <c r="O2353">
        <v>26.9</v>
      </c>
      <c r="P2353">
        <v>27.88</v>
      </c>
      <c r="Q2353">
        <v>26.5</v>
      </c>
      <c r="R2353">
        <v>26.78</v>
      </c>
      <c r="S2353">
        <v>180.75</v>
      </c>
      <c r="T2353">
        <v>0.57</v>
      </c>
      <c r="U2353" t="s">
        <v>339</v>
      </c>
    </row>
    <row r="2354" spans="1:21">
      <c r="A2354" t="str">
        <f>"300903"</f>
        <v>300903</v>
      </c>
      <c r="B2354" t="s">
        <v>4682</v>
      </c>
      <c r="C2354">
        <v>1.82</v>
      </c>
      <c r="D2354">
        <v>27.4</v>
      </c>
      <c r="E2354">
        <v>0.49</v>
      </c>
      <c r="F2354">
        <v>27.39</v>
      </c>
      <c r="G2354">
        <v>27.4</v>
      </c>
      <c r="H2354">
        <v>35959</v>
      </c>
      <c r="I2354">
        <v>350</v>
      </c>
      <c r="J2354">
        <v>0</v>
      </c>
      <c r="K2354">
        <v>3.94</v>
      </c>
      <c r="L2354">
        <v>9890.28</v>
      </c>
      <c r="M2354" t="s">
        <v>3017</v>
      </c>
      <c r="N2354" t="s">
        <v>69</v>
      </c>
      <c r="O2354">
        <v>27.11</v>
      </c>
      <c r="P2354">
        <v>28.2</v>
      </c>
      <c r="Q2354">
        <v>27.03</v>
      </c>
      <c r="R2354">
        <v>26.91</v>
      </c>
      <c r="S2354">
        <v>54.95</v>
      </c>
      <c r="T2354">
        <v>0.84</v>
      </c>
      <c r="U2354" t="s">
        <v>183</v>
      </c>
    </row>
    <row r="2355" spans="1:21">
      <c r="A2355" t="str">
        <f>"300905"</f>
        <v>300905</v>
      </c>
      <c r="B2355" t="s">
        <v>4683</v>
      </c>
      <c r="C2355">
        <v>0.63</v>
      </c>
      <c r="D2355">
        <v>25.39</v>
      </c>
      <c r="E2355">
        <v>0.16</v>
      </c>
      <c r="F2355">
        <v>25.39</v>
      </c>
      <c r="G2355">
        <v>25.4</v>
      </c>
      <c r="H2355">
        <v>11195</v>
      </c>
      <c r="I2355">
        <v>304</v>
      </c>
      <c r="J2355">
        <v>-0.03</v>
      </c>
      <c r="K2355">
        <v>2.36</v>
      </c>
      <c r="L2355">
        <v>2824.07</v>
      </c>
      <c r="M2355" t="s">
        <v>4684</v>
      </c>
      <c r="N2355" t="s">
        <v>839</v>
      </c>
      <c r="O2355">
        <v>25.19</v>
      </c>
      <c r="P2355">
        <v>25.5</v>
      </c>
      <c r="Q2355">
        <v>24.87</v>
      </c>
      <c r="R2355">
        <v>25.23</v>
      </c>
      <c r="S2355">
        <v>34.31</v>
      </c>
      <c r="T2355">
        <v>0.62</v>
      </c>
      <c r="U2355" t="s">
        <v>102</v>
      </c>
    </row>
    <row r="2356" spans="1:21">
      <c r="A2356" t="str">
        <f>"300906"</f>
        <v>300906</v>
      </c>
      <c r="B2356" t="s">
        <v>4685</v>
      </c>
      <c r="C2356">
        <v>0.13</v>
      </c>
      <c r="D2356">
        <v>31.97</v>
      </c>
      <c r="E2356">
        <v>0.04</v>
      </c>
      <c r="F2356">
        <v>31.96</v>
      </c>
      <c r="G2356">
        <v>31.97</v>
      </c>
      <c r="H2356">
        <v>11400</v>
      </c>
      <c r="I2356">
        <v>294</v>
      </c>
      <c r="J2356">
        <v>-0.02</v>
      </c>
      <c r="K2356">
        <v>3.61</v>
      </c>
      <c r="L2356">
        <v>3646.26</v>
      </c>
      <c r="M2356" t="s">
        <v>4686</v>
      </c>
      <c r="N2356" t="s">
        <v>324</v>
      </c>
      <c r="O2356">
        <v>31.94</v>
      </c>
      <c r="P2356">
        <v>32.48</v>
      </c>
      <c r="Q2356">
        <v>31.69</v>
      </c>
      <c r="R2356">
        <v>31.93</v>
      </c>
      <c r="S2356">
        <v>62.83</v>
      </c>
      <c r="T2356">
        <v>0.55</v>
      </c>
      <c r="U2356" t="s">
        <v>235</v>
      </c>
    </row>
    <row r="2357" spans="1:21">
      <c r="A2357" t="str">
        <f>"300907"</f>
        <v>300907</v>
      </c>
      <c r="B2357" t="s">
        <v>4687</v>
      </c>
      <c r="C2357">
        <v>2.68</v>
      </c>
      <c r="D2357">
        <v>25.7</v>
      </c>
      <c r="E2357">
        <v>0.67</v>
      </c>
      <c r="F2357">
        <v>25.69</v>
      </c>
      <c r="G2357">
        <v>25.7</v>
      </c>
      <c r="H2357">
        <v>12494</v>
      </c>
      <c r="I2357">
        <v>110</v>
      </c>
      <c r="J2357">
        <v>0.16</v>
      </c>
      <c r="K2357">
        <v>3.38</v>
      </c>
      <c r="L2357">
        <v>3197.44</v>
      </c>
      <c r="M2357" t="s">
        <v>4688</v>
      </c>
      <c r="N2357" t="s">
        <v>47</v>
      </c>
      <c r="O2357">
        <v>24.81</v>
      </c>
      <c r="P2357">
        <v>26.08</v>
      </c>
      <c r="Q2357">
        <v>24.81</v>
      </c>
      <c r="R2357">
        <v>25.03</v>
      </c>
      <c r="S2357">
        <v>59.63</v>
      </c>
      <c r="T2357">
        <v>1.04</v>
      </c>
      <c r="U2357" t="s">
        <v>102</v>
      </c>
    </row>
    <row r="2358" spans="1:21">
      <c r="A2358" t="str">
        <f>"300908"</f>
        <v>300908</v>
      </c>
      <c r="B2358" t="s">
        <v>4689</v>
      </c>
      <c r="C2358">
        <v>-1.3</v>
      </c>
      <c r="D2358">
        <v>49.3</v>
      </c>
      <c r="E2358">
        <v>-0.65</v>
      </c>
      <c r="F2358">
        <v>49.29</v>
      </c>
      <c r="G2358">
        <v>49.3</v>
      </c>
      <c r="H2358">
        <v>11243</v>
      </c>
      <c r="I2358">
        <v>188</v>
      </c>
      <c r="J2358">
        <v>0</v>
      </c>
      <c r="K2358">
        <v>4.5</v>
      </c>
      <c r="L2358">
        <v>5548.06</v>
      </c>
      <c r="M2358" t="s">
        <v>1753</v>
      </c>
      <c r="N2358" t="s">
        <v>299</v>
      </c>
      <c r="O2358">
        <v>49.6</v>
      </c>
      <c r="P2358">
        <v>50.13</v>
      </c>
      <c r="Q2358">
        <v>48.87</v>
      </c>
      <c r="R2358">
        <v>49.95</v>
      </c>
      <c r="S2358">
        <v>34.72</v>
      </c>
      <c r="T2358">
        <v>0.79</v>
      </c>
      <c r="U2358" t="s">
        <v>224</v>
      </c>
    </row>
    <row r="2359" spans="1:21">
      <c r="A2359" t="str">
        <f>"300909"</f>
        <v>300909</v>
      </c>
      <c r="B2359" t="s">
        <v>4690</v>
      </c>
      <c r="C2359">
        <v>-0.97</v>
      </c>
      <c r="D2359">
        <v>41.73</v>
      </c>
      <c r="E2359">
        <v>-0.41</v>
      </c>
      <c r="F2359">
        <v>41.72</v>
      </c>
      <c r="G2359">
        <v>41.73</v>
      </c>
      <c r="H2359">
        <v>25442</v>
      </c>
      <c r="I2359">
        <v>325</v>
      </c>
      <c r="J2359">
        <v>-0.56</v>
      </c>
      <c r="K2359">
        <v>7.55</v>
      </c>
      <c r="L2359">
        <v>10604.27</v>
      </c>
      <c r="M2359" t="s">
        <v>4691</v>
      </c>
      <c r="N2359" t="s">
        <v>69</v>
      </c>
      <c r="O2359">
        <v>42</v>
      </c>
      <c r="P2359">
        <v>42.08</v>
      </c>
      <c r="Q2359">
        <v>41.19</v>
      </c>
      <c r="R2359">
        <v>42.14</v>
      </c>
      <c r="S2359">
        <v>30.43</v>
      </c>
      <c r="T2359">
        <v>1.28</v>
      </c>
      <c r="U2359" t="s">
        <v>24</v>
      </c>
    </row>
    <row r="2360" spans="1:21">
      <c r="A2360" t="str">
        <f>"300910"</f>
        <v>300910</v>
      </c>
      <c r="B2360" t="s">
        <v>4692</v>
      </c>
      <c r="C2360">
        <v>0.29</v>
      </c>
      <c r="D2360">
        <v>80.34</v>
      </c>
      <c r="E2360">
        <v>0.23</v>
      </c>
      <c r="F2360">
        <v>80.34</v>
      </c>
      <c r="G2360">
        <v>80.36</v>
      </c>
      <c r="H2360">
        <v>8661</v>
      </c>
      <c r="I2360">
        <v>33</v>
      </c>
      <c r="J2360">
        <v>-0.19</v>
      </c>
      <c r="K2360">
        <v>2.31</v>
      </c>
      <c r="L2360">
        <v>6969.84</v>
      </c>
      <c r="M2360" t="s">
        <v>4693</v>
      </c>
      <c r="N2360" t="s">
        <v>309</v>
      </c>
      <c r="O2360">
        <v>79.39</v>
      </c>
      <c r="P2360">
        <v>81.41</v>
      </c>
      <c r="Q2360">
        <v>78.3</v>
      </c>
      <c r="R2360">
        <v>80.11</v>
      </c>
      <c r="S2360">
        <v>66.64</v>
      </c>
      <c r="T2360">
        <v>1.13</v>
      </c>
      <c r="U2360" t="s">
        <v>224</v>
      </c>
    </row>
    <row r="2361" spans="1:21">
      <c r="A2361" t="str">
        <f>"300911"</f>
        <v>300911</v>
      </c>
      <c r="B2361" t="s">
        <v>4694</v>
      </c>
      <c r="C2361">
        <v>-0.35</v>
      </c>
      <c r="D2361">
        <v>68.21</v>
      </c>
      <c r="E2361">
        <v>-0.24</v>
      </c>
      <c r="F2361">
        <v>68.2</v>
      </c>
      <c r="G2361">
        <v>68.21</v>
      </c>
      <c r="H2361">
        <v>9843</v>
      </c>
      <c r="I2361">
        <v>162</v>
      </c>
      <c r="J2361">
        <v>0.19</v>
      </c>
      <c r="K2361">
        <v>3.69</v>
      </c>
      <c r="L2361">
        <v>6748.79</v>
      </c>
      <c r="M2361" t="s">
        <v>4695</v>
      </c>
      <c r="N2361" t="s">
        <v>60</v>
      </c>
      <c r="O2361">
        <v>68.45</v>
      </c>
      <c r="P2361">
        <v>70.25</v>
      </c>
      <c r="Q2361">
        <v>67.5</v>
      </c>
      <c r="R2361">
        <v>68.45</v>
      </c>
      <c r="S2361">
        <v>35.56</v>
      </c>
      <c r="T2361">
        <v>1.05</v>
      </c>
      <c r="U2361" t="s">
        <v>200</v>
      </c>
    </row>
    <row r="2362" spans="1:21">
      <c r="A2362" t="str">
        <f>"300912"</f>
        <v>300912</v>
      </c>
      <c r="B2362" t="s">
        <v>4696</v>
      </c>
      <c r="C2362">
        <v>4.14</v>
      </c>
      <c r="D2362">
        <v>28.93</v>
      </c>
      <c r="E2362">
        <v>1.15</v>
      </c>
      <c r="F2362">
        <v>28.92</v>
      </c>
      <c r="G2362">
        <v>28.93</v>
      </c>
      <c r="H2362">
        <v>15028</v>
      </c>
      <c r="I2362">
        <v>553</v>
      </c>
      <c r="J2362">
        <v>-0.02</v>
      </c>
      <c r="K2362">
        <v>5.37</v>
      </c>
      <c r="L2362">
        <v>4308.3</v>
      </c>
      <c r="M2362" t="s">
        <v>4697</v>
      </c>
      <c r="N2362" t="s">
        <v>33</v>
      </c>
      <c r="O2362">
        <v>27.7</v>
      </c>
      <c r="P2362">
        <v>29.16</v>
      </c>
      <c r="Q2362">
        <v>27.61</v>
      </c>
      <c r="R2362">
        <v>27.78</v>
      </c>
      <c r="S2362" t="s">
        <v>40</v>
      </c>
      <c r="T2362">
        <v>0.96</v>
      </c>
      <c r="U2362" t="s">
        <v>102</v>
      </c>
    </row>
    <row r="2363" spans="1:21">
      <c r="A2363" t="str">
        <f>"300913"</f>
        <v>300913</v>
      </c>
      <c r="B2363" t="s">
        <v>4698</v>
      </c>
      <c r="C2363">
        <v>-1.94</v>
      </c>
      <c r="D2363">
        <v>31.78</v>
      </c>
      <c r="E2363">
        <v>-0.63</v>
      </c>
      <c r="F2363">
        <v>31.78</v>
      </c>
      <c r="G2363">
        <v>31.79</v>
      </c>
      <c r="H2363">
        <v>47546</v>
      </c>
      <c r="I2363">
        <v>713</v>
      </c>
      <c r="J2363">
        <v>0.13</v>
      </c>
      <c r="K2363">
        <v>15.53</v>
      </c>
      <c r="L2363">
        <v>15077.64</v>
      </c>
      <c r="M2363" t="s">
        <v>4699</v>
      </c>
      <c r="N2363" t="s">
        <v>47</v>
      </c>
      <c r="O2363">
        <v>32.32</v>
      </c>
      <c r="P2363">
        <v>32.67</v>
      </c>
      <c r="Q2363">
        <v>31.14</v>
      </c>
      <c r="R2363">
        <v>32.41</v>
      </c>
      <c r="S2363">
        <v>47.77</v>
      </c>
      <c r="T2363">
        <v>0.73</v>
      </c>
      <c r="U2363" t="s">
        <v>200</v>
      </c>
    </row>
    <row r="2364" spans="1:21">
      <c r="A2364" t="str">
        <f>"300915"</f>
        <v>300915</v>
      </c>
      <c r="B2364" t="s">
        <v>4700</v>
      </c>
      <c r="C2364">
        <v>-0.1</v>
      </c>
      <c r="D2364">
        <v>59.94</v>
      </c>
      <c r="E2364">
        <v>-0.06</v>
      </c>
      <c r="F2364">
        <v>59.93</v>
      </c>
      <c r="G2364">
        <v>59.94</v>
      </c>
      <c r="H2364">
        <v>7103</v>
      </c>
      <c r="I2364">
        <v>49</v>
      </c>
      <c r="J2364">
        <v>0.07</v>
      </c>
      <c r="K2364">
        <v>3.16</v>
      </c>
      <c r="L2364">
        <v>4278.9</v>
      </c>
      <c r="M2364" t="s">
        <v>4701</v>
      </c>
      <c r="N2364" t="s">
        <v>299</v>
      </c>
      <c r="O2364">
        <v>60.77</v>
      </c>
      <c r="P2364">
        <v>61.16</v>
      </c>
      <c r="Q2364">
        <v>59.4</v>
      </c>
      <c r="R2364">
        <v>60</v>
      </c>
      <c r="S2364">
        <v>43.26</v>
      </c>
      <c r="T2364">
        <v>0.58</v>
      </c>
      <c r="U2364" t="s">
        <v>848</v>
      </c>
    </row>
    <row r="2365" spans="1:21">
      <c r="A2365" t="str">
        <f>"300916"</f>
        <v>300916</v>
      </c>
      <c r="B2365" t="s">
        <v>4702</v>
      </c>
      <c r="C2365">
        <v>1.13</v>
      </c>
      <c r="D2365">
        <v>65.47</v>
      </c>
      <c r="E2365">
        <v>0.73</v>
      </c>
      <c r="F2365">
        <v>65.4</v>
      </c>
      <c r="G2365">
        <v>65.47</v>
      </c>
      <c r="H2365">
        <v>10716</v>
      </c>
      <c r="I2365">
        <v>118</v>
      </c>
      <c r="J2365">
        <v>-0.05</v>
      </c>
      <c r="K2365">
        <v>6.71</v>
      </c>
      <c r="L2365">
        <v>7011.44</v>
      </c>
      <c r="M2365" t="s">
        <v>4703</v>
      </c>
      <c r="N2365" t="s">
        <v>69</v>
      </c>
      <c r="O2365">
        <v>64.41</v>
      </c>
      <c r="P2365">
        <v>66.1</v>
      </c>
      <c r="Q2365">
        <v>64.41</v>
      </c>
      <c r="R2365">
        <v>64.74</v>
      </c>
      <c r="S2365">
        <v>30.68</v>
      </c>
      <c r="T2365">
        <v>0.49</v>
      </c>
      <c r="U2365" t="s">
        <v>24</v>
      </c>
    </row>
    <row r="2366" spans="1:21">
      <c r="A2366" t="str">
        <f>"300917"</f>
        <v>300917</v>
      </c>
      <c r="B2366" t="s">
        <v>4704</v>
      </c>
      <c r="C2366">
        <v>8.86</v>
      </c>
      <c r="D2366">
        <v>29.86</v>
      </c>
      <c r="E2366">
        <v>2.43</v>
      </c>
      <c r="F2366">
        <v>29.85</v>
      </c>
      <c r="G2366">
        <v>29.86</v>
      </c>
      <c r="H2366">
        <v>64306</v>
      </c>
      <c r="I2366">
        <v>937</v>
      </c>
      <c r="J2366">
        <v>0.44</v>
      </c>
      <c r="K2366">
        <v>21.89</v>
      </c>
      <c r="L2366">
        <v>18768.28</v>
      </c>
      <c r="M2366" t="s">
        <v>4705</v>
      </c>
      <c r="N2366" t="s">
        <v>134</v>
      </c>
      <c r="O2366">
        <v>27.71</v>
      </c>
      <c r="P2366">
        <v>32.21</v>
      </c>
      <c r="Q2366">
        <v>27</v>
      </c>
      <c r="R2366">
        <v>27.43</v>
      </c>
      <c r="S2366">
        <v>34.12</v>
      </c>
      <c r="T2366">
        <v>1.13</v>
      </c>
      <c r="U2366" t="s">
        <v>24</v>
      </c>
    </row>
    <row r="2367" spans="1:21">
      <c r="A2367" t="str">
        <f>"300918"</f>
        <v>300918</v>
      </c>
      <c r="B2367" t="s">
        <v>4706</v>
      </c>
      <c r="C2367">
        <v>1.65</v>
      </c>
      <c r="D2367">
        <v>9.87</v>
      </c>
      <c r="E2367">
        <v>0.16</v>
      </c>
      <c r="F2367">
        <v>9.86</v>
      </c>
      <c r="G2367">
        <v>9.87</v>
      </c>
      <c r="H2367">
        <v>34862</v>
      </c>
      <c r="I2367">
        <v>844</v>
      </c>
      <c r="J2367">
        <v>0.1</v>
      </c>
      <c r="K2367">
        <v>3.87</v>
      </c>
      <c r="L2367">
        <v>3423.8</v>
      </c>
      <c r="M2367" t="s">
        <v>4707</v>
      </c>
      <c r="N2367" t="s">
        <v>664</v>
      </c>
      <c r="O2367">
        <v>9.68</v>
      </c>
      <c r="P2367">
        <v>9.98</v>
      </c>
      <c r="Q2367">
        <v>9.67</v>
      </c>
      <c r="R2367">
        <v>9.71</v>
      </c>
      <c r="S2367">
        <v>27.66</v>
      </c>
      <c r="T2367">
        <v>0.77</v>
      </c>
      <c r="U2367" t="s">
        <v>221</v>
      </c>
    </row>
    <row r="2368" spans="1:21">
      <c r="A2368" t="str">
        <f>"300919"</f>
        <v>300919</v>
      </c>
      <c r="B2368" t="s">
        <v>4708</v>
      </c>
      <c r="C2368">
        <v>14.57</v>
      </c>
      <c r="D2368">
        <v>182.02</v>
      </c>
      <c r="E2368">
        <v>23.15</v>
      </c>
      <c r="F2368">
        <v>182.01</v>
      </c>
      <c r="G2368">
        <v>182.02</v>
      </c>
      <c r="H2368">
        <v>58998</v>
      </c>
      <c r="I2368">
        <v>555</v>
      </c>
      <c r="J2368">
        <v>-0.03</v>
      </c>
      <c r="K2368">
        <v>11.73</v>
      </c>
      <c r="L2368">
        <v>102759.01</v>
      </c>
      <c r="M2368" t="s">
        <v>4709</v>
      </c>
      <c r="N2368" t="s">
        <v>47</v>
      </c>
      <c r="O2368">
        <v>161.91</v>
      </c>
      <c r="P2368">
        <v>182.89</v>
      </c>
      <c r="Q2368">
        <v>161.91</v>
      </c>
      <c r="R2368">
        <v>158.87</v>
      </c>
      <c r="S2368">
        <v>101.62</v>
      </c>
      <c r="T2368">
        <v>2</v>
      </c>
      <c r="U2368" t="s">
        <v>368</v>
      </c>
    </row>
    <row r="2369" spans="1:21">
      <c r="A2369" t="str">
        <f>"300920"</f>
        <v>300920</v>
      </c>
      <c r="B2369" t="s">
        <v>4710</v>
      </c>
      <c r="C2369">
        <v>0.67</v>
      </c>
      <c r="D2369">
        <v>30.19</v>
      </c>
      <c r="E2369">
        <v>0.2</v>
      </c>
      <c r="F2369">
        <v>30.19</v>
      </c>
      <c r="G2369">
        <v>30.2</v>
      </c>
      <c r="H2369">
        <v>4660</v>
      </c>
      <c r="I2369">
        <v>102</v>
      </c>
      <c r="J2369">
        <v>-0.42</v>
      </c>
      <c r="K2369">
        <v>1.86</v>
      </c>
      <c r="L2369">
        <v>1403.19</v>
      </c>
      <c r="M2369" t="s">
        <v>1868</v>
      </c>
      <c r="N2369" t="s">
        <v>839</v>
      </c>
      <c r="O2369">
        <v>30.2</v>
      </c>
      <c r="P2369">
        <v>30.51</v>
      </c>
      <c r="Q2369">
        <v>29.59</v>
      </c>
      <c r="R2369">
        <v>29.99</v>
      </c>
      <c r="S2369">
        <v>30.17</v>
      </c>
      <c r="T2369">
        <v>0.69</v>
      </c>
      <c r="U2369" t="s">
        <v>200</v>
      </c>
    </row>
    <row r="2370" spans="1:21">
      <c r="A2370" t="str">
        <f>"300921"</f>
        <v>300921</v>
      </c>
      <c r="B2370" t="s">
        <v>4711</v>
      </c>
      <c r="C2370">
        <v>1.52</v>
      </c>
      <c r="D2370">
        <v>22.02</v>
      </c>
      <c r="E2370">
        <v>0.33</v>
      </c>
      <c r="F2370">
        <v>22.01</v>
      </c>
      <c r="G2370">
        <v>22.02</v>
      </c>
      <c r="H2370">
        <v>14090</v>
      </c>
      <c r="I2370">
        <v>121</v>
      </c>
      <c r="J2370">
        <v>0.32</v>
      </c>
      <c r="K2370">
        <v>4.29</v>
      </c>
      <c r="L2370">
        <v>3092.1</v>
      </c>
      <c r="M2370" t="s">
        <v>4712</v>
      </c>
      <c r="N2370" t="s">
        <v>479</v>
      </c>
      <c r="O2370">
        <v>21.88</v>
      </c>
      <c r="P2370">
        <v>22.15</v>
      </c>
      <c r="Q2370">
        <v>21.63</v>
      </c>
      <c r="R2370">
        <v>21.69</v>
      </c>
      <c r="S2370">
        <v>44.46</v>
      </c>
      <c r="T2370">
        <v>0.48</v>
      </c>
      <c r="U2370" t="s">
        <v>24</v>
      </c>
    </row>
    <row r="2371" spans="1:21">
      <c r="A2371" t="str">
        <f>"300922"</f>
        <v>300922</v>
      </c>
      <c r="B2371" t="s">
        <v>4713</v>
      </c>
      <c r="C2371">
        <v>-2.38</v>
      </c>
      <c r="D2371">
        <v>43.49</v>
      </c>
      <c r="E2371">
        <v>-1.06</v>
      </c>
      <c r="F2371">
        <v>43.48</v>
      </c>
      <c r="G2371">
        <v>43.49</v>
      </c>
      <c r="H2371">
        <v>36125</v>
      </c>
      <c r="I2371">
        <v>826</v>
      </c>
      <c r="J2371">
        <v>-0.01</v>
      </c>
      <c r="K2371">
        <v>12.9</v>
      </c>
      <c r="L2371">
        <v>15778.2</v>
      </c>
      <c r="M2371" t="s">
        <v>4714</v>
      </c>
      <c r="N2371" t="s">
        <v>324</v>
      </c>
      <c r="O2371">
        <v>44.02</v>
      </c>
      <c r="P2371">
        <v>44.46</v>
      </c>
      <c r="Q2371">
        <v>43.05</v>
      </c>
      <c r="R2371">
        <v>44.55</v>
      </c>
      <c r="S2371">
        <v>64.41</v>
      </c>
      <c r="T2371">
        <v>0.64</v>
      </c>
      <c r="U2371" t="s">
        <v>207</v>
      </c>
    </row>
    <row r="2372" spans="1:21">
      <c r="A2372" t="str">
        <f>"300923"</f>
        <v>300923</v>
      </c>
      <c r="B2372" t="s">
        <v>4715</v>
      </c>
      <c r="C2372">
        <v>0.98</v>
      </c>
      <c r="D2372">
        <v>31</v>
      </c>
      <c r="E2372">
        <v>0.3</v>
      </c>
      <c r="F2372">
        <v>31</v>
      </c>
      <c r="G2372">
        <v>31.03</v>
      </c>
      <c r="H2372">
        <v>9198</v>
      </c>
      <c r="I2372">
        <v>131</v>
      </c>
      <c r="J2372">
        <v>0.06</v>
      </c>
      <c r="K2372">
        <v>4.68</v>
      </c>
      <c r="L2372">
        <v>2849.59</v>
      </c>
      <c r="M2372" t="s">
        <v>4716</v>
      </c>
      <c r="N2372" t="s">
        <v>43</v>
      </c>
      <c r="O2372">
        <v>30.81</v>
      </c>
      <c r="P2372">
        <v>31.4</v>
      </c>
      <c r="Q2372">
        <v>30.41</v>
      </c>
      <c r="R2372">
        <v>30.7</v>
      </c>
      <c r="S2372">
        <v>31.73</v>
      </c>
      <c r="T2372">
        <v>0.89</v>
      </c>
      <c r="U2372" t="s">
        <v>92</v>
      </c>
    </row>
    <row r="2373" spans="1:21">
      <c r="A2373" t="str">
        <f>"300925"</f>
        <v>300925</v>
      </c>
      <c r="B2373" t="s">
        <v>4717</v>
      </c>
      <c r="C2373">
        <v>0.06</v>
      </c>
      <c r="D2373">
        <v>31.72</v>
      </c>
      <c r="E2373">
        <v>0.02</v>
      </c>
      <c r="F2373">
        <v>31.72</v>
      </c>
      <c r="G2373">
        <v>31.73</v>
      </c>
      <c r="H2373">
        <v>77590</v>
      </c>
      <c r="I2373">
        <v>1499</v>
      </c>
      <c r="J2373">
        <v>-0.08</v>
      </c>
      <c r="K2373">
        <v>14.1</v>
      </c>
      <c r="L2373">
        <v>24363.96</v>
      </c>
      <c r="M2373" t="s">
        <v>796</v>
      </c>
      <c r="N2373" t="s">
        <v>30</v>
      </c>
      <c r="O2373">
        <v>31.2</v>
      </c>
      <c r="P2373">
        <v>31.97</v>
      </c>
      <c r="Q2373">
        <v>30.79</v>
      </c>
      <c r="R2373">
        <v>31.7</v>
      </c>
      <c r="S2373">
        <v>53.86</v>
      </c>
      <c r="T2373">
        <v>0.64</v>
      </c>
      <c r="U2373" t="s">
        <v>24</v>
      </c>
    </row>
    <row r="2374" spans="1:21">
      <c r="A2374" t="str">
        <f>"300926"</f>
        <v>300926</v>
      </c>
      <c r="B2374" t="s">
        <v>4718</v>
      </c>
      <c r="C2374">
        <v>-0.52</v>
      </c>
      <c r="D2374">
        <v>27.01</v>
      </c>
      <c r="E2374">
        <v>-0.14</v>
      </c>
      <c r="F2374">
        <v>27</v>
      </c>
      <c r="G2374">
        <v>27.01</v>
      </c>
      <c r="H2374">
        <v>99507</v>
      </c>
      <c r="I2374">
        <v>1727</v>
      </c>
      <c r="J2374">
        <v>-0.17</v>
      </c>
      <c r="K2374">
        <v>28</v>
      </c>
      <c r="L2374">
        <v>26989.39</v>
      </c>
      <c r="M2374" t="s">
        <v>4719</v>
      </c>
      <c r="N2374" t="s">
        <v>91</v>
      </c>
      <c r="O2374">
        <v>26.63</v>
      </c>
      <c r="P2374">
        <v>27.78</v>
      </c>
      <c r="Q2374">
        <v>26.5</v>
      </c>
      <c r="R2374">
        <v>27.15</v>
      </c>
      <c r="S2374">
        <v>48</v>
      </c>
      <c r="T2374">
        <v>0.66</v>
      </c>
      <c r="U2374" t="s">
        <v>102</v>
      </c>
    </row>
    <row r="2375" spans="1:21">
      <c r="A2375" t="str">
        <f>"300927"</f>
        <v>300927</v>
      </c>
      <c r="B2375" t="s">
        <v>4720</v>
      </c>
      <c r="C2375">
        <v>2.47</v>
      </c>
      <c r="D2375">
        <v>39.86</v>
      </c>
      <c r="E2375">
        <v>0.96</v>
      </c>
      <c r="F2375">
        <v>39.85</v>
      </c>
      <c r="G2375">
        <v>39.87</v>
      </c>
      <c r="H2375">
        <v>51307</v>
      </c>
      <c r="I2375">
        <v>1037</v>
      </c>
      <c r="J2375">
        <v>0</v>
      </c>
      <c r="K2375">
        <v>25.59</v>
      </c>
      <c r="L2375">
        <v>20222.35</v>
      </c>
      <c r="M2375" t="s">
        <v>2479</v>
      </c>
      <c r="N2375" t="s">
        <v>309</v>
      </c>
      <c r="O2375">
        <v>38.99</v>
      </c>
      <c r="P2375">
        <v>40.84</v>
      </c>
      <c r="Q2375">
        <v>37.88</v>
      </c>
      <c r="R2375">
        <v>38.9</v>
      </c>
      <c r="S2375">
        <v>43.87</v>
      </c>
      <c r="T2375">
        <v>1.66</v>
      </c>
      <c r="U2375" t="s">
        <v>102</v>
      </c>
    </row>
    <row r="2376" spans="1:21">
      <c r="A2376" t="str">
        <f>"300928"</f>
        <v>300928</v>
      </c>
      <c r="B2376" t="s">
        <v>4721</v>
      </c>
      <c r="C2376">
        <v>4.3</v>
      </c>
      <c r="D2376">
        <v>50.7</v>
      </c>
      <c r="E2376">
        <v>2.09</v>
      </c>
      <c r="F2376">
        <v>50.7</v>
      </c>
      <c r="G2376">
        <v>50.71</v>
      </c>
      <c r="H2376">
        <v>38807</v>
      </c>
      <c r="I2376">
        <v>661</v>
      </c>
      <c r="J2376">
        <v>0</v>
      </c>
      <c r="K2376">
        <v>19.4</v>
      </c>
      <c r="L2376">
        <v>19276.64</v>
      </c>
      <c r="M2376" t="s">
        <v>4722</v>
      </c>
      <c r="N2376" t="s">
        <v>91</v>
      </c>
      <c r="O2376">
        <v>47.98</v>
      </c>
      <c r="P2376">
        <v>51.47</v>
      </c>
      <c r="Q2376">
        <v>46.99</v>
      </c>
      <c r="R2376">
        <v>48.61</v>
      </c>
      <c r="S2376">
        <v>77.76</v>
      </c>
      <c r="T2376">
        <v>0.99</v>
      </c>
      <c r="U2376" t="s">
        <v>44</v>
      </c>
    </row>
    <row r="2377" spans="1:21">
      <c r="A2377" t="str">
        <f>"300929"</f>
        <v>300929</v>
      </c>
      <c r="B2377" t="s">
        <v>4723</v>
      </c>
      <c r="C2377">
        <v>-2.87</v>
      </c>
      <c r="D2377">
        <v>29.41</v>
      </c>
      <c r="E2377">
        <v>-0.87</v>
      </c>
      <c r="F2377">
        <v>29.4</v>
      </c>
      <c r="G2377">
        <v>29.41</v>
      </c>
      <c r="H2377">
        <v>21900</v>
      </c>
      <c r="I2377">
        <v>418</v>
      </c>
      <c r="J2377">
        <v>0</v>
      </c>
      <c r="K2377">
        <v>11.56</v>
      </c>
      <c r="L2377">
        <v>6439.42</v>
      </c>
      <c r="M2377" t="s">
        <v>4724</v>
      </c>
      <c r="N2377" t="s">
        <v>33</v>
      </c>
      <c r="O2377">
        <v>29.78</v>
      </c>
      <c r="P2377">
        <v>29.86</v>
      </c>
      <c r="Q2377">
        <v>29.02</v>
      </c>
      <c r="R2377">
        <v>30.28</v>
      </c>
      <c r="S2377">
        <v>43.57</v>
      </c>
      <c r="T2377">
        <v>0.55</v>
      </c>
      <c r="U2377" t="s">
        <v>193</v>
      </c>
    </row>
    <row r="2378" spans="1:21">
      <c r="A2378" t="str">
        <f>"300930"</f>
        <v>300930</v>
      </c>
      <c r="B2378" t="s">
        <v>4725</v>
      </c>
      <c r="C2378">
        <v>-2.29</v>
      </c>
      <c r="D2378">
        <v>37.99</v>
      </c>
      <c r="E2378">
        <v>-0.89</v>
      </c>
      <c r="F2378">
        <v>37.98</v>
      </c>
      <c r="G2378">
        <v>37.99</v>
      </c>
      <c r="H2378">
        <v>28735</v>
      </c>
      <c r="I2378">
        <v>317</v>
      </c>
      <c r="J2378">
        <v>1.06</v>
      </c>
      <c r="K2378">
        <v>11.49</v>
      </c>
      <c r="L2378">
        <v>10772.49</v>
      </c>
      <c r="M2378" t="s">
        <v>2023</v>
      </c>
      <c r="N2378" t="s">
        <v>523</v>
      </c>
      <c r="O2378">
        <v>39</v>
      </c>
      <c r="P2378">
        <v>39</v>
      </c>
      <c r="Q2378">
        <v>36.75</v>
      </c>
      <c r="R2378">
        <v>38.88</v>
      </c>
      <c r="S2378">
        <v>40.97</v>
      </c>
      <c r="T2378">
        <v>0.89</v>
      </c>
      <c r="U2378" t="s">
        <v>200</v>
      </c>
    </row>
    <row r="2379" spans="1:21">
      <c r="A2379" t="str">
        <f>"300931"</f>
        <v>300931</v>
      </c>
      <c r="B2379" t="s">
        <v>4726</v>
      </c>
      <c r="C2379">
        <v>-0.76</v>
      </c>
      <c r="D2379">
        <v>11.77</v>
      </c>
      <c r="E2379">
        <v>-0.09</v>
      </c>
      <c r="F2379">
        <v>11.76</v>
      </c>
      <c r="G2379">
        <v>11.77</v>
      </c>
      <c r="H2379">
        <v>23102</v>
      </c>
      <c r="I2379">
        <v>421</v>
      </c>
      <c r="J2379">
        <v>0.17</v>
      </c>
      <c r="K2379">
        <v>3.85</v>
      </c>
      <c r="L2379">
        <v>2714.14</v>
      </c>
      <c r="M2379" t="s">
        <v>4727</v>
      </c>
      <c r="N2379" t="s">
        <v>43</v>
      </c>
      <c r="O2379">
        <v>11.87</v>
      </c>
      <c r="P2379">
        <v>11.9</v>
      </c>
      <c r="Q2379">
        <v>11.62</v>
      </c>
      <c r="R2379">
        <v>11.86</v>
      </c>
      <c r="S2379">
        <v>94.02</v>
      </c>
      <c r="T2379">
        <v>0.58</v>
      </c>
      <c r="U2379" t="s">
        <v>102</v>
      </c>
    </row>
    <row r="2380" spans="1:21">
      <c r="A2380" t="str">
        <f>"300932"</f>
        <v>300932</v>
      </c>
      <c r="B2380" t="s">
        <v>4728</v>
      </c>
      <c r="C2380">
        <v>-0.22</v>
      </c>
      <c r="D2380">
        <v>40.9</v>
      </c>
      <c r="E2380">
        <v>-0.09</v>
      </c>
      <c r="F2380">
        <v>40.89</v>
      </c>
      <c r="G2380">
        <v>40.9</v>
      </c>
      <c r="H2380">
        <v>22373</v>
      </c>
      <c r="I2380">
        <v>433</v>
      </c>
      <c r="J2380">
        <v>0.02</v>
      </c>
      <c r="K2380">
        <v>7.1</v>
      </c>
      <c r="L2380">
        <v>9133.98</v>
      </c>
      <c r="M2380" t="s">
        <v>4729</v>
      </c>
      <c r="N2380" t="s">
        <v>47</v>
      </c>
      <c r="O2380">
        <v>41.38</v>
      </c>
      <c r="P2380">
        <v>41.41</v>
      </c>
      <c r="Q2380">
        <v>40.3</v>
      </c>
      <c r="R2380">
        <v>40.99</v>
      </c>
      <c r="S2380">
        <v>35.42</v>
      </c>
      <c r="T2380">
        <v>0.43</v>
      </c>
      <c r="U2380" t="s">
        <v>183</v>
      </c>
    </row>
    <row r="2381" spans="1:21">
      <c r="A2381" t="str">
        <f>"300933"</f>
        <v>300933</v>
      </c>
      <c r="B2381" t="s">
        <v>4730</v>
      </c>
      <c r="C2381">
        <v>-1.83</v>
      </c>
      <c r="D2381">
        <v>12.85</v>
      </c>
      <c r="E2381">
        <v>-0.24</v>
      </c>
      <c r="F2381">
        <v>12.84</v>
      </c>
      <c r="G2381">
        <v>12.85</v>
      </c>
      <c r="H2381">
        <v>123972</v>
      </c>
      <c r="I2381">
        <v>2827</v>
      </c>
      <c r="J2381">
        <v>0.23</v>
      </c>
      <c r="K2381">
        <v>13.52</v>
      </c>
      <c r="L2381">
        <v>15991.28</v>
      </c>
      <c r="M2381" t="s">
        <v>4731</v>
      </c>
      <c r="N2381" t="s">
        <v>47</v>
      </c>
      <c r="O2381">
        <v>13.23</v>
      </c>
      <c r="P2381">
        <v>13.3</v>
      </c>
      <c r="Q2381">
        <v>12.75</v>
      </c>
      <c r="R2381">
        <v>13.09</v>
      </c>
      <c r="S2381">
        <v>71.15</v>
      </c>
      <c r="T2381">
        <v>0.71</v>
      </c>
      <c r="U2381" t="s">
        <v>102</v>
      </c>
    </row>
    <row r="2382" spans="1:21">
      <c r="A2382" t="str">
        <f>"300935"</f>
        <v>300935</v>
      </c>
      <c r="B2382" t="s">
        <v>4732</v>
      </c>
      <c r="C2382">
        <v>4.44</v>
      </c>
      <c r="D2382">
        <v>58.07</v>
      </c>
      <c r="E2382">
        <v>2.47</v>
      </c>
      <c r="F2382">
        <v>58.07</v>
      </c>
      <c r="G2382">
        <v>58.09</v>
      </c>
      <c r="H2382">
        <v>5174</v>
      </c>
      <c r="I2382">
        <v>99</v>
      </c>
      <c r="J2382">
        <v>-0.02</v>
      </c>
      <c r="K2382">
        <v>3.66</v>
      </c>
      <c r="L2382">
        <v>2976.55</v>
      </c>
      <c r="M2382" t="s">
        <v>4733</v>
      </c>
      <c r="N2382" t="s">
        <v>30</v>
      </c>
      <c r="O2382">
        <v>55.97</v>
      </c>
      <c r="P2382">
        <v>58.93</v>
      </c>
      <c r="Q2382">
        <v>55.72</v>
      </c>
      <c r="R2382">
        <v>55.6</v>
      </c>
      <c r="S2382">
        <v>191.5</v>
      </c>
      <c r="T2382">
        <v>1.96</v>
      </c>
      <c r="U2382" t="s">
        <v>44</v>
      </c>
    </row>
    <row r="2383" spans="1:21">
      <c r="A2383" t="str">
        <f>"300936"</f>
        <v>300936</v>
      </c>
      <c r="B2383" t="s">
        <v>4734</v>
      </c>
      <c r="C2383">
        <v>3.44</v>
      </c>
      <c r="D2383">
        <v>42.07</v>
      </c>
      <c r="E2383">
        <v>1.4</v>
      </c>
      <c r="F2383">
        <v>42.07</v>
      </c>
      <c r="G2383">
        <v>42.08</v>
      </c>
      <c r="H2383">
        <v>11571</v>
      </c>
      <c r="I2383">
        <v>395</v>
      </c>
      <c r="J2383">
        <v>0.19</v>
      </c>
      <c r="K2383">
        <v>6.15</v>
      </c>
      <c r="L2383">
        <v>4812.88</v>
      </c>
      <c r="M2383" t="s">
        <v>4735</v>
      </c>
      <c r="N2383" t="s">
        <v>69</v>
      </c>
      <c r="O2383">
        <v>41.13</v>
      </c>
      <c r="P2383">
        <v>42.2</v>
      </c>
      <c r="Q2383">
        <v>40.6</v>
      </c>
      <c r="R2383">
        <v>40.67</v>
      </c>
      <c r="S2383">
        <v>64.04</v>
      </c>
      <c r="T2383">
        <v>1.27</v>
      </c>
      <c r="U2383" t="s">
        <v>102</v>
      </c>
    </row>
    <row r="2384" spans="1:21">
      <c r="A2384" t="str">
        <f>"300937"</f>
        <v>300937</v>
      </c>
      <c r="B2384" t="s">
        <v>4736</v>
      </c>
      <c r="C2384">
        <v>0.09</v>
      </c>
      <c r="D2384">
        <v>43.8</v>
      </c>
      <c r="E2384">
        <v>0.04</v>
      </c>
      <c r="F2384">
        <v>43.8</v>
      </c>
      <c r="G2384">
        <v>43.81</v>
      </c>
      <c r="H2384">
        <v>14077</v>
      </c>
      <c r="I2384">
        <v>423</v>
      </c>
      <c r="J2384">
        <v>0.34</v>
      </c>
      <c r="K2384">
        <v>5.89</v>
      </c>
      <c r="L2384">
        <v>6131.39</v>
      </c>
      <c r="M2384" t="s">
        <v>4737</v>
      </c>
      <c r="N2384" t="s">
        <v>86</v>
      </c>
      <c r="O2384">
        <v>44.09</v>
      </c>
      <c r="P2384">
        <v>44.42</v>
      </c>
      <c r="Q2384">
        <v>43.12</v>
      </c>
      <c r="R2384">
        <v>43.76</v>
      </c>
      <c r="S2384">
        <v>286.14</v>
      </c>
      <c r="T2384">
        <v>0.35</v>
      </c>
      <c r="U2384" t="s">
        <v>196</v>
      </c>
    </row>
    <row r="2385" spans="1:21">
      <c r="A2385" t="str">
        <f>"300938"</f>
        <v>300938</v>
      </c>
      <c r="B2385" t="s">
        <v>4738</v>
      </c>
      <c r="C2385">
        <v>1.3</v>
      </c>
      <c r="D2385">
        <v>43.72</v>
      </c>
      <c r="E2385">
        <v>0.56</v>
      </c>
      <c r="F2385">
        <v>43.72</v>
      </c>
      <c r="G2385">
        <v>43.74</v>
      </c>
      <c r="H2385">
        <v>2568</v>
      </c>
      <c r="I2385">
        <v>40</v>
      </c>
      <c r="J2385">
        <v>-0.04</v>
      </c>
      <c r="K2385">
        <v>1.58</v>
      </c>
      <c r="L2385">
        <v>1121.03</v>
      </c>
      <c r="M2385" t="s">
        <v>4739</v>
      </c>
      <c r="N2385" t="s">
        <v>99</v>
      </c>
      <c r="O2385">
        <v>43.5</v>
      </c>
      <c r="P2385">
        <v>44.06</v>
      </c>
      <c r="Q2385">
        <v>42.9</v>
      </c>
      <c r="R2385">
        <v>43.16</v>
      </c>
      <c r="S2385">
        <v>35.32</v>
      </c>
      <c r="T2385">
        <v>0.67</v>
      </c>
      <c r="U2385" t="s">
        <v>24</v>
      </c>
    </row>
    <row r="2386" spans="1:21">
      <c r="A2386" t="str">
        <f>"300939"</f>
        <v>300939</v>
      </c>
      <c r="B2386" t="s">
        <v>4740</v>
      </c>
      <c r="C2386">
        <v>2.33</v>
      </c>
      <c r="D2386">
        <v>54.38</v>
      </c>
      <c r="E2386">
        <v>1.24</v>
      </c>
      <c r="F2386">
        <v>54.38</v>
      </c>
      <c r="G2386">
        <v>54.39</v>
      </c>
      <c r="H2386">
        <v>14247</v>
      </c>
      <c r="I2386">
        <v>212</v>
      </c>
      <c r="J2386">
        <v>0.07</v>
      </c>
      <c r="K2386">
        <v>7.12</v>
      </c>
      <c r="L2386">
        <v>7715.24</v>
      </c>
      <c r="M2386" t="s">
        <v>4741</v>
      </c>
      <c r="N2386" t="s">
        <v>69</v>
      </c>
      <c r="O2386">
        <v>53</v>
      </c>
      <c r="P2386">
        <v>54.76</v>
      </c>
      <c r="Q2386">
        <v>52.5</v>
      </c>
      <c r="R2386">
        <v>53.14</v>
      </c>
      <c r="S2386">
        <v>40.29</v>
      </c>
      <c r="T2386">
        <v>0.81</v>
      </c>
      <c r="U2386" t="s">
        <v>24</v>
      </c>
    </row>
    <row r="2387" spans="1:21">
      <c r="A2387" t="str">
        <f>"300940"</f>
        <v>300940</v>
      </c>
      <c r="B2387" t="s">
        <v>4742</v>
      </c>
      <c r="C2387">
        <v>0.72</v>
      </c>
      <c r="D2387">
        <v>38.95</v>
      </c>
      <c r="E2387">
        <v>0.28</v>
      </c>
      <c r="F2387">
        <v>38.95</v>
      </c>
      <c r="G2387">
        <v>38.96</v>
      </c>
      <c r="H2387">
        <v>25431</v>
      </c>
      <c r="I2387">
        <v>325</v>
      </c>
      <c r="J2387">
        <v>0.08</v>
      </c>
      <c r="K2387">
        <v>8.59</v>
      </c>
      <c r="L2387">
        <v>10023.71</v>
      </c>
      <c r="M2387" t="s">
        <v>4743</v>
      </c>
      <c r="N2387" t="s">
        <v>69</v>
      </c>
      <c r="O2387">
        <v>38.81</v>
      </c>
      <c r="P2387">
        <v>40.27</v>
      </c>
      <c r="Q2387">
        <v>38.81</v>
      </c>
      <c r="R2387">
        <v>38.67</v>
      </c>
      <c r="S2387">
        <v>93.29</v>
      </c>
      <c r="T2387">
        <v>0.65</v>
      </c>
      <c r="U2387" t="s">
        <v>24</v>
      </c>
    </row>
    <row r="2388" spans="1:21">
      <c r="A2388" t="str">
        <f>"300941"</f>
        <v>300941</v>
      </c>
      <c r="B2388" t="s">
        <v>4744</v>
      </c>
      <c r="C2388">
        <v>2.34</v>
      </c>
      <c r="D2388">
        <v>41.55</v>
      </c>
      <c r="E2388">
        <v>0.95</v>
      </c>
      <c r="F2388">
        <v>41.53</v>
      </c>
      <c r="G2388">
        <v>41.55</v>
      </c>
      <c r="H2388">
        <v>18660</v>
      </c>
      <c r="I2388">
        <v>278</v>
      </c>
      <c r="J2388">
        <v>0.05</v>
      </c>
      <c r="K2388">
        <v>5.47</v>
      </c>
      <c r="L2388">
        <v>7722.97</v>
      </c>
      <c r="M2388" t="s">
        <v>4393</v>
      </c>
      <c r="N2388" t="s">
        <v>30</v>
      </c>
      <c r="O2388">
        <v>40.8</v>
      </c>
      <c r="P2388">
        <v>41.84</v>
      </c>
      <c r="Q2388">
        <v>40.6</v>
      </c>
      <c r="R2388">
        <v>40.6</v>
      </c>
      <c r="S2388">
        <v>82.06</v>
      </c>
      <c r="T2388">
        <v>0.77</v>
      </c>
      <c r="U2388" t="s">
        <v>339</v>
      </c>
    </row>
    <row r="2389" spans="1:21">
      <c r="A2389" t="str">
        <f>"300942"</f>
        <v>300942</v>
      </c>
      <c r="B2389" t="s">
        <v>4745</v>
      </c>
      <c r="C2389">
        <v>-0.68</v>
      </c>
      <c r="D2389">
        <v>26.48</v>
      </c>
      <c r="E2389">
        <v>-0.18</v>
      </c>
      <c r="F2389">
        <v>26.48</v>
      </c>
      <c r="G2389">
        <v>26.49</v>
      </c>
      <c r="H2389">
        <v>14560</v>
      </c>
      <c r="I2389">
        <v>208</v>
      </c>
      <c r="J2389">
        <v>0.3</v>
      </c>
      <c r="K2389">
        <v>3.56</v>
      </c>
      <c r="L2389">
        <v>3827.79</v>
      </c>
      <c r="M2389" t="s">
        <v>4746</v>
      </c>
      <c r="N2389" t="s">
        <v>231</v>
      </c>
      <c r="O2389">
        <v>26.53</v>
      </c>
      <c r="P2389">
        <v>26.84</v>
      </c>
      <c r="Q2389">
        <v>26.02</v>
      </c>
      <c r="R2389">
        <v>26.66</v>
      </c>
      <c r="S2389">
        <v>40.69</v>
      </c>
      <c r="T2389">
        <v>0.99</v>
      </c>
      <c r="U2389" t="s">
        <v>24</v>
      </c>
    </row>
    <row r="2390" spans="1:21">
      <c r="A2390" t="str">
        <f>"300943"</f>
        <v>300943</v>
      </c>
      <c r="B2390" t="s">
        <v>4747</v>
      </c>
      <c r="C2390">
        <v>20.02</v>
      </c>
      <c r="D2390">
        <v>27.4</v>
      </c>
      <c r="E2390">
        <v>4.57</v>
      </c>
      <c r="F2390">
        <v>27.4</v>
      </c>
      <c r="G2390" t="s">
        <v>40</v>
      </c>
      <c r="H2390">
        <v>111526</v>
      </c>
      <c r="I2390">
        <v>163</v>
      </c>
      <c r="J2390">
        <v>0</v>
      </c>
      <c r="K2390">
        <v>36.45</v>
      </c>
      <c r="L2390">
        <v>28468.29</v>
      </c>
      <c r="M2390" t="s">
        <v>4748</v>
      </c>
      <c r="N2390" t="s">
        <v>347</v>
      </c>
      <c r="O2390">
        <v>22.34</v>
      </c>
      <c r="P2390">
        <v>27.4</v>
      </c>
      <c r="Q2390">
        <v>22.34</v>
      </c>
      <c r="R2390">
        <v>22.83</v>
      </c>
      <c r="S2390">
        <v>47.61</v>
      </c>
      <c r="T2390">
        <v>3.39</v>
      </c>
      <c r="U2390" t="s">
        <v>200</v>
      </c>
    </row>
    <row r="2391" spans="1:21">
      <c r="A2391" t="str">
        <f>"300945"</f>
        <v>300945</v>
      </c>
      <c r="B2391" t="s">
        <v>4749</v>
      </c>
      <c r="C2391">
        <v>-2.04</v>
      </c>
      <c r="D2391">
        <v>20.7</v>
      </c>
      <c r="E2391">
        <v>-0.43</v>
      </c>
      <c r="F2391">
        <v>20.7</v>
      </c>
      <c r="G2391">
        <v>20.71</v>
      </c>
      <c r="H2391">
        <v>113679</v>
      </c>
      <c r="I2391">
        <v>1506</v>
      </c>
      <c r="J2391">
        <v>-0.23</v>
      </c>
      <c r="K2391">
        <v>22.29</v>
      </c>
      <c r="L2391">
        <v>23862.25</v>
      </c>
      <c r="M2391" t="s">
        <v>4325</v>
      </c>
      <c r="N2391" t="s">
        <v>1061</v>
      </c>
      <c r="O2391">
        <v>21.08</v>
      </c>
      <c r="P2391">
        <v>21.77</v>
      </c>
      <c r="Q2391">
        <v>20.39</v>
      </c>
      <c r="R2391">
        <v>21.13</v>
      </c>
      <c r="S2391">
        <v>51.65</v>
      </c>
      <c r="T2391">
        <v>0.76</v>
      </c>
      <c r="U2391" t="s">
        <v>200</v>
      </c>
    </row>
    <row r="2392" spans="1:21">
      <c r="A2392" t="str">
        <f>"300946"</f>
        <v>300946</v>
      </c>
      <c r="B2392" t="s">
        <v>4750</v>
      </c>
      <c r="C2392">
        <v>-1.39</v>
      </c>
      <c r="D2392">
        <v>89.95</v>
      </c>
      <c r="E2392">
        <v>-1.27</v>
      </c>
      <c r="F2392">
        <v>89.95</v>
      </c>
      <c r="G2392">
        <v>89.96</v>
      </c>
      <c r="H2392">
        <v>32409</v>
      </c>
      <c r="I2392">
        <v>479</v>
      </c>
      <c r="J2392">
        <v>-0.27</v>
      </c>
      <c r="K2392">
        <v>19.44</v>
      </c>
      <c r="L2392">
        <v>29524.52</v>
      </c>
      <c r="M2392" t="s">
        <v>4751</v>
      </c>
      <c r="N2392" t="s">
        <v>347</v>
      </c>
      <c r="O2392">
        <v>92.14</v>
      </c>
      <c r="P2392">
        <v>94</v>
      </c>
      <c r="Q2392">
        <v>88.6</v>
      </c>
      <c r="R2392">
        <v>91.22</v>
      </c>
      <c r="S2392">
        <v>51.01</v>
      </c>
      <c r="T2392">
        <v>0.89</v>
      </c>
      <c r="U2392" t="s">
        <v>339</v>
      </c>
    </row>
    <row r="2393" spans="1:21">
      <c r="A2393" t="str">
        <f>"300947"</f>
        <v>300947</v>
      </c>
      <c r="B2393" t="s">
        <v>4752</v>
      </c>
      <c r="C2393">
        <v>3.2</v>
      </c>
      <c r="D2393">
        <v>33.52</v>
      </c>
      <c r="E2393">
        <v>1.04</v>
      </c>
      <c r="F2393">
        <v>33.5</v>
      </c>
      <c r="G2393">
        <v>33.52</v>
      </c>
      <c r="H2393">
        <v>10031</v>
      </c>
      <c r="I2393">
        <v>362</v>
      </c>
      <c r="J2393">
        <v>0.06</v>
      </c>
      <c r="K2393">
        <v>4.96</v>
      </c>
      <c r="L2393">
        <v>3331.68</v>
      </c>
      <c r="M2393" t="s">
        <v>4753</v>
      </c>
      <c r="N2393" t="s">
        <v>99</v>
      </c>
      <c r="O2393">
        <v>32.51</v>
      </c>
      <c r="P2393">
        <v>33.65</v>
      </c>
      <c r="Q2393">
        <v>32.48</v>
      </c>
      <c r="R2393">
        <v>32.48</v>
      </c>
      <c r="S2393">
        <v>25.48</v>
      </c>
      <c r="T2393">
        <v>1.04</v>
      </c>
      <c r="U2393" t="s">
        <v>848</v>
      </c>
    </row>
    <row r="2394" spans="1:21">
      <c r="A2394" t="str">
        <f>"300948"</f>
        <v>300948</v>
      </c>
      <c r="B2394" t="s">
        <v>4754</v>
      </c>
      <c r="C2394">
        <v>0.85</v>
      </c>
      <c r="D2394">
        <v>22.44</v>
      </c>
      <c r="E2394">
        <v>0.19</v>
      </c>
      <c r="F2394">
        <v>22.43</v>
      </c>
      <c r="G2394">
        <v>22.44</v>
      </c>
      <c r="H2394">
        <v>16055</v>
      </c>
      <c r="I2394">
        <v>287</v>
      </c>
      <c r="J2394">
        <v>0.18</v>
      </c>
      <c r="K2394">
        <v>4.59</v>
      </c>
      <c r="L2394">
        <v>3590.67</v>
      </c>
      <c r="M2394" t="s">
        <v>4755</v>
      </c>
      <c r="N2394" t="s">
        <v>33</v>
      </c>
      <c r="O2394">
        <v>22.3</v>
      </c>
      <c r="P2394">
        <v>22.61</v>
      </c>
      <c r="Q2394">
        <v>22.05</v>
      </c>
      <c r="R2394">
        <v>22.25</v>
      </c>
      <c r="S2394">
        <v>46.79</v>
      </c>
      <c r="T2394">
        <v>0.67</v>
      </c>
      <c r="U2394" t="s">
        <v>221</v>
      </c>
    </row>
    <row r="2395" spans="1:21">
      <c r="A2395" t="str">
        <f>"300949"</f>
        <v>300949</v>
      </c>
      <c r="B2395" t="s">
        <v>4756</v>
      </c>
      <c r="C2395">
        <v>-1.11</v>
      </c>
      <c r="D2395">
        <v>51.48</v>
      </c>
      <c r="E2395">
        <v>-0.58</v>
      </c>
      <c r="F2395">
        <v>51.48</v>
      </c>
      <c r="G2395">
        <v>51.49</v>
      </c>
      <c r="H2395">
        <v>14184</v>
      </c>
      <c r="I2395">
        <v>215</v>
      </c>
      <c r="J2395">
        <v>-0.03</v>
      </c>
      <c r="K2395">
        <v>9.46</v>
      </c>
      <c r="L2395">
        <v>7384.84</v>
      </c>
      <c r="M2395" t="s">
        <v>4757</v>
      </c>
      <c r="N2395" t="s">
        <v>50</v>
      </c>
      <c r="O2395">
        <v>51.33</v>
      </c>
      <c r="P2395">
        <v>53.31</v>
      </c>
      <c r="Q2395">
        <v>51.33</v>
      </c>
      <c r="R2395">
        <v>52.06</v>
      </c>
      <c r="S2395">
        <v>46.6</v>
      </c>
      <c r="T2395">
        <v>0.39</v>
      </c>
      <c r="U2395" t="s">
        <v>24</v>
      </c>
    </row>
    <row r="2396" spans="1:21">
      <c r="A2396" t="str">
        <f>"300950"</f>
        <v>300950</v>
      </c>
      <c r="B2396" t="s">
        <v>4758</v>
      </c>
      <c r="C2396">
        <v>3.23</v>
      </c>
      <c r="D2396">
        <v>39.31</v>
      </c>
      <c r="E2396">
        <v>1.23</v>
      </c>
      <c r="F2396">
        <v>39.3</v>
      </c>
      <c r="G2396">
        <v>39.31</v>
      </c>
      <c r="H2396">
        <v>32298</v>
      </c>
      <c r="I2396">
        <v>475</v>
      </c>
      <c r="J2396">
        <v>0.03</v>
      </c>
      <c r="K2396">
        <v>12.92</v>
      </c>
      <c r="L2396">
        <v>12547.17</v>
      </c>
      <c r="M2396" t="s">
        <v>4759</v>
      </c>
      <c r="N2396" t="s">
        <v>324</v>
      </c>
      <c r="O2396">
        <v>38</v>
      </c>
      <c r="P2396">
        <v>39.54</v>
      </c>
      <c r="Q2396">
        <v>37.73</v>
      </c>
      <c r="R2396">
        <v>38.08</v>
      </c>
      <c r="S2396">
        <v>119.33</v>
      </c>
      <c r="T2396">
        <v>1.56</v>
      </c>
      <c r="U2396" t="s">
        <v>221</v>
      </c>
    </row>
    <row r="2397" spans="1:21">
      <c r="A2397" t="str">
        <f>"300951"</f>
        <v>300951</v>
      </c>
      <c r="B2397" t="s">
        <v>4760</v>
      </c>
      <c r="C2397">
        <v>0.72</v>
      </c>
      <c r="D2397">
        <v>91.5</v>
      </c>
      <c r="E2397">
        <v>0.65</v>
      </c>
      <c r="F2397">
        <v>91.5</v>
      </c>
      <c r="G2397">
        <v>91.59</v>
      </c>
      <c r="H2397">
        <v>10610</v>
      </c>
      <c r="I2397">
        <v>171</v>
      </c>
      <c r="J2397">
        <v>0.4</v>
      </c>
      <c r="K2397">
        <v>5.3</v>
      </c>
      <c r="L2397">
        <v>9691.28</v>
      </c>
      <c r="M2397" t="s">
        <v>4761</v>
      </c>
      <c r="N2397" t="s">
        <v>69</v>
      </c>
      <c r="O2397">
        <v>90.86</v>
      </c>
      <c r="P2397">
        <v>92.33</v>
      </c>
      <c r="Q2397">
        <v>90.16</v>
      </c>
      <c r="R2397">
        <v>90.85</v>
      </c>
      <c r="S2397">
        <v>30.38</v>
      </c>
      <c r="T2397">
        <v>0.61</v>
      </c>
      <c r="U2397" t="s">
        <v>24</v>
      </c>
    </row>
    <row r="2398" spans="1:21">
      <c r="A2398" t="str">
        <f>"300952"</f>
        <v>300952</v>
      </c>
      <c r="B2398" t="s">
        <v>4762</v>
      </c>
      <c r="C2398">
        <v>1.27</v>
      </c>
      <c r="D2398">
        <v>23.16</v>
      </c>
      <c r="E2398">
        <v>0.29</v>
      </c>
      <c r="F2398">
        <v>23.16</v>
      </c>
      <c r="G2398">
        <v>23.19</v>
      </c>
      <c r="H2398">
        <v>8029</v>
      </c>
      <c r="I2398">
        <v>82</v>
      </c>
      <c r="J2398">
        <v>0.04</v>
      </c>
      <c r="K2398">
        <v>2.22</v>
      </c>
      <c r="L2398">
        <v>1854.46</v>
      </c>
      <c r="M2398" t="s">
        <v>4763</v>
      </c>
      <c r="N2398" t="s">
        <v>664</v>
      </c>
      <c r="O2398">
        <v>22.95</v>
      </c>
      <c r="P2398">
        <v>23.3</v>
      </c>
      <c r="Q2398">
        <v>22.79</v>
      </c>
      <c r="R2398">
        <v>22.87</v>
      </c>
      <c r="S2398">
        <v>35.25</v>
      </c>
      <c r="T2398">
        <v>0.62</v>
      </c>
      <c r="U2398" t="s">
        <v>102</v>
      </c>
    </row>
    <row r="2399" spans="1:21">
      <c r="A2399" t="str">
        <f>"300953"</f>
        <v>300953</v>
      </c>
      <c r="B2399" t="s">
        <v>4764</v>
      </c>
      <c r="C2399">
        <v>1.5</v>
      </c>
      <c r="D2399">
        <v>155.24</v>
      </c>
      <c r="E2399">
        <v>2.29</v>
      </c>
      <c r="F2399">
        <v>155.01</v>
      </c>
      <c r="G2399">
        <v>155.24</v>
      </c>
      <c r="H2399">
        <v>11298</v>
      </c>
      <c r="I2399">
        <v>128</v>
      </c>
      <c r="J2399">
        <v>-0.14</v>
      </c>
      <c r="K2399">
        <v>5.39</v>
      </c>
      <c r="L2399">
        <v>17491.43</v>
      </c>
      <c r="M2399" t="s">
        <v>4765</v>
      </c>
      <c r="N2399" t="s">
        <v>347</v>
      </c>
      <c r="O2399">
        <v>155.9</v>
      </c>
      <c r="P2399">
        <v>157.36</v>
      </c>
      <c r="Q2399">
        <v>150</v>
      </c>
      <c r="R2399">
        <v>152.95</v>
      </c>
      <c r="S2399">
        <v>92.15</v>
      </c>
      <c r="T2399">
        <v>0.63</v>
      </c>
      <c r="U2399" t="s">
        <v>200</v>
      </c>
    </row>
    <row r="2400" spans="1:21">
      <c r="A2400" t="str">
        <f>"300955"</f>
        <v>300955</v>
      </c>
      <c r="B2400" t="s">
        <v>4766</v>
      </c>
      <c r="C2400">
        <v>0.61</v>
      </c>
      <c r="D2400">
        <v>34.36</v>
      </c>
      <c r="E2400">
        <v>0.21</v>
      </c>
      <c r="F2400">
        <v>34.36</v>
      </c>
      <c r="G2400">
        <v>34.4</v>
      </c>
      <c r="H2400">
        <v>16625</v>
      </c>
      <c r="I2400">
        <v>557</v>
      </c>
      <c r="J2400">
        <v>-0.4</v>
      </c>
      <c r="K2400">
        <v>6.6</v>
      </c>
      <c r="L2400">
        <v>5708.8</v>
      </c>
      <c r="M2400" t="s">
        <v>4767</v>
      </c>
      <c r="N2400" t="s">
        <v>332</v>
      </c>
      <c r="O2400">
        <v>34.09</v>
      </c>
      <c r="P2400">
        <v>35.33</v>
      </c>
      <c r="Q2400">
        <v>33.51</v>
      </c>
      <c r="R2400">
        <v>34.15</v>
      </c>
      <c r="S2400">
        <v>40.3</v>
      </c>
      <c r="T2400">
        <v>1.12</v>
      </c>
      <c r="U2400" t="s">
        <v>339</v>
      </c>
    </row>
    <row r="2401" spans="1:21">
      <c r="A2401" t="str">
        <f>"300956"</f>
        <v>300956</v>
      </c>
      <c r="B2401" t="s">
        <v>4768</v>
      </c>
      <c r="C2401">
        <v>2.33</v>
      </c>
      <c r="D2401">
        <v>24.55</v>
      </c>
      <c r="E2401">
        <v>0.56</v>
      </c>
      <c r="F2401">
        <v>24.54</v>
      </c>
      <c r="G2401">
        <v>24.55</v>
      </c>
      <c r="H2401">
        <v>32851</v>
      </c>
      <c r="I2401">
        <v>638</v>
      </c>
      <c r="J2401">
        <v>-0.11</v>
      </c>
      <c r="K2401">
        <v>9.95</v>
      </c>
      <c r="L2401">
        <v>8008.36</v>
      </c>
      <c r="M2401" t="s">
        <v>4769</v>
      </c>
      <c r="N2401" t="s">
        <v>72</v>
      </c>
      <c r="O2401">
        <v>24.61</v>
      </c>
      <c r="P2401">
        <v>24.74</v>
      </c>
      <c r="Q2401">
        <v>23.7</v>
      </c>
      <c r="R2401">
        <v>23.99</v>
      </c>
      <c r="S2401">
        <v>44.93</v>
      </c>
      <c r="T2401">
        <v>0.72</v>
      </c>
      <c r="U2401" t="s">
        <v>193</v>
      </c>
    </row>
    <row r="2402" spans="1:21">
      <c r="A2402" t="str">
        <f>"300957"</f>
        <v>300957</v>
      </c>
      <c r="B2402" t="s">
        <v>4770</v>
      </c>
      <c r="C2402">
        <v>-0.29</v>
      </c>
      <c r="D2402">
        <v>209.39</v>
      </c>
      <c r="E2402">
        <v>-0.61</v>
      </c>
      <c r="F2402">
        <v>209.18</v>
      </c>
      <c r="G2402">
        <v>209.39</v>
      </c>
      <c r="H2402">
        <v>8674</v>
      </c>
      <c r="I2402">
        <v>100</v>
      </c>
      <c r="J2402">
        <v>0.19</v>
      </c>
      <c r="K2402">
        <v>1.42</v>
      </c>
      <c r="L2402">
        <v>18146.37</v>
      </c>
      <c r="M2402" t="s">
        <v>4771</v>
      </c>
      <c r="N2402" t="s">
        <v>332</v>
      </c>
      <c r="O2402">
        <v>209</v>
      </c>
      <c r="P2402">
        <v>212.1</v>
      </c>
      <c r="Q2402">
        <v>207.02</v>
      </c>
      <c r="R2402">
        <v>210</v>
      </c>
      <c r="S2402">
        <v>187.26</v>
      </c>
      <c r="T2402">
        <v>0.67</v>
      </c>
      <c r="U2402" t="s">
        <v>363</v>
      </c>
    </row>
    <row r="2403" spans="1:21">
      <c r="A2403" t="str">
        <f>"300958"</f>
        <v>300958</v>
      </c>
      <c r="B2403" t="s">
        <v>4772</v>
      </c>
      <c r="C2403">
        <v>-0.61</v>
      </c>
      <c r="D2403">
        <v>27.91</v>
      </c>
      <c r="E2403">
        <v>-0.17</v>
      </c>
      <c r="F2403">
        <v>27.9</v>
      </c>
      <c r="G2403">
        <v>27.91</v>
      </c>
      <c r="H2403">
        <v>18162</v>
      </c>
      <c r="I2403">
        <v>242</v>
      </c>
      <c r="J2403">
        <v>0.11</v>
      </c>
      <c r="K2403">
        <v>5.66</v>
      </c>
      <c r="L2403">
        <v>5083.05</v>
      </c>
      <c r="M2403" t="s">
        <v>4773</v>
      </c>
      <c r="N2403" t="s">
        <v>33</v>
      </c>
      <c r="O2403">
        <v>27.88</v>
      </c>
      <c r="P2403">
        <v>28.4</v>
      </c>
      <c r="Q2403">
        <v>27.61</v>
      </c>
      <c r="R2403">
        <v>28.08</v>
      </c>
      <c r="S2403">
        <v>54.04</v>
      </c>
      <c r="T2403">
        <v>0.76</v>
      </c>
      <c r="U2403" t="s">
        <v>44</v>
      </c>
    </row>
    <row r="2404" spans="1:21">
      <c r="A2404" t="str">
        <f>"300959"</f>
        <v>300959</v>
      </c>
      <c r="B2404" t="s">
        <v>4774</v>
      </c>
      <c r="C2404">
        <v>1.11</v>
      </c>
      <c r="D2404">
        <v>49.25</v>
      </c>
      <c r="E2404">
        <v>0.54</v>
      </c>
      <c r="F2404">
        <v>49.22</v>
      </c>
      <c r="G2404">
        <v>49.25</v>
      </c>
      <c r="H2404">
        <v>4926</v>
      </c>
      <c r="I2404">
        <v>107</v>
      </c>
      <c r="J2404">
        <v>-0.07</v>
      </c>
      <c r="K2404">
        <v>2.46</v>
      </c>
      <c r="L2404">
        <v>2423.49</v>
      </c>
      <c r="M2404" t="s">
        <v>4775</v>
      </c>
      <c r="N2404" t="s">
        <v>1279</v>
      </c>
      <c r="O2404">
        <v>48.84</v>
      </c>
      <c r="P2404">
        <v>49.57</v>
      </c>
      <c r="Q2404">
        <v>48.84</v>
      </c>
      <c r="R2404">
        <v>48.71</v>
      </c>
      <c r="S2404">
        <v>44.53</v>
      </c>
      <c r="T2404">
        <v>0.43</v>
      </c>
      <c r="U2404" t="s">
        <v>102</v>
      </c>
    </row>
    <row r="2405" spans="1:21">
      <c r="A2405" t="str">
        <f>"300960"</f>
        <v>300960</v>
      </c>
      <c r="B2405" t="s">
        <v>4776</v>
      </c>
      <c r="C2405">
        <v>-1.2</v>
      </c>
      <c r="D2405">
        <v>25.58</v>
      </c>
      <c r="E2405">
        <v>-0.31</v>
      </c>
      <c r="F2405">
        <v>25.58</v>
      </c>
      <c r="G2405">
        <v>25.59</v>
      </c>
      <c r="H2405">
        <v>32137</v>
      </c>
      <c r="I2405">
        <v>292</v>
      </c>
      <c r="J2405">
        <v>-0.07</v>
      </c>
      <c r="K2405">
        <v>12.55</v>
      </c>
      <c r="L2405">
        <v>8318.66</v>
      </c>
      <c r="M2405" t="s">
        <v>1997</v>
      </c>
      <c r="N2405" t="s">
        <v>43</v>
      </c>
      <c r="O2405">
        <v>26</v>
      </c>
      <c r="P2405">
        <v>26.68</v>
      </c>
      <c r="Q2405">
        <v>25.4</v>
      </c>
      <c r="R2405">
        <v>25.89</v>
      </c>
      <c r="S2405">
        <v>159.28</v>
      </c>
      <c r="T2405">
        <v>1.61</v>
      </c>
      <c r="U2405" t="s">
        <v>24</v>
      </c>
    </row>
    <row r="2406" spans="1:21">
      <c r="A2406" t="str">
        <f>"300961"</f>
        <v>300961</v>
      </c>
      <c r="B2406" t="s">
        <v>4777</v>
      </c>
      <c r="C2406">
        <v>3.23</v>
      </c>
      <c r="D2406">
        <v>22.72</v>
      </c>
      <c r="E2406">
        <v>0.71</v>
      </c>
      <c r="F2406">
        <v>22.71</v>
      </c>
      <c r="G2406">
        <v>22.72</v>
      </c>
      <c r="H2406">
        <v>46098</v>
      </c>
      <c r="I2406">
        <v>830</v>
      </c>
      <c r="J2406">
        <v>-0.12</v>
      </c>
      <c r="K2406">
        <v>10.4</v>
      </c>
      <c r="L2406">
        <v>10487.72</v>
      </c>
      <c r="M2406" t="s">
        <v>4778</v>
      </c>
      <c r="N2406" t="s">
        <v>33</v>
      </c>
      <c r="O2406">
        <v>22.33</v>
      </c>
      <c r="P2406">
        <v>23.17</v>
      </c>
      <c r="Q2406">
        <v>22.02</v>
      </c>
      <c r="R2406">
        <v>22.01</v>
      </c>
      <c r="S2406">
        <v>59.22</v>
      </c>
      <c r="T2406">
        <v>1.09</v>
      </c>
      <c r="U2406" t="s">
        <v>24</v>
      </c>
    </row>
    <row r="2407" spans="1:21">
      <c r="A2407" t="str">
        <f>"300962"</f>
        <v>300962</v>
      </c>
      <c r="B2407" t="s">
        <v>4779</v>
      </c>
      <c r="C2407">
        <v>0.9</v>
      </c>
      <c r="D2407">
        <v>20.13</v>
      </c>
      <c r="E2407">
        <v>0.18</v>
      </c>
      <c r="F2407">
        <v>20.13</v>
      </c>
      <c r="G2407">
        <v>20.14</v>
      </c>
      <c r="H2407">
        <v>26849</v>
      </c>
      <c r="I2407">
        <v>406</v>
      </c>
      <c r="J2407">
        <v>0</v>
      </c>
      <c r="K2407">
        <v>4.07</v>
      </c>
      <c r="L2407">
        <v>5394.83</v>
      </c>
      <c r="M2407" t="s">
        <v>4780</v>
      </c>
      <c r="N2407" t="s">
        <v>99</v>
      </c>
      <c r="O2407">
        <v>19.97</v>
      </c>
      <c r="P2407">
        <v>20.29</v>
      </c>
      <c r="Q2407">
        <v>19.8</v>
      </c>
      <c r="R2407">
        <v>19.95</v>
      </c>
      <c r="S2407">
        <v>48.98</v>
      </c>
      <c r="T2407">
        <v>0.73</v>
      </c>
      <c r="U2407" t="s">
        <v>24</v>
      </c>
    </row>
    <row r="2408" spans="1:21">
      <c r="A2408" t="str">
        <f>"300963"</f>
        <v>300963</v>
      </c>
      <c r="B2408" t="s">
        <v>4781</v>
      </c>
      <c r="C2408">
        <v>0.27</v>
      </c>
      <c r="D2408">
        <v>26.07</v>
      </c>
      <c r="E2408">
        <v>0.07</v>
      </c>
      <c r="F2408">
        <v>26.05</v>
      </c>
      <c r="G2408">
        <v>26.07</v>
      </c>
      <c r="H2408">
        <v>14251</v>
      </c>
      <c r="I2408">
        <v>132</v>
      </c>
      <c r="J2408">
        <v>-0.07</v>
      </c>
      <c r="K2408">
        <v>4.75</v>
      </c>
      <c r="L2408">
        <v>3710.23</v>
      </c>
      <c r="M2408" t="s">
        <v>2362</v>
      </c>
      <c r="N2408" t="s">
        <v>523</v>
      </c>
      <c r="O2408">
        <v>26.5</v>
      </c>
      <c r="P2408">
        <v>26.5</v>
      </c>
      <c r="Q2408">
        <v>25.77</v>
      </c>
      <c r="R2408">
        <v>26</v>
      </c>
      <c r="S2408">
        <v>76.48</v>
      </c>
      <c r="T2408">
        <v>0.96</v>
      </c>
      <c r="U2408" t="s">
        <v>848</v>
      </c>
    </row>
    <row r="2409" spans="1:21">
      <c r="A2409" t="str">
        <f>"300964"</f>
        <v>300964</v>
      </c>
      <c r="B2409" t="s">
        <v>4782</v>
      </c>
      <c r="C2409">
        <v>0.22</v>
      </c>
      <c r="D2409">
        <v>45.54</v>
      </c>
      <c r="E2409">
        <v>0.1</v>
      </c>
      <c r="F2409">
        <v>45.53</v>
      </c>
      <c r="G2409">
        <v>45.54</v>
      </c>
      <c r="H2409">
        <v>16527</v>
      </c>
      <c r="I2409">
        <v>186</v>
      </c>
      <c r="J2409">
        <v>0.13</v>
      </c>
      <c r="K2409">
        <v>8.55</v>
      </c>
      <c r="L2409">
        <v>7565.27</v>
      </c>
      <c r="M2409" t="s">
        <v>4783</v>
      </c>
      <c r="N2409" t="s">
        <v>69</v>
      </c>
      <c r="O2409">
        <v>45.98</v>
      </c>
      <c r="P2409">
        <v>46.57</v>
      </c>
      <c r="Q2409">
        <v>44.79</v>
      </c>
      <c r="R2409">
        <v>45.44</v>
      </c>
      <c r="S2409">
        <v>47.54</v>
      </c>
      <c r="T2409">
        <v>0.57</v>
      </c>
      <c r="U2409" t="s">
        <v>102</v>
      </c>
    </row>
    <row r="2410" spans="1:21">
      <c r="A2410" t="str">
        <f>"300965"</f>
        <v>300965</v>
      </c>
      <c r="B2410" t="s">
        <v>4784</v>
      </c>
      <c r="C2410">
        <v>-0.73</v>
      </c>
      <c r="D2410">
        <v>70.33</v>
      </c>
      <c r="E2410">
        <v>-0.52</v>
      </c>
      <c r="F2410">
        <v>70.33</v>
      </c>
      <c r="G2410">
        <v>70.38</v>
      </c>
      <c r="H2410">
        <v>5589</v>
      </c>
      <c r="I2410">
        <v>64</v>
      </c>
      <c r="J2410">
        <v>0.11</v>
      </c>
      <c r="K2410">
        <v>3.73</v>
      </c>
      <c r="L2410">
        <v>3936.73</v>
      </c>
      <c r="M2410" t="s">
        <v>2941</v>
      </c>
      <c r="N2410" t="s">
        <v>611</v>
      </c>
      <c r="O2410">
        <v>70.8</v>
      </c>
      <c r="P2410">
        <v>71.28</v>
      </c>
      <c r="Q2410">
        <v>70.03</v>
      </c>
      <c r="R2410">
        <v>70.85</v>
      </c>
      <c r="S2410">
        <v>55.08</v>
      </c>
      <c r="T2410">
        <v>0.68</v>
      </c>
      <c r="U2410" t="s">
        <v>44</v>
      </c>
    </row>
    <row r="2411" spans="1:21">
      <c r="A2411" t="str">
        <f>"300966"</f>
        <v>300966</v>
      </c>
      <c r="B2411" t="s">
        <v>4785</v>
      </c>
      <c r="C2411">
        <v>1.66</v>
      </c>
      <c r="D2411">
        <v>42.28</v>
      </c>
      <c r="E2411">
        <v>0.69</v>
      </c>
      <c r="F2411">
        <v>42.28</v>
      </c>
      <c r="G2411">
        <v>42.29</v>
      </c>
      <c r="H2411">
        <v>30489</v>
      </c>
      <c r="I2411">
        <v>647</v>
      </c>
      <c r="J2411">
        <v>0.19</v>
      </c>
      <c r="K2411">
        <v>10.51</v>
      </c>
      <c r="L2411">
        <v>12776.09</v>
      </c>
      <c r="M2411" t="s">
        <v>4786</v>
      </c>
      <c r="N2411" t="s">
        <v>192</v>
      </c>
      <c r="O2411">
        <v>41.3</v>
      </c>
      <c r="P2411">
        <v>42.68</v>
      </c>
      <c r="Q2411">
        <v>40.88</v>
      </c>
      <c r="R2411">
        <v>41.59</v>
      </c>
      <c r="S2411">
        <v>67.61</v>
      </c>
      <c r="T2411">
        <v>0.44</v>
      </c>
      <c r="U2411" t="s">
        <v>267</v>
      </c>
    </row>
    <row r="2412" spans="1:21">
      <c r="A2412" t="str">
        <f>"300967"</f>
        <v>300967</v>
      </c>
      <c r="B2412" t="s">
        <v>4787</v>
      </c>
      <c r="C2412">
        <v>-1.45</v>
      </c>
      <c r="D2412">
        <v>25.87</v>
      </c>
      <c r="E2412">
        <v>-0.38</v>
      </c>
      <c r="F2412">
        <v>25.87</v>
      </c>
      <c r="G2412">
        <v>25.88</v>
      </c>
      <c r="H2412">
        <v>95654</v>
      </c>
      <c r="I2412">
        <v>1351</v>
      </c>
      <c r="J2412">
        <v>-0.07</v>
      </c>
      <c r="K2412">
        <v>20.35</v>
      </c>
      <c r="L2412">
        <v>24788.64</v>
      </c>
      <c r="M2412" t="s">
        <v>4788</v>
      </c>
      <c r="N2412" t="s">
        <v>147</v>
      </c>
      <c r="O2412">
        <v>26.01</v>
      </c>
      <c r="P2412">
        <v>26.68</v>
      </c>
      <c r="Q2412">
        <v>25.49</v>
      </c>
      <c r="R2412">
        <v>26.25</v>
      </c>
      <c r="S2412">
        <v>47.21</v>
      </c>
      <c r="T2412">
        <v>0.73</v>
      </c>
      <c r="U2412" t="s">
        <v>401</v>
      </c>
    </row>
    <row r="2413" spans="1:21">
      <c r="A2413" t="str">
        <f>"300968"</f>
        <v>300968</v>
      </c>
      <c r="B2413" t="s">
        <v>4789</v>
      </c>
      <c r="C2413">
        <v>0.87</v>
      </c>
      <c r="D2413">
        <v>13.84</v>
      </c>
      <c r="E2413">
        <v>0.12</v>
      </c>
      <c r="F2413">
        <v>13.84</v>
      </c>
      <c r="G2413">
        <v>13.85</v>
      </c>
      <c r="H2413">
        <v>58100</v>
      </c>
      <c r="I2413">
        <v>1106</v>
      </c>
      <c r="J2413">
        <v>-0.21</v>
      </c>
      <c r="K2413">
        <v>6.24</v>
      </c>
      <c r="L2413">
        <v>8066.71</v>
      </c>
      <c r="M2413" t="s">
        <v>4790</v>
      </c>
      <c r="N2413" t="s">
        <v>69</v>
      </c>
      <c r="O2413">
        <v>13.72</v>
      </c>
      <c r="P2413">
        <v>14.1</v>
      </c>
      <c r="Q2413">
        <v>13.63</v>
      </c>
      <c r="R2413">
        <v>13.72</v>
      </c>
      <c r="S2413">
        <v>71.18</v>
      </c>
      <c r="T2413">
        <v>0.56</v>
      </c>
      <c r="U2413" t="s">
        <v>183</v>
      </c>
    </row>
    <row r="2414" spans="1:21">
      <c r="A2414" t="str">
        <f>"300969"</f>
        <v>300969</v>
      </c>
      <c r="B2414" t="s">
        <v>4791</v>
      </c>
      <c r="C2414">
        <v>0.22</v>
      </c>
      <c r="D2414">
        <v>131.29</v>
      </c>
      <c r="E2414">
        <v>0.29</v>
      </c>
      <c r="F2414">
        <v>131.28</v>
      </c>
      <c r="G2414">
        <v>131.29</v>
      </c>
      <c r="H2414">
        <v>21037</v>
      </c>
      <c r="I2414">
        <v>215</v>
      </c>
      <c r="J2414">
        <v>0.06</v>
      </c>
      <c r="K2414">
        <v>10.52</v>
      </c>
      <c r="L2414">
        <v>27383.89</v>
      </c>
      <c r="M2414" t="s">
        <v>4792</v>
      </c>
      <c r="N2414" t="s">
        <v>91</v>
      </c>
      <c r="O2414">
        <v>130.45</v>
      </c>
      <c r="P2414">
        <v>133.64</v>
      </c>
      <c r="Q2414">
        <v>126.76</v>
      </c>
      <c r="R2414">
        <v>131</v>
      </c>
      <c r="S2414">
        <v>87.1</v>
      </c>
      <c r="T2414">
        <v>0.75</v>
      </c>
      <c r="U2414" t="s">
        <v>200</v>
      </c>
    </row>
    <row r="2415" spans="1:21">
      <c r="A2415" t="str">
        <f>"300970"</f>
        <v>300970</v>
      </c>
      <c r="B2415" t="s">
        <v>4793</v>
      </c>
      <c r="C2415">
        <v>0.04</v>
      </c>
      <c r="D2415">
        <v>28.19</v>
      </c>
      <c r="E2415">
        <v>0.01</v>
      </c>
      <c r="F2415">
        <v>28.19</v>
      </c>
      <c r="G2415">
        <v>28.2</v>
      </c>
      <c r="H2415">
        <v>26773</v>
      </c>
      <c r="I2415">
        <v>1166</v>
      </c>
      <c r="J2415">
        <v>0.39</v>
      </c>
      <c r="K2415">
        <v>9.18</v>
      </c>
      <c r="L2415">
        <v>7458.48</v>
      </c>
      <c r="M2415" t="s">
        <v>4794</v>
      </c>
      <c r="N2415" t="s">
        <v>639</v>
      </c>
      <c r="O2415">
        <v>28.47</v>
      </c>
      <c r="P2415">
        <v>28.57</v>
      </c>
      <c r="Q2415">
        <v>27.31</v>
      </c>
      <c r="R2415">
        <v>28.18</v>
      </c>
      <c r="S2415" t="s">
        <v>40</v>
      </c>
      <c r="T2415">
        <v>0.55</v>
      </c>
      <c r="U2415" t="s">
        <v>102</v>
      </c>
    </row>
    <row r="2416" spans="1:21">
      <c r="A2416" t="str">
        <f>"300971"</f>
        <v>300971</v>
      </c>
      <c r="B2416" t="s">
        <v>4795</v>
      </c>
      <c r="C2416">
        <v>-0.21</v>
      </c>
      <c r="D2416">
        <v>42.1</v>
      </c>
      <c r="E2416">
        <v>-0.09</v>
      </c>
      <c r="F2416">
        <v>42.1</v>
      </c>
      <c r="G2416">
        <v>42.11</v>
      </c>
      <c r="H2416">
        <v>16998</v>
      </c>
      <c r="I2416">
        <v>299</v>
      </c>
      <c r="J2416">
        <v>0.14</v>
      </c>
      <c r="K2416">
        <v>8.09</v>
      </c>
      <c r="L2416">
        <v>7219.39</v>
      </c>
      <c r="M2416" t="s">
        <v>4796</v>
      </c>
      <c r="N2416" t="s">
        <v>347</v>
      </c>
      <c r="O2416">
        <v>41.8</v>
      </c>
      <c r="P2416">
        <v>43.47</v>
      </c>
      <c r="Q2416">
        <v>41.62</v>
      </c>
      <c r="R2416">
        <v>42.19</v>
      </c>
      <c r="S2416">
        <v>36.71</v>
      </c>
      <c r="T2416">
        <v>1.01</v>
      </c>
      <c r="U2416" t="s">
        <v>267</v>
      </c>
    </row>
    <row r="2417" spans="1:21">
      <c r="A2417" t="str">
        <f>"300972"</f>
        <v>300972</v>
      </c>
      <c r="B2417" t="s">
        <v>4797</v>
      </c>
      <c r="C2417">
        <v>-1.51</v>
      </c>
      <c r="D2417">
        <v>15.62</v>
      </c>
      <c r="E2417">
        <v>-0.24</v>
      </c>
      <c r="F2417">
        <v>15.62</v>
      </c>
      <c r="G2417">
        <v>15.64</v>
      </c>
      <c r="H2417">
        <v>22549</v>
      </c>
      <c r="I2417">
        <v>270</v>
      </c>
      <c r="J2417">
        <v>0.26</v>
      </c>
      <c r="K2417">
        <v>5.88</v>
      </c>
      <c r="L2417">
        <v>3532.02</v>
      </c>
      <c r="M2417" t="s">
        <v>4798</v>
      </c>
      <c r="N2417" t="s">
        <v>639</v>
      </c>
      <c r="O2417">
        <v>15.86</v>
      </c>
      <c r="P2417">
        <v>16</v>
      </c>
      <c r="Q2417">
        <v>15.48</v>
      </c>
      <c r="R2417">
        <v>15.86</v>
      </c>
      <c r="S2417" t="s">
        <v>40</v>
      </c>
      <c r="T2417">
        <v>0.74</v>
      </c>
      <c r="U2417" t="s">
        <v>339</v>
      </c>
    </row>
    <row r="2418" spans="1:21">
      <c r="A2418" t="str">
        <f>"300973"</f>
        <v>300973</v>
      </c>
      <c r="B2418" t="s">
        <v>4799</v>
      </c>
      <c r="C2418">
        <v>0.48</v>
      </c>
      <c r="D2418">
        <v>144.99</v>
      </c>
      <c r="E2418">
        <v>0.69</v>
      </c>
      <c r="F2418">
        <v>144.99</v>
      </c>
      <c r="G2418">
        <v>145</v>
      </c>
      <c r="H2418">
        <v>8146</v>
      </c>
      <c r="I2418">
        <v>37</v>
      </c>
      <c r="J2418">
        <v>0</v>
      </c>
      <c r="K2418">
        <v>2.14</v>
      </c>
      <c r="L2418">
        <v>11773.47</v>
      </c>
      <c r="M2418" t="s">
        <v>4800</v>
      </c>
      <c r="N2418" t="s">
        <v>299</v>
      </c>
      <c r="O2418">
        <v>144.3</v>
      </c>
      <c r="P2418">
        <v>148.6</v>
      </c>
      <c r="Q2418">
        <v>141.3</v>
      </c>
      <c r="R2418">
        <v>144.3</v>
      </c>
      <c r="S2418">
        <v>93.21</v>
      </c>
      <c r="T2418">
        <v>0.79</v>
      </c>
      <c r="U2418" t="s">
        <v>183</v>
      </c>
    </row>
    <row r="2419" spans="1:21">
      <c r="A2419" t="str">
        <f>"300975"</f>
        <v>300975</v>
      </c>
      <c r="B2419" t="s">
        <v>4801</v>
      </c>
      <c r="C2419">
        <v>0.28</v>
      </c>
      <c r="D2419">
        <v>17.99</v>
      </c>
      <c r="E2419">
        <v>0.05</v>
      </c>
      <c r="F2419">
        <v>17.99</v>
      </c>
      <c r="G2419">
        <v>18</v>
      </c>
      <c r="H2419">
        <v>30630</v>
      </c>
      <c r="I2419">
        <v>912</v>
      </c>
      <c r="J2419">
        <v>0.33</v>
      </c>
      <c r="K2419">
        <v>6.71</v>
      </c>
      <c r="L2419">
        <v>5523.03</v>
      </c>
      <c r="M2419" t="s">
        <v>4802</v>
      </c>
      <c r="N2419" t="s">
        <v>189</v>
      </c>
      <c r="O2419">
        <v>17.98</v>
      </c>
      <c r="P2419">
        <v>18.28</v>
      </c>
      <c r="Q2419">
        <v>17.8</v>
      </c>
      <c r="R2419">
        <v>17.94</v>
      </c>
      <c r="S2419">
        <v>30.25</v>
      </c>
      <c r="T2419">
        <v>0.76</v>
      </c>
      <c r="U2419" t="s">
        <v>102</v>
      </c>
    </row>
    <row r="2420" spans="1:21">
      <c r="A2420" t="str">
        <f>"300976"</f>
        <v>300976</v>
      </c>
      <c r="B2420" t="s">
        <v>4803</v>
      </c>
      <c r="C2420">
        <v>2.44</v>
      </c>
      <c r="D2420">
        <v>88.74</v>
      </c>
      <c r="E2420">
        <v>2.11</v>
      </c>
      <c r="F2420">
        <v>88.74</v>
      </c>
      <c r="G2420">
        <v>88.75</v>
      </c>
      <c r="H2420">
        <v>17119</v>
      </c>
      <c r="I2420">
        <v>261</v>
      </c>
      <c r="J2420">
        <v>0.02</v>
      </c>
      <c r="K2420">
        <v>7.29</v>
      </c>
      <c r="L2420">
        <v>15138.75</v>
      </c>
      <c r="M2420" t="s">
        <v>4804</v>
      </c>
      <c r="N2420" t="s">
        <v>69</v>
      </c>
      <c r="O2420">
        <v>86.71</v>
      </c>
      <c r="P2420">
        <v>89.59</v>
      </c>
      <c r="Q2420">
        <v>86.64</v>
      </c>
      <c r="R2420">
        <v>86.63</v>
      </c>
      <c r="S2420">
        <v>36.11</v>
      </c>
      <c r="T2420">
        <v>0.5</v>
      </c>
      <c r="U2420" t="s">
        <v>183</v>
      </c>
    </row>
    <row r="2421" spans="1:21">
      <c r="A2421" t="str">
        <f>"300977"</f>
        <v>300977</v>
      </c>
      <c r="B2421" t="s">
        <v>4805</v>
      </c>
      <c r="C2421">
        <v>1.72</v>
      </c>
      <c r="D2421">
        <v>55.55</v>
      </c>
      <c r="E2421">
        <v>0.94</v>
      </c>
      <c r="F2421">
        <v>55.53</v>
      </c>
      <c r="G2421">
        <v>55.55</v>
      </c>
      <c r="H2421">
        <v>3128</v>
      </c>
      <c r="I2421">
        <v>38</v>
      </c>
      <c r="J2421">
        <v>-0.12</v>
      </c>
      <c r="K2421">
        <v>1.86</v>
      </c>
      <c r="L2421">
        <v>1729.15</v>
      </c>
      <c r="M2421" t="s">
        <v>4806</v>
      </c>
      <c r="N2421" t="s">
        <v>50</v>
      </c>
      <c r="O2421">
        <v>54.41</v>
      </c>
      <c r="P2421">
        <v>55.75</v>
      </c>
      <c r="Q2421">
        <v>54.39</v>
      </c>
      <c r="R2421">
        <v>54.61</v>
      </c>
      <c r="S2421">
        <v>30.07</v>
      </c>
      <c r="T2421">
        <v>0.42</v>
      </c>
      <c r="U2421" t="s">
        <v>24</v>
      </c>
    </row>
    <row r="2422" spans="1:21">
      <c r="A2422" t="str">
        <f>"300978"</f>
        <v>300978</v>
      </c>
      <c r="B2422" t="s">
        <v>4807</v>
      </c>
      <c r="C2422">
        <v>3.4</v>
      </c>
      <c r="D2422">
        <v>23.44</v>
      </c>
      <c r="E2422">
        <v>0.77</v>
      </c>
      <c r="F2422">
        <v>23.44</v>
      </c>
      <c r="G2422">
        <v>23.45</v>
      </c>
      <c r="H2422">
        <v>203564</v>
      </c>
      <c r="I2422">
        <v>2707</v>
      </c>
      <c r="J2422">
        <v>-0.25</v>
      </c>
      <c r="K2422">
        <v>47.9</v>
      </c>
      <c r="L2422">
        <v>48583.25</v>
      </c>
      <c r="M2422" t="s">
        <v>4808</v>
      </c>
      <c r="N2422" t="s">
        <v>91</v>
      </c>
      <c r="O2422">
        <v>23.5</v>
      </c>
      <c r="P2422">
        <v>25.95</v>
      </c>
      <c r="Q2422">
        <v>22.24</v>
      </c>
      <c r="R2422">
        <v>22.67</v>
      </c>
      <c r="S2422">
        <v>78.21</v>
      </c>
      <c r="T2422">
        <v>1.29</v>
      </c>
      <c r="U2422" t="s">
        <v>183</v>
      </c>
    </row>
    <row r="2423" spans="1:21">
      <c r="A2423" t="str">
        <f>"300979"</f>
        <v>300979</v>
      </c>
      <c r="B2423" t="s">
        <v>4809</v>
      </c>
      <c r="C2423">
        <v>3.97</v>
      </c>
      <c r="D2423">
        <v>95</v>
      </c>
      <c r="E2423">
        <v>3.63</v>
      </c>
      <c r="F2423">
        <v>95</v>
      </c>
      <c r="G2423">
        <v>95.01</v>
      </c>
      <c r="H2423">
        <v>10509</v>
      </c>
      <c r="I2423">
        <v>139</v>
      </c>
      <c r="J2423">
        <v>-0.15</v>
      </c>
      <c r="K2423">
        <v>1.26</v>
      </c>
      <c r="L2423">
        <v>9889.16</v>
      </c>
      <c r="M2423" t="s">
        <v>4810</v>
      </c>
      <c r="N2423" t="s">
        <v>1061</v>
      </c>
      <c r="O2423">
        <v>92</v>
      </c>
      <c r="P2423">
        <v>95.36</v>
      </c>
      <c r="Q2423">
        <v>90.9</v>
      </c>
      <c r="R2423">
        <v>91.37</v>
      </c>
      <c r="S2423">
        <v>41.63</v>
      </c>
      <c r="T2423">
        <v>1.33</v>
      </c>
      <c r="U2423" t="s">
        <v>183</v>
      </c>
    </row>
    <row r="2424" spans="1:21">
      <c r="A2424" t="str">
        <f>"300980"</f>
        <v>300980</v>
      </c>
      <c r="B2424" t="s">
        <v>4811</v>
      </c>
      <c r="C2424">
        <v>3.04</v>
      </c>
      <c r="D2424">
        <v>40.73</v>
      </c>
      <c r="E2424">
        <v>1.2</v>
      </c>
      <c r="F2424">
        <v>40.72</v>
      </c>
      <c r="G2424">
        <v>40.73</v>
      </c>
      <c r="H2424">
        <v>9436</v>
      </c>
      <c r="I2424">
        <v>524</v>
      </c>
      <c r="J2424">
        <v>0.64</v>
      </c>
      <c r="K2424">
        <v>5.25</v>
      </c>
      <c r="L2424">
        <v>3785.31</v>
      </c>
      <c r="M2424" t="s">
        <v>2731</v>
      </c>
      <c r="N2424" t="s">
        <v>839</v>
      </c>
      <c r="O2424">
        <v>39.72</v>
      </c>
      <c r="P2424">
        <v>40.78</v>
      </c>
      <c r="Q2424">
        <v>38.93</v>
      </c>
      <c r="R2424">
        <v>39.53</v>
      </c>
      <c r="S2424">
        <v>31.74</v>
      </c>
      <c r="T2424">
        <v>1.06</v>
      </c>
      <c r="U2424" t="s">
        <v>267</v>
      </c>
    </row>
    <row r="2425" spans="1:21">
      <c r="A2425" t="str">
        <f>"300981"</f>
        <v>300981</v>
      </c>
      <c r="B2425" t="s">
        <v>4812</v>
      </c>
      <c r="C2425">
        <v>0.5</v>
      </c>
      <c r="D2425">
        <v>76.03</v>
      </c>
      <c r="E2425">
        <v>0.38</v>
      </c>
      <c r="F2425">
        <v>76.02</v>
      </c>
      <c r="G2425">
        <v>76.03</v>
      </c>
      <c r="H2425">
        <v>10221</v>
      </c>
      <c r="I2425">
        <v>71</v>
      </c>
      <c r="J2425">
        <v>0.04</v>
      </c>
      <c r="K2425">
        <v>2.45</v>
      </c>
      <c r="L2425">
        <v>7707.2</v>
      </c>
      <c r="M2425" t="s">
        <v>4813</v>
      </c>
      <c r="N2425" t="s">
        <v>186</v>
      </c>
      <c r="O2425">
        <v>75.64</v>
      </c>
      <c r="P2425">
        <v>76.17</v>
      </c>
      <c r="Q2425">
        <v>74.74</v>
      </c>
      <c r="R2425">
        <v>75.65</v>
      </c>
      <c r="S2425">
        <v>4.09</v>
      </c>
      <c r="T2425">
        <v>0.61</v>
      </c>
      <c r="U2425" t="s">
        <v>207</v>
      </c>
    </row>
    <row r="2426" spans="1:21">
      <c r="A2426" t="str">
        <f>"300982"</f>
        <v>300982</v>
      </c>
      <c r="B2426" t="s">
        <v>4814</v>
      </c>
      <c r="C2426">
        <v>-1.21</v>
      </c>
      <c r="D2426">
        <v>70.38</v>
      </c>
      <c r="E2426">
        <v>-0.86</v>
      </c>
      <c r="F2426">
        <v>70.38</v>
      </c>
      <c r="G2426">
        <v>70.4</v>
      </c>
      <c r="H2426">
        <v>26834</v>
      </c>
      <c r="I2426">
        <v>324</v>
      </c>
      <c r="J2426">
        <v>-0.12</v>
      </c>
      <c r="K2426">
        <v>7.65</v>
      </c>
      <c r="L2426">
        <v>18894.4</v>
      </c>
      <c r="M2426" t="s">
        <v>4815</v>
      </c>
      <c r="N2426" t="s">
        <v>50</v>
      </c>
      <c r="O2426">
        <v>71.01</v>
      </c>
      <c r="P2426">
        <v>71.5</v>
      </c>
      <c r="Q2426">
        <v>69.7</v>
      </c>
      <c r="R2426">
        <v>71.24</v>
      </c>
      <c r="S2426">
        <v>36.32</v>
      </c>
      <c r="T2426">
        <v>0.57</v>
      </c>
      <c r="U2426" t="s">
        <v>102</v>
      </c>
    </row>
    <row r="2427" spans="1:21">
      <c r="A2427" t="str">
        <f>"300983"</f>
        <v>300983</v>
      </c>
      <c r="B2427" t="s">
        <v>4816</v>
      </c>
      <c r="C2427">
        <v>0.52</v>
      </c>
      <c r="D2427">
        <v>79.27</v>
      </c>
      <c r="E2427">
        <v>0.41</v>
      </c>
      <c r="F2427">
        <v>79.27</v>
      </c>
      <c r="G2427">
        <v>79.3</v>
      </c>
      <c r="H2427">
        <v>1785</v>
      </c>
      <c r="I2427">
        <v>35</v>
      </c>
      <c r="J2427">
        <v>-0.13</v>
      </c>
      <c r="K2427">
        <v>0.89</v>
      </c>
      <c r="L2427">
        <v>1412.26</v>
      </c>
      <c r="M2427" t="s">
        <v>4817</v>
      </c>
      <c r="N2427" t="s">
        <v>50</v>
      </c>
      <c r="O2427">
        <v>79</v>
      </c>
      <c r="P2427">
        <v>79.49</v>
      </c>
      <c r="Q2427">
        <v>78.6</v>
      </c>
      <c r="R2427">
        <v>78.86</v>
      </c>
      <c r="S2427">
        <v>23.91</v>
      </c>
      <c r="T2427">
        <v>0.57</v>
      </c>
      <c r="U2427" t="s">
        <v>848</v>
      </c>
    </row>
    <row r="2428" spans="1:21">
      <c r="A2428" t="str">
        <f>"300984"</f>
        <v>300984</v>
      </c>
      <c r="B2428" t="s">
        <v>4818</v>
      </c>
      <c r="C2428">
        <v>-0.83</v>
      </c>
      <c r="D2428">
        <v>46.56</v>
      </c>
      <c r="E2428">
        <v>-0.39</v>
      </c>
      <c r="F2428">
        <v>46.56</v>
      </c>
      <c r="G2428">
        <v>46.58</v>
      </c>
      <c r="H2428">
        <v>14555</v>
      </c>
      <c r="I2428">
        <v>296</v>
      </c>
      <c r="J2428">
        <v>0.34</v>
      </c>
      <c r="K2428">
        <v>12.13</v>
      </c>
      <c r="L2428">
        <v>6787.89</v>
      </c>
      <c r="M2428" t="s">
        <v>4819</v>
      </c>
      <c r="N2428" t="s">
        <v>347</v>
      </c>
      <c r="O2428">
        <v>46.77</v>
      </c>
      <c r="P2428">
        <v>47.76</v>
      </c>
      <c r="Q2428">
        <v>45.78</v>
      </c>
      <c r="R2428">
        <v>46.95</v>
      </c>
      <c r="S2428">
        <v>35.5</v>
      </c>
      <c r="T2428">
        <v>0.71</v>
      </c>
      <c r="U2428" t="s">
        <v>200</v>
      </c>
    </row>
    <row r="2429" spans="1:21">
      <c r="A2429" t="str">
        <f>"300985"</f>
        <v>300985</v>
      </c>
      <c r="B2429" t="s">
        <v>4820</v>
      </c>
      <c r="C2429">
        <v>19.99</v>
      </c>
      <c r="D2429">
        <v>40.4</v>
      </c>
      <c r="E2429">
        <v>6.73</v>
      </c>
      <c r="F2429">
        <v>40.4</v>
      </c>
      <c r="G2429" t="s">
        <v>40</v>
      </c>
      <c r="H2429">
        <v>159187</v>
      </c>
      <c r="I2429">
        <v>662</v>
      </c>
      <c r="J2429">
        <v>0</v>
      </c>
      <c r="K2429">
        <v>47.76</v>
      </c>
      <c r="L2429">
        <v>57594.79</v>
      </c>
      <c r="M2429" t="s">
        <v>4821</v>
      </c>
      <c r="N2429" t="s">
        <v>91</v>
      </c>
      <c r="O2429">
        <v>32</v>
      </c>
      <c r="P2429">
        <v>40.4</v>
      </c>
      <c r="Q2429">
        <v>31.72</v>
      </c>
      <c r="R2429">
        <v>33.67</v>
      </c>
      <c r="S2429">
        <v>128.72</v>
      </c>
      <c r="T2429">
        <v>2.91</v>
      </c>
      <c r="U2429" t="s">
        <v>92</v>
      </c>
    </row>
    <row r="2430" spans="1:21">
      <c r="A2430" t="str">
        <f>"300986"</f>
        <v>300986</v>
      </c>
      <c r="B2430" t="s">
        <v>4822</v>
      </c>
      <c r="C2430">
        <v>-0.55</v>
      </c>
      <c r="D2430">
        <v>61.52</v>
      </c>
      <c r="E2430">
        <v>-0.34</v>
      </c>
      <c r="F2430">
        <v>61.52</v>
      </c>
      <c r="G2430">
        <v>61.55</v>
      </c>
      <c r="H2430">
        <v>10697</v>
      </c>
      <c r="I2430">
        <v>162</v>
      </c>
      <c r="J2430">
        <v>-0.22</v>
      </c>
      <c r="K2430">
        <v>3.65</v>
      </c>
      <c r="L2430">
        <v>6571.32</v>
      </c>
      <c r="M2430" t="s">
        <v>4437</v>
      </c>
      <c r="N2430" t="s">
        <v>494</v>
      </c>
      <c r="O2430">
        <v>61.85</v>
      </c>
      <c r="P2430">
        <v>62.98</v>
      </c>
      <c r="Q2430">
        <v>60.06</v>
      </c>
      <c r="R2430">
        <v>61.86</v>
      </c>
      <c r="S2430">
        <v>51.69</v>
      </c>
      <c r="T2430">
        <v>0.64</v>
      </c>
      <c r="U2430" t="s">
        <v>235</v>
      </c>
    </row>
    <row r="2431" spans="1:21">
      <c r="A2431" t="str">
        <f>"300987"</f>
        <v>300987</v>
      </c>
      <c r="B2431" t="s">
        <v>4823</v>
      </c>
      <c r="C2431">
        <v>-4.19</v>
      </c>
      <c r="D2431">
        <v>35.45</v>
      </c>
      <c r="E2431">
        <v>-1.55</v>
      </c>
      <c r="F2431">
        <v>35.45</v>
      </c>
      <c r="G2431">
        <v>35.46</v>
      </c>
      <c r="H2431">
        <v>149077</v>
      </c>
      <c r="I2431">
        <v>1991</v>
      </c>
      <c r="J2431">
        <v>-0.13</v>
      </c>
      <c r="K2431">
        <v>49.65</v>
      </c>
      <c r="L2431">
        <v>53607.83</v>
      </c>
      <c r="M2431" t="s">
        <v>4824</v>
      </c>
      <c r="N2431" t="s">
        <v>479</v>
      </c>
      <c r="O2431">
        <v>35.17</v>
      </c>
      <c r="P2431">
        <v>37.98</v>
      </c>
      <c r="Q2431">
        <v>34.61</v>
      </c>
      <c r="R2431">
        <v>37</v>
      </c>
      <c r="S2431">
        <v>131.46</v>
      </c>
      <c r="T2431">
        <v>1.28</v>
      </c>
      <c r="U2431" t="s">
        <v>196</v>
      </c>
    </row>
    <row r="2432" spans="1:21">
      <c r="A2432" t="str">
        <f>"300988"</f>
        <v>300988</v>
      </c>
      <c r="B2432" t="s">
        <v>4825</v>
      </c>
      <c r="C2432">
        <v>7.27</v>
      </c>
      <c r="D2432">
        <v>40.12</v>
      </c>
      <c r="E2432">
        <v>2.72</v>
      </c>
      <c r="F2432">
        <v>40.11</v>
      </c>
      <c r="G2432">
        <v>40.12</v>
      </c>
      <c r="H2432">
        <v>42754</v>
      </c>
      <c r="I2432">
        <v>989</v>
      </c>
      <c r="J2432">
        <v>0.1</v>
      </c>
      <c r="K2432">
        <v>23.14</v>
      </c>
      <c r="L2432">
        <v>17054.77</v>
      </c>
      <c r="M2432" t="s">
        <v>4826</v>
      </c>
      <c r="N2432" t="s">
        <v>347</v>
      </c>
      <c r="O2432">
        <v>37.34</v>
      </c>
      <c r="P2432">
        <v>41.63</v>
      </c>
      <c r="Q2432">
        <v>37.34</v>
      </c>
      <c r="R2432">
        <v>37.4</v>
      </c>
      <c r="S2432">
        <v>40.88</v>
      </c>
      <c r="T2432">
        <v>1.59</v>
      </c>
      <c r="U2432" t="s">
        <v>360</v>
      </c>
    </row>
    <row r="2433" spans="1:21">
      <c r="A2433" t="str">
        <f>"300989"</f>
        <v>300989</v>
      </c>
      <c r="B2433" t="s">
        <v>4827</v>
      </c>
      <c r="C2433">
        <v>1.39</v>
      </c>
      <c r="D2433">
        <v>42.93</v>
      </c>
      <c r="E2433">
        <v>0.59</v>
      </c>
      <c r="F2433">
        <v>42.88</v>
      </c>
      <c r="G2433">
        <v>42.93</v>
      </c>
      <c r="H2433">
        <v>2948</v>
      </c>
      <c r="I2433">
        <v>69</v>
      </c>
      <c r="J2433">
        <v>0.09</v>
      </c>
      <c r="K2433">
        <v>1.97</v>
      </c>
      <c r="L2433">
        <v>1257.83</v>
      </c>
      <c r="M2433" t="s">
        <v>1983</v>
      </c>
      <c r="N2433" t="s">
        <v>50</v>
      </c>
      <c r="O2433">
        <v>42.39</v>
      </c>
      <c r="P2433">
        <v>43.18</v>
      </c>
      <c r="Q2433">
        <v>42.19</v>
      </c>
      <c r="R2433">
        <v>42.34</v>
      </c>
      <c r="S2433">
        <v>34.79</v>
      </c>
      <c r="T2433">
        <v>0.72</v>
      </c>
      <c r="U2433" t="s">
        <v>24</v>
      </c>
    </row>
    <row r="2434" spans="1:21">
      <c r="A2434" t="str">
        <f>"300990"</f>
        <v>300990</v>
      </c>
      <c r="B2434" t="s">
        <v>4828</v>
      </c>
      <c r="C2434">
        <v>7.21</v>
      </c>
      <c r="D2434">
        <v>133.99</v>
      </c>
      <c r="E2434">
        <v>9.01</v>
      </c>
      <c r="F2434">
        <v>133.98</v>
      </c>
      <c r="G2434">
        <v>133.99</v>
      </c>
      <c r="H2434">
        <v>17340</v>
      </c>
      <c r="I2434">
        <v>136</v>
      </c>
      <c r="J2434">
        <v>0.01</v>
      </c>
      <c r="K2434">
        <v>13.34</v>
      </c>
      <c r="L2434">
        <v>23140.01</v>
      </c>
      <c r="M2434" t="s">
        <v>4829</v>
      </c>
      <c r="N2434" t="s">
        <v>324</v>
      </c>
      <c r="O2434">
        <v>124</v>
      </c>
      <c r="P2434">
        <v>138.5</v>
      </c>
      <c r="Q2434">
        <v>121.5</v>
      </c>
      <c r="R2434">
        <v>124.98</v>
      </c>
      <c r="S2434">
        <v>55.3</v>
      </c>
      <c r="T2434">
        <v>1.29</v>
      </c>
      <c r="U2434" t="s">
        <v>207</v>
      </c>
    </row>
    <row r="2435" spans="1:21">
      <c r="A2435" t="str">
        <f>"300991"</f>
        <v>300991</v>
      </c>
      <c r="B2435" t="s">
        <v>4830</v>
      </c>
      <c r="C2435">
        <v>2.51</v>
      </c>
      <c r="D2435">
        <v>35.06</v>
      </c>
      <c r="E2435">
        <v>0.86</v>
      </c>
      <c r="F2435">
        <v>35.02</v>
      </c>
      <c r="G2435">
        <v>35.06</v>
      </c>
      <c r="H2435">
        <v>15791</v>
      </c>
      <c r="I2435">
        <v>310</v>
      </c>
      <c r="J2435">
        <v>0.09</v>
      </c>
      <c r="K2435">
        <v>7.02</v>
      </c>
      <c r="L2435">
        <v>5524.68</v>
      </c>
      <c r="M2435" t="s">
        <v>4831</v>
      </c>
      <c r="N2435" t="s">
        <v>69</v>
      </c>
      <c r="O2435">
        <v>34.04</v>
      </c>
      <c r="P2435">
        <v>35.5</v>
      </c>
      <c r="Q2435">
        <v>34.04</v>
      </c>
      <c r="R2435">
        <v>34.2</v>
      </c>
      <c r="S2435">
        <v>39.25</v>
      </c>
      <c r="T2435">
        <v>0.75</v>
      </c>
      <c r="U2435" t="s">
        <v>24</v>
      </c>
    </row>
    <row r="2436" spans="1:21">
      <c r="A2436" t="str">
        <f>"300992"</f>
        <v>300992</v>
      </c>
      <c r="B2436" t="s">
        <v>4832</v>
      </c>
      <c r="C2436">
        <v>0.83</v>
      </c>
      <c r="D2436">
        <v>25.64</v>
      </c>
      <c r="E2436">
        <v>0.21</v>
      </c>
      <c r="F2436">
        <v>25.64</v>
      </c>
      <c r="G2436">
        <v>25.66</v>
      </c>
      <c r="H2436">
        <v>12791</v>
      </c>
      <c r="I2436">
        <v>268</v>
      </c>
      <c r="J2436">
        <v>-0.07</v>
      </c>
      <c r="K2436">
        <v>5.94</v>
      </c>
      <c r="L2436">
        <v>3281.38</v>
      </c>
      <c r="M2436" t="s">
        <v>4833</v>
      </c>
      <c r="N2436" t="s">
        <v>324</v>
      </c>
      <c r="O2436">
        <v>25.43</v>
      </c>
      <c r="P2436">
        <v>25.88</v>
      </c>
      <c r="Q2436">
        <v>25.28</v>
      </c>
      <c r="R2436">
        <v>25.43</v>
      </c>
      <c r="S2436">
        <v>34.12</v>
      </c>
      <c r="T2436">
        <v>0.95</v>
      </c>
      <c r="U2436" t="s">
        <v>200</v>
      </c>
    </row>
    <row r="2437" spans="1:21">
      <c r="A2437" t="str">
        <f>"300993"</f>
        <v>300993</v>
      </c>
      <c r="B2437" t="s">
        <v>4834</v>
      </c>
      <c r="C2437">
        <v>-0.92</v>
      </c>
      <c r="D2437">
        <v>27.92</v>
      </c>
      <c r="E2437">
        <v>-0.26</v>
      </c>
      <c r="F2437">
        <v>27.92</v>
      </c>
      <c r="G2437">
        <v>27.93</v>
      </c>
      <c r="H2437">
        <v>36770</v>
      </c>
      <c r="I2437">
        <v>759</v>
      </c>
      <c r="J2437">
        <v>-0.31</v>
      </c>
      <c r="K2437">
        <v>11.78</v>
      </c>
      <c r="L2437">
        <v>10377.68</v>
      </c>
      <c r="M2437" t="s">
        <v>2186</v>
      </c>
      <c r="N2437" t="s">
        <v>910</v>
      </c>
      <c r="O2437">
        <v>28.38</v>
      </c>
      <c r="P2437">
        <v>28.68</v>
      </c>
      <c r="Q2437">
        <v>27.7</v>
      </c>
      <c r="R2437">
        <v>28.18</v>
      </c>
      <c r="S2437">
        <v>25.81</v>
      </c>
      <c r="T2437">
        <v>0.77</v>
      </c>
      <c r="U2437" t="s">
        <v>221</v>
      </c>
    </row>
    <row r="2438" spans="1:21">
      <c r="A2438" t="str">
        <f>"300994"</f>
        <v>300994</v>
      </c>
      <c r="B2438" t="s">
        <v>4835</v>
      </c>
      <c r="C2438">
        <v>10.18</v>
      </c>
      <c r="D2438">
        <v>53.48</v>
      </c>
      <c r="E2438">
        <v>4.94</v>
      </c>
      <c r="F2438">
        <v>53.47</v>
      </c>
      <c r="G2438">
        <v>53.48</v>
      </c>
      <c r="H2438">
        <v>49271</v>
      </c>
      <c r="I2438">
        <v>456</v>
      </c>
      <c r="J2438">
        <v>0.07</v>
      </c>
      <c r="K2438">
        <v>10.7</v>
      </c>
      <c r="L2438">
        <v>26683.18</v>
      </c>
      <c r="M2438" t="s">
        <v>4836</v>
      </c>
      <c r="N2438" t="s">
        <v>63</v>
      </c>
      <c r="O2438">
        <v>50.2</v>
      </c>
      <c r="P2438">
        <v>57.88</v>
      </c>
      <c r="Q2438">
        <v>50.1</v>
      </c>
      <c r="R2438">
        <v>48.54</v>
      </c>
      <c r="S2438">
        <v>52.94</v>
      </c>
      <c r="T2438">
        <v>2.16</v>
      </c>
      <c r="U2438" t="s">
        <v>200</v>
      </c>
    </row>
    <row r="2439" spans="1:21">
      <c r="A2439" t="str">
        <f>"300995"</f>
        <v>300995</v>
      </c>
      <c r="B2439" t="s">
        <v>4837</v>
      </c>
      <c r="C2439">
        <v>2.47</v>
      </c>
      <c r="D2439">
        <v>28.62</v>
      </c>
      <c r="E2439">
        <v>0.69</v>
      </c>
      <c r="F2439">
        <v>28.61</v>
      </c>
      <c r="G2439">
        <v>28.62</v>
      </c>
      <c r="H2439">
        <v>13435</v>
      </c>
      <c r="I2439">
        <v>280</v>
      </c>
      <c r="J2439">
        <v>0</v>
      </c>
      <c r="K2439">
        <v>6.73</v>
      </c>
      <c r="L2439">
        <v>3811.53</v>
      </c>
      <c r="M2439" t="s">
        <v>3688</v>
      </c>
      <c r="N2439" t="s">
        <v>839</v>
      </c>
      <c r="O2439">
        <v>28.16</v>
      </c>
      <c r="P2439">
        <v>28.89</v>
      </c>
      <c r="Q2439">
        <v>27.44</v>
      </c>
      <c r="R2439">
        <v>27.93</v>
      </c>
      <c r="S2439">
        <v>58.59</v>
      </c>
      <c r="T2439">
        <v>1.14</v>
      </c>
      <c r="U2439" t="s">
        <v>183</v>
      </c>
    </row>
    <row r="2440" spans="1:21">
      <c r="A2440" t="str">
        <f>"300996"</f>
        <v>300996</v>
      </c>
      <c r="B2440" t="s">
        <v>4838</v>
      </c>
      <c r="C2440">
        <v>4.26</v>
      </c>
      <c r="D2440">
        <v>35.77</v>
      </c>
      <c r="E2440">
        <v>1.46</v>
      </c>
      <c r="F2440">
        <v>35.77</v>
      </c>
      <c r="G2440">
        <v>35.78</v>
      </c>
      <c r="H2440">
        <v>40249</v>
      </c>
      <c r="I2440">
        <v>384</v>
      </c>
      <c r="J2440">
        <v>-0.05</v>
      </c>
      <c r="K2440">
        <v>12</v>
      </c>
      <c r="L2440">
        <v>14334.76</v>
      </c>
      <c r="M2440" t="s">
        <v>4839</v>
      </c>
      <c r="N2440" t="s">
        <v>30</v>
      </c>
      <c r="O2440">
        <v>34.66</v>
      </c>
      <c r="P2440">
        <v>36.96</v>
      </c>
      <c r="Q2440">
        <v>34.32</v>
      </c>
      <c r="R2440">
        <v>34.31</v>
      </c>
      <c r="S2440">
        <v>88.46</v>
      </c>
      <c r="T2440">
        <v>0.95</v>
      </c>
      <c r="U2440" t="s">
        <v>221</v>
      </c>
    </row>
    <row r="2441" spans="1:21">
      <c r="A2441" t="str">
        <f>"300997"</f>
        <v>300997</v>
      </c>
      <c r="B2441" t="s">
        <v>4840</v>
      </c>
      <c r="C2441">
        <v>0.12</v>
      </c>
      <c r="D2441">
        <v>17.02</v>
      </c>
      <c r="E2441">
        <v>0.02</v>
      </c>
      <c r="F2441">
        <v>17.02</v>
      </c>
      <c r="G2441">
        <v>17.03</v>
      </c>
      <c r="H2441">
        <v>57696</v>
      </c>
      <c r="I2441">
        <v>771</v>
      </c>
      <c r="J2441">
        <v>0.06</v>
      </c>
      <c r="K2441">
        <v>6.83</v>
      </c>
      <c r="L2441">
        <v>9802.85</v>
      </c>
      <c r="M2441" t="s">
        <v>4841</v>
      </c>
      <c r="N2441" t="s">
        <v>825</v>
      </c>
      <c r="O2441">
        <v>16.99</v>
      </c>
      <c r="P2441">
        <v>17.19</v>
      </c>
      <c r="Q2441">
        <v>16.82</v>
      </c>
      <c r="R2441">
        <v>17</v>
      </c>
      <c r="S2441">
        <v>46.13</v>
      </c>
      <c r="T2441">
        <v>0.54</v>
      </c>
      <c r="U2441" t="s">
        <v>183</v>
      </c>
    </row>
    <row r="2442" spans="1:21">
      <c r="A2442" t="str">
        <f>"300998"</f>
        <v>300998</v>
      </c>
      <c r="B2442" t="s">
        <v>4842</v>
      </c>
      <c r="C2442">
        <v>-2.63</v>
      </c>
      <c r="D2442">
        <v>44.42</v>
      </c>
      <c r="E2442">
        <v>-1.2</v>
      </c>
      <c r="F2442">
        <v>44.42</v>
      </c>
      <c r="G2442">
        <v>44.43</v>
      </c>
      <c r="H2442">
        <v>97493</v>
      </c>
      <c r="I2442">
        <v>2217</v>
      </c>
      <c r="J2442">
        <v>0.73</v>
      </c>
      <c r="K2442">
        <v>42.95</v>
      </c>
      <c r="L2442">
        <v>43291.67</v>
      </c>
      <c r="M2442" t="s">
        <v>4843</v>
      </c>
      <c r="N2442" t="s">
        <v>324</v>
      </c>
      <c r="O2442">
        <v>45.46</v>
      </c>
      <c r="P2442">
        <v>45.8</v>
      </c>
      <c r="Q2442">
        <v>43.21</v>
      </c>
      <c r="R2442">
        <v>45.62</v>
      </c>
      <c r="S2442">
        <v>320.59</v>
      </c>
      <c r="T2442">
        <v>0.64</v>
      </c>
      <c r="U2442" t="s">
        <v>200</v>
      </c>
    </row>
    <row r="2443" spans="1:21">
      <c r="A2443" t="str">
        <f>"300999"</f>
        <v>300999</v>
      </c>
      <c r="B2443" t="s">
        <v>4844</v>
      </c>
      <c r="C2443">
        <v>0.14</v>
      </c>
      <c r="D2443">
        <v>64.63</v>
      </c>
      <c r="E2443">
        <v>0.09</v>
      </c>
      <c r="F2443">
        <v>64.62</v>
      </c>
      <c r="G2443">
        <v>64.63</v>
      </c>
      <c r="H2443">
        <v>94542</v>
      </c>
      <c r="I2443">
        <v>1579</v>
      </c>
      <c r="J2443">
        <v>0.15</v>
      </c>
      <c r="K2443">
        <v>1.74</v>
      </c>
      <c r="L2443">
        <v>60956.47</v>
      </c>
      <c r="M2443" t="s">
        <v>4845</v>
      </c>
      <c r="N2443" t="s">
        <v>299</v>
      </c>
      <c r="O2443">
        <v>64.43</v>
      </c>
      <c r="P2443">
        <v>65</v>
      </c>
      <c r="Q2443">
        <v>64.13</v>
      </c>
      <c r="R2443">
        <v>64.54</v>
      </c>
      <c r="S2443">
        <v>71.39</v>
      </c>
      <c r="T2443">
        <v>0.55</v>
      </c>
      <c r="U2443" t="s">
        <v>848</v>
      </c>
    </row>
    <row r="2444" spans="1:21">
      <c r="A2444" t="str">
        <f>"301000"</f>
        <v>301000</v>
      </c>
      <c r="B2444" t="s">
        <v>4846</v>
      </c>
      <c r="C2444">
        <v>0.94</v>
      </c>
      <c r="D2444">
        <v>70.03</v>
      </c>
      <c r="E2444">
        <v>0.65</v>
      </c>
      <c r="F2444">
        <v>70.03</v>
      </c>
      <c r="G2444">
        <v>70.04</v>
      </c>
      <c r="H2444">
        <v>17846</v>
      </c>
      <c r="I2444">
        <v>394</v>
      </c>
      <c r="J2444">
        <v>0.01</v>
      </c>
      <c r="K2444">
        <v>13.38</v>
      </c>
      <c r="L2444">
        <v>12520.69</v>
      </c>
      <c r="M2444" t="s">
        <v>4847</v>
      </c>
      <c r="N2444" t="s">
        <v>91</v>
      </c>
      <c r="O2444">
        <v>69.38</v>
      </c>
      <c r="P2444">
        <v>71.67</v>
      </c>
      <c r="Q2444">
        <v>68.83</v>
      </c>
      <c r="R2444">
        <v>69.38</v>
      </c>
      <c r="S2444">
        <v>34.14</v>
      </c>
      <c r="T2444">
        <v>0.69</v>
      </c>
      <c r="U2444" t="s">
        <v>848</v>
      </c>
    </row>
    <row r="2445" spans="1:21">
      <c r="A2445" t="str">
        <f>"301001"</f>
        <v>301001</v>
      </c>
      <c r="B2445" t="s">
        <v>4848</v>
      </c>
      <c r="C2445">
        <v>-0.7</v>
      </c>
      <c r="D2445">
        <v>34.09</v>
      </c>
      <c r="E2445">
        <v>-0.24</v>
      </c>
      <c r="F2445">
        <v>34.09</v>
      </c>
      <c r="G2445">
        <v>34.1</v>
      </c>
      <c r="H2445">
        <v>14676</v>
      </c>
      <c r="I2445">
        <v>245</v>
      </c>
      <c r="J2445">
        <v>0.03</v>
      </c>
      <c r="K2445">
        <v>7.34</v>
      </c>
      <c r="L2445">
        <v>4999.13</v>
      </c>
      <c r="M2445" t="s">
        <v>4849</v>
      </c>
      <c r="N2445" t="s">
        <v>479</v>
      </c>
      <c r="O2445">
        <v>34.22</v>
      </c>
      <c r="P2445">
        <v>34.6</v>
      </c>
      <c r="Q2445">
        <v>33.63</v>
      </c>
      <c r="R2445">
        <v>34.33</v>
      </c>
      <c r="S2445">
        <v>51.91</v>
      </c>
      <c r="T2445">
        <v>0.54</v>
      </c>
      <c r="U2445" t="s">
        <v>848</v>
      </c>
    </row>
    <row r="2446" spans="1:21">
      <c r="A2446" t="str">
        <f>"301002"</f>
        <v>301002</v>
      </c>
      <c r="B2446" t="s">
        <v>4850</v>
      </c>
      <c r="C2446">
        <v>-2.47</v>
      </c>
      <c r="D2446">
        <v>68.67</v>
      </c>
      <c r="E2446">
        <v>-1.74</v>
      </c>
      <c r="F2446">
        <v>68.66</v>
      </c>
      <c r="G2446">
        <v>68.67</v>
      </c>
      <c r="H2446">
        <v>11606</v>
      </c>
      <c r="I2446">
        <v>161</v>
      </c>
      <c r="J2446">
        <v>-0.18</v>
      </c>
      <c r="K2446">
        <v>5.18</v>
      </c>
      <c r="L2446">
        <v>7992.11</v>
      </c>
      <c r="M2446" t="s">
        <v>3717</v>
      </c>
      <c r="N2446" t="s">
        <v>47</v>
      </c>
      <c r="O2446">
        <v>69.38</v>
      </c>
      <c r="P2446">
        <v>69.9</v>
      </c>
      <c r="Q2446">
        <v>67.76</v>
      </c>
      <c r="R2446">
        <v>70.41</v>
      </c>
      <c r="S2446">
        <v>47.39</v>
      </c>
      <c r="T2446">
        <v>0.76</v>
      </c>
      <c r="U2446" t="s">
        <v>24</v>
      </c>
    </row>
    <row r="2447" spans="1:21">
      <c r="A2447" t="str">
        <f>"301003"</f>
        <v>301003</v>
      </c>
      <c r="B2447" t="s">
        <v>4851</v>
      </c>
      <c r="C2447">
        <v>2.16</v>
      </c>
      <c r="D2447">
        <v>53.88</v>
      </c>
      <c r="E2447">
        <v>1.14</v>
      </c>
      <c r="F2447">
        <v>53.84</v>
      </c>
      <c r="G2447">
        <v>53.88</v>
      </c>
      <c r="H2447">
        <v>4260</v>
      </c>
      <c r="I2447">
        <v>41</v>
      </c>
      <c r="J2447">
        <v>0.13</v>
      </c>
      <c r="K2447">
        <v>2.92</v>
      </c>
      <c r="L2447">
        <v>2276.6</v>
      </c>
      <c r="M2447" t="s">
        <v>4852</v>
      </c>
      <c r="N2447" t="s">
        <v>839</v>
      </c>
      <c r="O2447">
        <v>52.75</v>
      </c>
      <c r="P2447">
        <v>54.37</v>
      </c>
      <c r="Q2447">
        <v>52.28</v>
      </c>
      <c r="R2447">
        <v>52.74</v>
      </c>
      <c r="S2447">
        <v>23.87</v>
      </c>
      <c r="T2447">
        <v>0.93</v>
      </c>
      <c r="U2447" t="s">
        <v>102</v>
      </c>
    </row>
    <row r="2448" spans="1:21">
      <c r="A2448" t="str">
        <f>"301004"</f>
        <v>301004</v>
      </c>
      <c r="B2448" t="s">
        <v>4853</v>
      </c>
      <c r="C2448">
        <v>2.76</v>
      </c>
      <c r="D2448">
        <v>21.58</v>
      </c>
      <c r="E2448">
        <v>0.58</v>
      </c>
      <c r="F2448">
        <v>21.58</v>
      </c>
      <c r="G2448">
        <v>21.59</v>
      </c>
      <c r="H2448">
        <v>17954</v>
      </c>
      <c r="I2448">
        <v>266</v>
      </c>
      <c r="J2448">
        <v>0.47</v>
      </c>
      <c r="K2448">
        <v>7.57</v>
      </c>
      <c r="L2448">
        <v>3859.6</v>
      </c>
      <c r="M2448" t="s">
        <v>1657</v>
      </c>
      <c r="N2448" t="s">
        <v>910</v>
      </c>
      <c r="O2448">
        <v>21.04</v>
      </c>
      <c r="P2448">
        <v>21.79</v>
      </c>
      <c r="Q2448">
        <v>20.8</v>
      </c>
      <c r="R2448">
        <v>21</v>
      </c>
      <c r="S2448">
        <v>26.3</v>
      </c>
      <c r="T2448">
        <v>0.88</v>
      </c>
      <c r="U2448" t="s">
        <v>200</v>
      </c>
    </row>
    <row r="2449" spans="1:21">
      <c r="A2449" t="str">
        <f>"301005"</f>
        <v>301005</v>
      </c>
      <c r="B2449" t="s">
        <v>4854</v>
      </c>
      <c r="C2449">
        <v>2.56</v>
      </c>
      <c r="D2449">
        <v>60.5</v>
      </c>
      <c r="E2449">
        <v>1.51</v>
      </c>
      <c r="F2449">
        <v>60.5</v>
      </c>
      <c r="G2449">
        <v>60.51</v>
      </c>
      <c r="H2449">
        <v>24070</v>
      </c>
      <c r="I2449">
        <v>155</v>
      </c>
      <c r="J2449">
        <v>-0.15</v>
      </c>
      <c r="K2449">
        <v>16.85</v>
      </c>
      <c r="L2449">
        <v>14557.47</v>
      </c>
      <c r="M2449" t="s">
        <v>816</v>
      </c>
      <c r="N2449" t="s">
        <v>91</v>
      </c>
      <c r="O2449">
        <v>58</v>
      </c>
      <c r="P2449">
        <v>62.9</v>
      </c>
      <c r="Q2449">
        <v>57.77</v>
      </c>
      <c r="R2449">
        <v>58.99</v>
      </c>
      <c r="S2449">
        <v>43.86</v>
      </c>
      <c r="T2449">
        <v>0.72</v>
      </c>
      <c r="U2449" t="s">
        <v>848</v>
      </c>
    </row>
    <row r="2450" spans="1:21">
      <c r="A2450" t="str">
        <f>"301006"</f>
        <v>301006</v>
      </c>
      <c r="B2450" t="s">
        <v>4855</v>
      </c>
      <c r="C2450">
        <v>-0.52</v>
      </c>
      <c r="D2450">
        <v>26.6</v>
      </c>
      <c r="E2450">
        <v>-0.14</v>
      </c>
      <c r="F2450">
        <v>26.6</v>
      </c>
      <c r="G2450">
        <v>26.65</v>
      </c>
      <c r="H2450">
        <v>25472</v>
      </c>
      <c r="I2450">
        <v>358</v>
      </c>
      <c r="J2450">
        <v>0</v>
      </c>
      <c r="K2450">
        <v>7.71</v>
      </c>
      <c r="L2450">
        <v>6881.96</v>
      </c>
      <c r="M2450" t="s">
        <v>4856</v>
      </c>
      <c r="N2450" t="s">
        <v>1028</v>
      </c>
      <c r="O2450">
        <v>27.3</v>
      </c>
      <c r="P2450">
        <v>27.8</v>
      </c>
      <c r="Q2450">
        <v>26.4</v>
      </c>
      <c r="R2450">
        <v>26.74</v>
      </c>
      <c r="S2450">
        <v>27.05</v>
      </c>
      <c r="T2450">
        <v>1.21</v>
      </c>
      <c r="U2450" t="s">
        <v>102</v>
      </c>
    </row>
    <row r="2451" spans="1:21">
      <c r="A2451" t="str">
        <f>"301007"</f>
        <v>301007</v>
      </c>
      <c r="B2451" t="s">
        <v>4857</v>
      </c>
      <c r="C2451">
        <v>7.83</v>
      </c>
      <c r="D2451">
        <v>25.48</v>
      </c>
      <c r="E2451">
        <v>1.85</v>
      </c>
      <c r="F2451">
        <v>25.48</v>
      </c>
      <c r="G2451">
        <v>25.49</v>
      </c>
      <c r="H2451">
        <v>165281</v>
      </c>
      <c r="I2451">
        <v>1790</v>
      </c>
      <c r="J2451">
        <v>-0.11</v>
      </c>
      <c r="K2451">
        <v>45.46</v>
      </c>
      <c r="L2451">
        <v>41311.03</v>
      </c>
      <c r="M2451" t="s">
        <v>4858</v>
      </c>
      <c r="N2451" t="s">
        <v>91</v>
      </c>
      <c r="O2451">
        <v>23.05</v>
      </c>
      <c r="P2451">
        <v>26.68</v>
      </c>
      <c r="Q2451">
        <v>23</v>
      </c>
      <c r="R2451">
        <v>23.63</v>
      </c>
      <c r="S2451">
        <v>70.42</v>
      </c>
      <c r="T2451">
        <v>1.31</v>
      </c>
      <c r="U2451" t="s">
        <v>141</v>
      </c>
    </row>
    <row r="2452" spans="1:21">
      <c r="A2452" t="str">
        <f>"301008"</f>
        <v>301008</v>
      </c>
      <c r="B2452" t="s">
        <v>4859</v>
      </c>
      <c r="C2452">
        <v>3.38</v>
      </c>
      <c r="D2452">
        <v>42.23</v>
      </c>
      <c r="E2452">
        <v>1.38</v>
      </c>
      <c r="F2452">
        <v>42.2</v>
      </c>
      <c r="G2452">
        <v>42.23</v>
      </c>
      <c r="H2452">
        <v>9840</v>
      </c>
      <c r="I2452">
        <v>62</v>
      </c>
      <c r="J2452">
        <v>0.07</v>
      </c>
      <c r="K2452">
        <v>5.9</v>
      </c>
      <c r="L2452">
        <v>4129</v>
      </c>
      <c r="M2452" t="s">
        <v>4860</v>
      </c>
      <c r="N2452" t="s">
        <v>60</v>
      </c>
      <c r="O2452">
        <v>40.85</v>
      </c>
      <c r="P2452">
        <v>42.77</v>
      </c>
      <c r="Q2452">
        <v>40.56</v>
      </c>
      <c r="R2452">
        <v>40.85</v>
      </c>
      <c r="S2452">
        <v>41.74</v>
      </c>
      <c r="T2452">
        <v>1.46</v>
      </c>
      <c r="U2452" t="s">
        <v>200</v>
      </c>
    </row>
    <row r="2453" spans="1:21">
      <c r="A2453" t="str">
        <f>"301009"</f>
        <v>301009</v>
      </c>
      <c r="B2453" t="s">
        <v>4861</v>
      </c>
      <c r="C2453">
        <v>1.05</v>
      </c>
      <c r="D2453">
        <v>19.33</v>
      </c>
      <c r="E2453">
        <v>0.2</v>
      </c>
      <c r="F2453">
        <v>19.32</v>
      </c>
      <c r="G2453">
        <v>19.33</v>
      </c>
      <c r="H2453">
        <v>15993</v>
      </c>
      <c r="I2453">
        <v>218</v>
      </c>
      <c r="J2453">
        <v>0.05</v>
      </c>
      <c r="K2453">
        <v>2.47</v>
      </c>
      <c r="L2453">
        <v>3083.06</v>
      </c>
      <c r="M2453" t="s">
        <v>4862</v>
      </c>
      <c r="N2453" t="s">
        <v>285</v>
      </c>
      <c r="O2453">
        <v>19.21</v>
      </c>
      <c r="P2453">
        <v>19.43</v>
      </c>
      <c r="Q2453">
        <v>19.05</v>
      </c>
      <c r="R2453">
        <v>19.13</v>
      </c>
      <c r="S2453">
        <v>56.75</v>
      </c>
      <c r="T2453">
        <v>0.52</v>
      </c>
      <c r="U2453" t="s">
        <v>200</v>
      </c>
    </row>
    <row r="2454" spans="1:21">
      <c r="A2454" t="str">
        <f>"301010"</f>
        <v>301010</v>
      </c>
      <c r="B2454" t="s">
        <v>4863</v>
      </c>
      <c r="C2454">
        <v>0.95</v>
      </c>
      <c r="D2454">
        <v>22.4</v>
      </c>
      <c r="E2454">
        <v>0.21</v>
      </c>
      <c r="F2454">
        <v>22.39</v>
      </c>
      <c r="G2454">
        <v>22.4</v>
      </c>
      <c r="H2454">
        <v>15750</v>
      </c>
      <c r="I2454">
        <v>247</v>
      </c>
      <c r="J2454">
        <v>0</v>
      </c>
      <c r="K2454">
        <v>6.15</v>
      </c>
      <c r="L2454">
        <v>3531.95</v>
      </c>
      <c r="M2454" t="s">
        <v>4864</v>
      </c>
      <c r="N2454" t="s">
        <v>131</v>
      </c>
      <c r="O2454">
        <v>22.2</v>
      </c>
      <c r="P2454">
        <v>22.75</v>
      </c>
      <c r="Q2454">
        <v>21.99</v>
      </c>
      <c r="R2454">
        <v>22.19</v>
      </c>
      <c r="S2454">
        <v>84.65</v>
      </c>
      <c r="T2454">
        <v>0.97</v>
      </c>
      <c r="U2454" t="s">
        <v>102</v>
      </c>
    </row>
    <row r="2455" spans="1:21">
      <c r="A2455" t="str">
        <f>"301011"</f>
        <v>301011</v>
      </c>
      <c r="B2455" t="s">
        <v>4865</v>
      </c>
      <c r="C2455">
        <v>2.4</v>
      </c>
      <c r="D2455">
        <v>60.16</v>
      </c>
      <c r="E2455">
        <v>1.41</v>
      </c>
      <c r="F2455">
        <v>60.16</v>
      </c>
      <c r="G2455">
        <v>60.17</v>
      </c>
      <c r="H2455">
        <v>24675</v>
      </c>
      <c r="I2455">
        <v>261</v>
      </c>
      <c r="J2455">
        <v>-0.02</v>
      </c>
      <c r="K2455">
        <v>13.32</v>
      </c>
      <c r="L2455">
        <v>14804.88</v>
      </c>
      <c r="M2455" t="s">
        <v>4866</v>
      </c>
      <c r="N2455" t="s">
        <v>63</v>
      </c>
      <c r="O2455">
        <v>58</v>
      </c>
      <c r="P2455">
        <v>61.2</v>
      </c>
      <c r="Q2455">
        <v>58</v>
      </c>
      <c r="R2455">
        <v>58.75</v>
      </c>
      <c r="S2455">
        <v>85.93</v>
      </c>
      <c r="T2455">
        <v>0.66</v>
      </c>
      <c r="U2455" t="s">
        <v>183</v>
      </c>
    </row>
    <row r="2456" spans="1:21">
      <c r="A2456" t="str">
        <f>"301012"</f>
        <v>301012</v>
      </c>
      <c r="B2456" t="s">
        <v>4867</v>
      </c>
      <c r="C2456">
        <v>-1.6</v>
      </c>
      <c r="D2456">
        <v>51.59</v>
      </c>
      <c r="E2456">
        <v>-0.84</v>
      </c>
      <c r="F2456">
        <v>51.58</v>
      </c>
      <c r="G2456">
        <v>51.59</v>
      </c>
      <c r="H2456">
        <v>62086</v>
      </c>
      <c r="I2456">
        <v>854</v>
      </c>
      <c r="J2456">
        <v>-0.07</v>
      </c>
      <c r="K2456">
        <v>31.18</v>
      </c>
      <c r="L2456">
        <v>31786.62</v>
      </c>
      <c r="M2456" t="s">
        <v>4868</v>
      </c>
      <c r="N2456" t="s">
        <v>47</v>
      </c>
      <c r="O2456">
        <v>52.5</v>
      </c>
      <c r="P2456">
        <v>53.9</v>
      </c>
      <c r="Q2456">
        <v>49.4</v>
      </c>
      <c r="R2456">
        <v>52.43</v>
      </c>
      <c r="S2456">
        <v>87.79</v>
      </c>
      <c r="T2456">
        <v>1.01</v>
      </c>
      <c r="U2456" t="s">
        <v>102</v>
      </c>
    </row>
    <row r="2457" spans="1:21">
      <c r="A2457" t="str">
        <f>"301013"</f>
        <v>301013</v>
      </c>
      <c r="B2457" t="s">
        <v>4869</v>
      </c>
      <c r="C2457">
        <v>-0.17</v>
      </c>
      <c r="D2457">
        <v>28.85</v>
      </c>
      <c r="E2457">
        <v>-0.05</v>
      </c>
      <c r="F2457">
        <v>28.85</v>
      </c>
      <c r="G2457">
        <v>28.86</v>
      </c>
      <c r="H2457">
        <v>33985</v>
      </c>
      <c r="I2457">
        <v>702</v>
      </c>
      <c r="J2457">
        <v>-0.3</v>
      </c>
      <c r="K2457">
        <v>10.22</v>
      </c>
      <c r="L2457">
        <v>9790.86</v>
      </c>
      <c r="M2457" t="s">
        <v>4870</v>
      </c>
      <c r="N2457" t="s">
        <v>324</v>
      </c>
      <c r="O2457">
        <v>28.8</v>
      </c>
      <c r="P2457">
        <v>29.28</v>
      </c>
      <c r="Q2457">
        <v>28.3</v>
      </c>
      <c r="R2457">
        <v>28.9</v>
      </c>
      <c r="S2457">
        <v>221.39</v>
      </c>
      <c r="T2457">
        <v>0.5</v>
      </c>
      <c r="U2457" t="s">
        <v>24</v>
      </c>
    </row>
    <row r="2458" spans="1:21">
      <c r="A2458" t="str">
        <f>"301015"</f>
        <v>301015</v>
      </c>
      <c r="B2458" t="s">
        <v>4871</v>
      </c>
      <c r="C2458">
        <v>-1.5</v>
      </c>
      <c r="D2458">
        <v>27.5</v>
      </c>
      <c r="E2458">
        <v>-0.42</v>
      </c>
      <c r="F2458">
        <v>27.5</v>
      </c>
      <c r="G2458">
        <v>27.52</v>
      </c>
      <c r="H2458">
        <v>32313</v>
      </c>
      <c r="I2458">
        <v>543</v>
      </c>
      <c r="J2458">
        <v>0.22</v>
      </c>
      <c r="K2458">
        <v>7.27</v>
      </c>
      <c r="L2458">
        <v>8885.52</v>
      </c>
      <c r="M2458" t="s">
        <v>4872</v>
      </c>
      <c r="N2458" t="s">
        <v>86</v>
      </c>
      <c r="O2458">
        <v>28.01</v>
      </c>
      <c r="P2458">
        <v>28.06</v>
      </c>
      <c r="Q2458">
        <v>27.16</v>
      </c>
      <c r="R2458">
        <v>27.92</v>
      </c>
      <c r="S2458">
        <v>35.1</v>
      </c>
      <c r="T2458">
        <v>0.6</v>
      </c>
      <c r="U2458" t="s">
        <v>221</v>
      </c>
    </row>
    <row r="2459" spans="1:21">
      <c r="A2459" t="str">
        <f>"301016"</f>
        <v>301016</v>
      </c>
      <c r="B2459" t="s">
        <v>4873</v>
      </c>
      <c r="C2459">
        <v>0.62</v>
      </c>
      <c r="D2459">
        <v>27.4</v>
      </c>
      <c r="E2459">
        <v>0.17</v>
      </c>
      <c r="F2459">
        <v>27.39</v>
      </c>
      <c r="G2459">
        <v>27.4</v>
      </c>
      <c r="H2459">
        <v>11267</v>
      </c>
      <c r="I2459">
        <v>101</v>
      </c>
      <c r="J2459">
        <v>0.04</v>
      </c>
      <c r="K2459">
        <v>3.96</v>
      </c>
      <c r="L2459">
        <v>3082.27</v>
      </c>
      <c r="M2459" t="s">
        <v>3995</v>
      </c>
      <c r="N2459" t="s">
        <v>43</v>
      </c>
      <c r="O2459">
        <v>26.97</v>
      </c>
      <c r="P2459">
        <v>27.68</v>
      </c>
      <c r="Q2459">
        <v>26.97</v>
      </c>
      <c r="R2459">
        <v>27.23</v>
      </c>
      <c r="S2459">
        <v>22.61</v>
      </c>
      <c r="T2459">
        <v>0.62</v>
      </c>
      <c r="U2459" t="s">
        <v>102</v>
      </c>
    </row>
    <row r="2460" spans="1:21">
      <c r="A2460" t="str">
        <f>"301017"</f>
        <v>301017</v>
      </c>
      <c r="B2460" t="s">
        <v>4874</v>
      </c>
      <c r="C2460">
        <v>-1.14</v>
      </c>
      <c r="D2460">
        <v>29.53</v>
      </c>
      <c r="E2460">
        <v>-0.34</v>
      </c>
      <c r="F2460">
        <v>29.53</v>
      </c>
      <c r="G2460">
        <v>29.54</v>
      </c>
      <c r="H2460">
        <v>105631</v>
      </c>
      <c r="I2460">
        <v>1900</v>
      </c>
      <c r="J2460">
        <v>-0.06</v>
      </c>
      <c r="K2460">
        <v>30.84</v>
      </c>
      <c r="L2460">
        <v>30900.99</v>
      </c>
      <c r="M2460" t="s">
        <v>4875</v>
      </c>
      <c r="N2460" t="s">
        <v>86</v>
      </c>
      <c r="O2460">
        <v>30</v>
      </c>
      <c r="P2460">
        <v>30.1</v>
      </c>
      <c r="Q2460">
        <v>28.58</v>
      </c>
      <c r="R2460">
        <v>29.87</v>
      </c>
      <c r="S2460">
        <v>81.59</v>
      </c>
      <c r="T2460">
        <v>0.68</v>
      </c>
      <c r="U2460" t="s">
        <v>221</v>
      </c>
    </row>
    <row r="2461" spans="1:21">
      <c r="A2461" t="str">
        <f>"301018"</f>
        <v>301018</v>
      </c>
      <c r="B2461" t="s">
        <v>4876</v>
      </c>
      <c r="C2461">
        <v>6.73</v>
      </c>
      <c r="D2461">
        <v>32.82</v>
      </c>
      <c r="E2461">
        <v>2.07</v>
      </c>
      <c r="F2461">
        <v>32.8</v>
      </c>
      <c r="G2461">
        <v>32.82</v>
      </c>
      <c r="H2461">
        <v>140093</v>
      </c>
      <c r="I2461">
        <v>1451</v>
      </c>
      <c r="J2461">
        <v>0.03</v>
      </c>
      <c r="K2461">
        <v>27.35</v>
      </c>
      <c r="L2461">
        <v>45045.64</v>
      </c>
      <c r="M2461" t="s">
        <v>1305</v>
      </c>
      <c r="N2461" t="s">
        <v>324</v>
      </c>
      <c r="O2461">
        <v>30.78</v>
      </c>
      <c r="P2461">
        <v>33.33</v>
      </c>
      <c r="Q2461">
        <v>30.48</v>
      </c>
      <c r="R2461">
        <v>30.75</v>
      </c>
      <c r="S2461">
        <v>70.56</v>
      </c>
      <c r="T2461">
        <v>1.19</v>
      </c>
      <c r="U2461" t="s">
        <v>183</v>
      </c>
    </row>
    <row r="2462" spans="1:21">
      <c r="A2462" t="str">
        <f>"301019"</f>
        <v>301019</v>
      </c>
      <c r="B2462" t="s">
        <v>4877</v>
      </c>
      <c r="C2462">
        <v>3.23</v>
      </c>
      <c r="D2462">
        <v>43.11</v>
      </c>
      <c r="E2462">
        <v>1.35</v>
      </c>
      <c r="F2462">
        <v>43.09</v>
      </c>
      <c r="G2462">
        <v>43.11</v>
      </c>
      <c r="H2462">
        <v>11721</v>
      </c>
      <c r="I2462">
        <v>132</v>
      </c>
      <c r="J2462">
        <v>0</v>
      </c>
      <c r="K2462">
        <v>5.86</v>
      </c>
      <c r="L2462">
        <v>5005.27</v>
      </c>
      <c r="M2462" t="s">
        <v>4878</v>
      </c>
      <c r="N2462" t="s">
        <v>839</v>
      </c>
      <c r="O2462">
        <v>42.5</v>
      </c>
      <c r="P2462">
        <v>43.27</v>
      </c>
      <c r="Q2462">
        <v>41.5</v>
      </c>
      <c r="R2462">
        <v>41.76</v>
      </c>
      <c r="S2462">
        <v>33.83</v>
      </c>
      <c r="T2462">
        <v>1.29</v>
      </c>
      <c r="U2462" t="s">
        <v>200</v>
      </c>
    </row>
    <row r="2463" spans="1:21">
      <c r="A2463" t="str">
        <f>"301020"</f>
        <v>301020</v>
      </c>
      <c r="B2463" t="s">
        <v>4879</v>
      </c>
      <c r="C2463">
        <v>9.91</v>
      </c>
      <c r="D2463">
        <v>35.38</v>
      </c>
      <c r="E2463">
        <v>3.19</v>
      </c>
      <c r="F2463">
        <v>35.38</v>
      </c>
      <c r="G2463">
        <v>35.39</v>
      </c>
      <c r="H2463">
        <v>120208</v>
      </c>
      <c r="I2463">
        <v>1523</v>
      </c>
      <c r="J2463">
        <v>0.26</v>
      </c>
      <c r="K2463">
        <v>34.63</v>
      </c>
      <c r="L2463">
        <v>41315.21</v>
      </c>
      <c r="M2463" t="s">
        <v>4880</v>
      </c>
      <c r="N2463" t="s">
        <v>347</v>
      </c>
      <c r="O2463">
        <v>31.45</v>
      </c>
      <c r="P2463">
        <v>36.19</v>
      </c>
      <c r="Q2463">
        <v>31.45</v>
      </c>
      <c r="R2463">
        <v>32.19</v>
      </c>
      <c r="S2463">
        <v>45.16</v>
      </c>
      <c r="T2463">
        <v>2.24</v>
      </c>
      <c r="U2463" t="s">
        <v>221</v>
      </c>
    </row>
    <row r="2464" spans="1:21">
      <c r="A2464" t="str">
        <f>"301021"</f>
        <v>301021</v>
      </c>
      <c r="B2464" t="s">
        <v>4881</v>
      </c>
      <c r="C2464">
        <v>1</v>
      </c>
      <c r="D2464">
        <v>44.52</v>
      </c>
      <c r="E2464">
        <v>0.44</v>
      </c>
      <c r="F2464">
        <v>44.51</v>
      </c>
      <c r="G2464">
        <v>44.52</v>
      </c>
      <c r="H2464">
        <v>20929</v>
      </c>
      <c r="I2464">
        <v>489</v>
      </c>
      <c r="J2464">
        <v>-0.03</v>
      </c>
      <c r="K2464">
        <v>6.45</v>
      </c>
      <c r="L2464">
        <v>9324.56</v>
      </c>
      <c r="M2464" t="s">
        <v>4882</v>
      </c>
      <c r="N2464" t="s">
        <v>69</v>
      </c>
      <c r="O2464">
        <v>43.94</v>
      </c>
      <c r="P2464">
        <v>45.26</v>
      </c>
      <c r="Q2464">
        <v>43.5</v>
      </c>
      <c r="R2464">
        <v>44.08</v>
      </c>
      <c r="S2464">
        <v>76.38</v>
      </c>
      <c r="T2464">
        <v>0.9</v>
      </c>
      <c r="U2464" t="s">
        <v>24</v>
      </c>
    </row>
    <row r="2465" spans="1:21">
      <c r="A2465" t="str">
        <f>"301022"</f>
        <v>301022</v>
      </c>
      <c r="B2465" t="s">
        <v>4883</v>
      </c>
      <c r="C2465">
        <v>20.01</v>
      </c>
      <c r="D2465">
        <v>48.76</v>
      </c>
      <c r="E2465">
        <v>8.13</v>
      </c>
      <c r="F2465">
        <v>48.76</v>
      </c>
      <c r="G2465" t="s">
        <v>40</v>
      </c>
      <c r="H2465">
        <v>62526</v>
      </c>
      <c r="I2465">
        <v>307</v>
      </c>
      <c r="J2465">
        <v>0</v>
      </c>
      <c r="K2465">
        <v>39.08</v>
      </c>
      <c r="L2465">
        <v>30104.26</v>
      </c>
      <c r="M2465" t="s">
        <v>4884</v>
      </c>
      <c r="N2465" t="s">
        <v>324</v>
      </c>
      <c r="O2465">
        <v>45</v>
      </c>
      <c r="P2465">
        <v>48.76</v>
      </c>
      <c r="Q2465">
        <v>45</v>
      </c>
      <c r="R2465">
        <v>40.63</v>
      </c>
      <c r="S2465">
        <v>49.1</v>
      </c>
      <c r="T2465">
        <v>2.12</v>
      </c>
      <c r="U2465" t="s">
        <v>221</v>
      </c>
    </row>
    <row r="2466" spans="1:21">
      <c r="A2466" t="str">
        <f>"301023"</f>
        <v>301023</v>
      </c>
      <c r="B2466" t="s">
        <v>4885</v>
      </c>
      <c r="C2466">
        <v>3.75</v>
      </c>
      <c r="D2466">
        <v>81.03</v>
      </c>
      <c r="E2466">
        <v>2.93</v>
      </c>
      <c r="F2466">
        <v>81.03</v>
      </c>
      <c r="G2466">
        <v>81.05</v>
      </c>
      <c r="H2466">
        <v>12099</v>
      </c>
      <c r="I2466">
        <v>266</v>
      </c>
      <c r="J2466">
        <v>-0.09</v>
      </c>
      <c r="K2466">
        <v>12.96</v>
      </c>
      <c r="L2466">
        <v>9688.04</v>
      </c>
      <c r="M2466" t="s">
        <v>4886</v>
      </c>
      <c r="N2466" t="s">
        <v>47</v>
      </c>
      <c r="O2466">
        <v>78.1</v>
      </c>
      <c r="P2466">
        <v>81.53</v>
      </c>
      <c r="Q2466">
        <v>77.7</v>
      </c>
      <c r="R2466">
        <v>78.1</v>
      </c>
      <c r="S2466">
        <v>49.84</v>
      </c>
      <c r="T2466">
        <v>1.17</v>
      </c>
      <c r="U2466" t="s">
        <v>102</v>
      </c>
    </row>
    <row r="2467" spans="1:21">
      <c r="A2467" t="str">
        <f>"301024"</f>
        <v>301024</v>
      </c>
      <c r="B2467" t="s">
        <v>4887</v>
      </c>
      <c r="C2467">
        <v>2.08</v>
      </c>
      <c r="D2467">
        <v>46.55</v>
      </c>
      <c r="E2467">
        <v>0.95</v>
      </c>
      <c r="F2467">
        <v>46.52</v>
      </c>
      <c r="G2467">
        <v>46.55</v>
      </c>
      <c r="H2467">
        <v>3065</v>
      </c>
      <c r="I2467">
        <v>63</v>
      </c>
      <c r="J2467">
        <v>0</v>
      </c>
      <c r="K2467">
        <v>2.89</v>
      </c>
      <c r="L2467">
        <v>1417.46</v>
      </c>
      <c r="M2467" t="s">
        <v>4888</v>
      </c>
      <c r="N2467" t="s">
        <v>50</v>
      </c>
      <c r="O2467">
        <v>45.4</v>
      </c>
      <c r="P2467">
        <v>46.66</v>
      </c>
      <c r="Q2467">
        <v>45.35</v>
      </c>
      <c r="R2467">
        <v>45.6</v>
      </c>
      <c r="S2467">
        <v>35.29</v>
      </c>
      <c r="T2467">
        <v>0.53</v>
      </c>
      <c r="U2467" t="s">
        <v>848</v>
      </c>
    </row>
    <row r="2468" spans="1:21">
      <c r="A2468" t="str">
        <f>"301025"</f>
        <v>301025</v>
      </c>
      <c r="B2468" t="s">
        <v>4889</v>
      </c>
      <c r="C2468">
        <v>2.4</v>
      </c>
      <c r="D2468">
        <v>17.94</v>
      </c>
      <c r="E2468">
        <v>0.42</v>
      </c>
      <c r="F2468">
        <v>17.93</v>
      </c>
      <c r="G2468">
        <v>17.94</v>
      </c>
      <c r="H2468">
        <v>58884</v>
      </c>
      <c r="I2468">
        <v>741</v>
      </c>
      <c r="J2468">
        <v>0.22</v>
      </c>
      <c r="K2468">
        <v>15.68</v>
      </c>
      <c r="L2468">
        <v>10498.5</v>
      </c>
      <c r="M2468" t="s">
        <v>4890</v>
      </c>
      <c r="N2468" t="s">
        <v>650</v>
      </c>
      <c r="O2468">
        <v>17.31</v>
      </c>
      <c r="P2468">
        <v>18.08</v>
      </c>
      <c r="Q2468">
        <v>17.2</v>
      </c>
      <c r="R2468">
        <v>17.52</v>
      </c>
      <c r="S2468">
        <v>118.87</v>
      </c>
      <c r="T2468">
        <v>0.61</v>
      </c>
      <c r="U2468" t="s">
        <v>848</v>
      </c>
    </row>
    <row r="2469" spans="1:21">
      <c r="A2469" t="str">
        <f>"301026"</f>
        <v>301026</v>
      </c>
      <c r="B2469" t="s">
        <v>4891</v>
      </c>
      <c r="C2469">
        <v>4.16</v>
      </c>
      <c r="D2469">
        <v>72.85</v>
      </c>
      <c r="E2469">
        <v>2.91</v>
      </c>
      <c r="F2469">
        <v>72.85</v>
      </c>
      <c r="G2469">
        <v>72.87</v>
      </c>
      <c r="H2469">
        <v>24043</v>
      </c>
      <c r="I2469">
        <v>138</v>
      </c>
      <c r="J2469">
        <v>0.07</v>
      </c>
      <c r="K2469">
        <v>9.94</v>
      </c>
      <c r="L2469">
        <v>17356.29</v>
      </c>
      <c r="M2469" t="s">
        <v>4892</v>
      </c>
      <c r="N2469" t="s">
        <v>523</v>
      </c>
      <c r="O2469">
        <v>70</v>
      </c>
      <c r="P2469">
        <v>73.73</v>
      </c>
      <c r="Q2469">
        <v>69.38</v>
      </c>
      <c r="R2469">
        <v>69.94</v>
      </c>
      <c r="S2469">
        <v>28.46</v>
      </c>
      <c r="T2469">
        <v>1.89</v>
      </c>
      <c r="U2469" t="s">
        <v>102</v>
      </c>
    </row>
    <row r="2470" spans="1:21">
      <c r="A2470" t="str">
        <f>"301027"</f>
        <v>301027</v>
      </c>
      <c r="B2470" t="s">
        <v>4893</v>
      </c>
      <c r="C2470">
        <v>6.22</v>
      </c>
      <c r="D2470">
        <v>18.26</v>
      </c>
      <c r="E2470">
        <v>1.07</v>
      </c>
      <c r="F2470">
        <v>18.26</v>
      </c>
      <c r="G2470">
        <v>18.27</v>
      </c>
      <c r="H2470">
        <v>67993</v>
      </c>
      <c r="I2470">
        <v>1001</v>
      </c>
      <c r="J2470">
        <v>-0.1</v>
      </c>
      <c r="K2470">
        <v>19.48</v>
      </c>
      <c r="L2470">
        <v>12307.69</v>
      </c>
      <c r="M2470" t="s">
        <v>617</v>
      </c>
      <c r="N2470" t="s">
        <v>50</v>
      </c>
      <c r="O2470">
        <v>17.22</v>
      </c>
      <c r="P2470">
        <v>18.59</v>
      </c>
      <c r="Q2470">
        <v>17.22</v>
      </c>
      <c r="R2470">
        <v>17.19</v>
      </c>
      <c r="S2470">
        <v>25.1</v>
      </c>
      <c r="T2470">
        <v>1.56</v>
      </c>
      <c r="U2470" t="s">
        <v>342</v>
      </c>
    </row>
    <row r="2471" spans="1:21">
      <c r="A2471" t="str">
        <f>"301028"</f>
        <v>301028</v>
      </c>
      <c r="B2471" t="s">
        <v>4894</v>
      </c>
      <c r="C2471">
        <v>6.67</v>
      </c>
      <c r="D2471">
        <v>15.2</v>
      </c>
      <c r="E2471">
        <v>0.95</v>
      </c>
      <c r="F2471">
        <v>15.19</v>
      </c>
      <c r="G2471">
        <v>15.2</v>
      </c>
      <c r="H2471">
        <v>158648</v>
      </c>
      <c r="I2471">
        <v>2721</v>
      </c>
      <c r="J2471">
        <v>0</v>
      </c>
      <c r="K2471">
        <v>17.61</v>
      </c>
      <c r="L2471">
        <v>23684.02</v>
      </c>
      <c r="M2471" t="s">
        <v>4895</v>
      </c>
      <c r="N2471" t="s">
        <v>324</v>
      </c>
      <c r="O2471">
        <v>14.31</v>
      </c>
      <c r="P2471">
        <v>15.26</v>
      </c>
      <c r="Q2471">
        <v>14.31</v>
      </c>
      <c r="R2471">
        <v>14.25</v>
      </c>
      <c r="S2471">
        <v>29.42</v>
      </c>
      <c r="T2471">
        <v>1.34</v>
      </c>
      <c r="U2471" t="s">
        <v>339</v>
      </c>
    </row>
    <row r="2472" spans="1:21">
      <c r="A2472" t="str">
        <f>"301029"</f>
        <v>301029</v>
      </c>
      <c r="B2472" t="s">
        <v>4896</v>
      </c>
      <c r="C2472">
        <v>4.59</v>
      </c>
      <c r="D2472">
        <v>100</v>
      </c>
      <c r="E2472">
        <v>4.39</v>
      </c>
      <c r="F2472">
        <v>100</v>
      </c>
      <c r="G2472">
        <v>100.05</v>
      </c>
      <c r="H2472">
        <v>12666</v>
      </c>
      <c r="I2472">
        <v>139</v>
      </c>
      <c r="J2472">
        <v>0</v>
      </c>
      <c r="K2472">
        <v>3.75</v>
      </c>
      <c r="L2472">
        <v>12653.06</v>
      </c>
      <c r="M2472" t="s">
        <v>4897</v>
      </c>
      <c r="N2472" t="s">
        <v>347</v>
      </c>
      <c r="O2472">
        <v>96.56</v>
      </c>
      <c r="P2472">
        <v>101.95</v>
      </c>
      <c r="Q2472">
        <v>95.01</v>
      </c>
      <c r="R2472">
        <v>95.61</v>
      </c>
      <c r="S2472">
        <v>97.79</v>
      </c>
      <c r="T2472">
        <v>1.65</v>
      </c>
      <c r="U2472" t="s">
        <v>183</v>
      </c>
    </row>
    <row r="2473" spans="1:21">
      <c r="A2473" t="str">
        <f>"301030"</f>
        <v>301030</v>
      </c>
      <c r="B2473" t="s">
        <v>4898</v>
      </c>
      <c r="C2473">
        <v>2.63</v>
      </c>
      <c r="D2473">
        <v>34</v>
      </c>
      <c r="E2473">
        <v>0.87</v>
      </c>
      <c r="F2473">
        <v>34</v>
      </c>
      <c r="G2473">
        <v>34.02</v>
      </c>
      <c r="H2473">
        <v>33568</v>
      </c>
      <c r="I2473">
        <v>410</v>
      </c>
      <c r="J2473">
        <v>1.1</v>
      </c>
      <c r="K2473">
        <v>11.8</v>
      </c>
      <c r="L2473">
        <v>11254.6</v>
      </c>
      <c r="M2473" t="s">
        <v>4899</v>
      </c>
      <c r="N2473" t="s">
        <v>33</v>
      </c>
      <c r="O2473">
        <v>33</v>
      </c>
      <c r="P2473">
        <v>34.5</v>
      </c>
      <c r="Q2473">
        <v>32.25</v>
      </c>
      <c r="R2473">
        <v>33.13</v>
      </c>
      <c r="S2473">
        <v>102.49</v>
      </c>
      <c r="T2473">
        <v>0.96</v>
      </c>
      <c r="U2473" t="s">
        <v>102</v>
      </c>
    </row>
    <row r="2474" spans="1:21">
      <c r="A2474" t="str">
        <f>"301031"</f>
        <v>301031</v>
      </c>
      <c r="B2474" t="s">
        <v>4900</v>
      </c>
      <c r="C2474">
        <v>0.28</v>
      </c>
      <c r="D2474">
        <v>184.51</v>
      </c>
      <c r="E2474">
        <v>0.51</v>
      </c>
      <c r="F2474">
        <v>184.51</v>
      </c>
      <c r="G2474">
        <v>184.52</v>
      </c>
      <c r="H2474">
        <v>10773</v>
      </c>
      <c r="I2474">
        <v>216</v>
      </c>
      <c r="J2474">
        <v>0.17</v>
      </c>
      <c r="K2474">
        <v>6.5</v>
      </c>
      <c r="L2474">
        <v>19861.96</v>
      </c>
      <c r="M2474" t="s">
        <v>4901</v>
      </c>
      <c r="N2474" t="s">
        <v>47</v>
      </c>
      <c r="O2474">
        <v>180</v>
      </c>
      <c r="P2474">
        <v>190</v>
      </c>
      <c r="Q2474">
        <v>176.1</v>
      </c>
      <c r="R2474">
        <v>184</v>
      </c>
      <c r="S2474">
        <v>163.49</v>
      </c>
      <c r="T2474">
        <v>0.48</v>
      </c>
      <c r="U2474" t="s">
        <v>317</v>
      </c>
    </row>
    <row r="2475" spans="1:21">
      <c r="A2475" t="str">
        <f>"301032"</f>
        <v>301032</v>
      </c>
      <c r="B2475" t="s">
        <v>4902</v>
      </c>
      <c r="C2475">
        <v>0.52</v>
      </c>
      <c r="D2475">
        <v>13.48</v>
      </c>
      <c r="E2475">
        <v>0.07</v>
      </c>
      <c r="F2475">
        <v>13.47</v>
      </c>
      <c r="G2475">
        <v>13.48</v>
      </c>
      <c r="H2475">
        <v>68644</v>
      </c>
      <c r="I2475">
        <v>1531</v>
      </c>
      <c r="J2475">
        <v>0</v>
      </c>
      <c r="K2475">
        <v>12.01</v>
      </c>
      <c r="L2475">
        <v>9216.78</v>
      </c>
      <c r="M2475" t="s">
        <v>3740</v>
      </c>
      <c r="N2475" t="s">
        <v>347</v>
      </c>
      <c r="O2475">
        <v>13.29</v>
      </c>
      <c r="P2475">
        <v>13.68</v>
      </c>
      <c r="Q2475">
        <v>13.16</v>
      </c>
      <c r="R2475">
        <v>13.41</v>
      </c>
      <c r="S2475">
        <v>46.61</v>
      </c>
      <c r="T2475">
        <v>0.76</v>
      </c>
      <c r="U2475" t="s">
        <v>200</v>
      </c>
    </row>
    <row r="2476" spans="1:21">
      <c r="A2476" t="str">
        <f>"301033"</f>
        <v>301033</v>
      </c>
      <c r="B2476" t="s">
        <v>4903</v>
      </c>
      <c r="C2476">
        <v>4.24</v>
      </c>
      <c r="D2476">
        <v>63.89</v>
      </c>
      <c r="E2476">
        <v>2.6</v>
      </c>
      <c r="F2476">
        <v>63.85</v>
      </c>
      <c r="G2476">
        <v>63.89</v>
      </c>
      <c r="H2476">
        <v>6075</v>
      </c>
      <c r="I2476">
        <v>110</v>
      </c>
      <c r="J2476">
        <v>0.24</v>
      </c>
      <c r="K2476">
        <v>4.31</v>
      </c>
      <c r="L2476">
        <v>3830.01</v>
      </c>
      <c r="M2476" t="s">
        <v>4904</v>
      </c>
      <c r="N2476" t="s">
        <v>186</v>
      </c>
      <c r="O2476">
        <v>61.32</v>
      </c>
      <c r="P2476">
        <v>64</v>
      </c>
      <c r="Q2476">
        <v>61.31</v>
      </c>
      <c r="R2476">
        <v>61.29</v>
      </c>
      <c r="S2476">
        <v>98.78</v>
      </c>
      <c r="T2476">
        <v>1.01</v>
      </c>
      <c r="U2476" t="s">
        <v>183</v>
      </c>
    </row>
    <row r="2477" spans="1:21">
      <c r="A2477" t="str">
        <f>"301035"</f>
        <v>301035</v>
      </c>
      <c r="B2477" t="s">
        <v>4905</v>
      </c>
      <c r="C2477">
        <v>3.49</v>
      </c>
      <c r="D2477">
        <v>53.96</v>
      </c>
      <c r="E2477">
        <v>1.82</v>
      </c>
      <c r="F2477">
        <v>53.91</v>
      </c>
      <c r="G2477">
        <v>53.96</v>
      </c>
      <c r="H2477">
        <v>16767</v>
      </c>
      <c r="I2477">
        <v>197</v>
      </c>
      <c r="J2477">
        <v>0.09</v>
      </c>
      <c r="K2477">
        <v>2.56</v>
      </c>
      <c r="L2477">
        <v>8872.13</v>
      </c>
      <c r="M2477" t="s">
        <v>4906</v>
      </c>
      <c r="N2477" t="s">
        <v>241</v>
      </c>
      <c r="O2477">
        <v>52</v>
      </c>
      <c r="P2477">
        <v>54.1</v>
      </c>
      <c r="Q2477">
        <v>51.4</v>
      </c>
      <c r="R2477">
        <v>52.14</v>
      </c>
      <c r="S2477">
        <v>24.84</v>
      </c>
      <c r="T2477">
        <v>1.25</v>
      </c>
      <c r="U2477" t="s">
        <v>221</v>
      </c>
    </row>
    <row r="2478" spans="1:21">
      <c r="A2478" t="str">
        <f>"301036"</f>
        <v>301036</v>
      </c>
      <c r="B2478" t="s">
        <v>4907</v>
      </c>
      <c r="C2478">
        <v>1.19</v>
      </c>
      <c r="D2478">
        <v>33.13</v>
      </c>
      <c r="E2478">
        <v>0.39</v>
      </c>
      <c r="F2478">
        <v>33.13</v>
      </c>
      <c r="G2478">
        <v>33.15</v>
      </c>
      <c r="H2478">
        <v>7996</v>
      </c>
      <c r="I2478">
        <v>54</v>
      </c>
      <c r="J2478">
        <v>-0.11</v>
      </c>
      <c r="K2478">
        <v>3.37</v>
      </c>
      <c r="L2478">
        <v>2633.3</v>
      </c>
      <c r="M2478" t="s">
        <v>4908</v>
      </c>
      <c r="N2478" t="s">
        <v>416</v>
      </c>
      <c r="O2478">
        <v>32.62</v>
      </c>
      <c r="P2478">
        <v>33.45</v>
      </c>
      <c r="Q2478">
        <v>32.38</v>
      </c>
      <c r="R2478">
        <v>32.74</v>
      </c>
      <c r="S2478">
        <v>31.47</v>
      </c>
      <c r="T2478">
        <v>0.62</v>
      </c>
      <c r="U2478" t="s">
        <v>102</v>
      </c>
    </row>
    <row r="2479" spans="1:21">
      <c r="A2479" t="str">
        <f>"301037"</f>
        <v>301037</v>
      </c>
      <c r="B2479" t="s">
        <v>4909</v>
      </c>
      <c r="C2479">
        <v>1.37</v>
      </c>
      <c r="D2479">
        <v>25.91</v>
      </c>
      <c r="E2479">
        <v>0.35</v>
      </c>
      <c r="F2479">
        <v>25.91</v>
      </c>
      <c r="G2479">
        <v>25.93</v>
      </c>
      <c r="H2479">
        <v>12838</v>
      </c>
      <c r="I2479">
        <v>183</v>
      </c>
      <c r="J2479">
        <v>0.04</v>
      </c>
      <c r="K2479">
        <v>6.01</v>
      </c>
      <c r="L2479">
        <v>3309.66</v>
      </c>
      <c r="M2479" t="s">
        <v>4910</v>
      </c>
      <c r="N2479" t="s">
        <v>309</v>
      </c>
      <c r="O2479">
        <v>25.6</v>
      </c>
      <c r="P2479">
        <v>26.1</v>
      </c>
      <c r="Q2479">
        <v>25.28</v>
      </c>
      <c r="R2479">
        <v>25.56</v>
      </c>
      <c r="S2479">
        <v>37.35</v>
      </c>
      <c r="T2479">
        <v>0.35</v>
      </c>
      <c r="U2479" t="s">
        <v>848</v>
      </c>
    </row>
    <row r="2480" spans="1:21">
      <c r="A2480" t="str">
        <f>"301038"</f>
        <v>301038</v>
      </c>
      <c r="B2480" t="s">
        <v>4911</v>
      </c>
      <c r="C2480">
        <v>1.61</v>
      </c>
      <c r="D2480">
        <v>20.19</v>
      </c>
      <c r="E2480">
        <v>0.32</v>
      </c>
      <c r="F2480">
        <v>20.18</v>
      </c>
      <c r="G2480">
        <v>20.19</v>
      </c>
      <c r="H2480">
        <v>20187</v>
      </c>
      <c r="I2480">
        <v>383</v>
      </c>
      <c r="J2480">
        <v>0.2</v>
      </c>
      <c r="K2480">
        <v>7.17</v>
      </c>
      <c r="L2480">
        <v>4062.14</v>
      </c>
      <c r="M2480" t="s">
        <v>4912</v>
      </c>
      <c r="N2480" t="s">
        <v>50</v>
      </c>
      <c r="O2480">
        <v>19.8</v>
      </c>
      <c r="P2480">
        <v>20.37</v>
      </c>
      <c r="Q2480">
        <v>19.77</v>
      </c>
      <c r="R2480">
        <v>19.87</v>
      </c>
      <c r="S2480">
        <v>51.22</v>
      </c>
      <c r="T2480">
        <v>1.01</v>
      </c>
      <c r="U2480" t="s">
        <v>24</v>
      </c>
    </row>
    <row r="2481" spans="1:21">
      <c r="A2481" t="str">
        <f>"301039"</f>
        <v>301039</v>
      </c>
      <c r="B2481" t="s">
        <v>4913</v>
      </c>
      <c r="C2481">
        <v>1.34</v>
      </c>
      <c r="D2481">
        <v>11.32</v>
      </c>
      <c r="E2481">
        <v>0.15</v>
      </c>
      <c r="F2481">
        <v>11.31</v>
      </c>
      <c r="G2481">
        <v>11.32</v>
      </c>
      <c r="H2481">
        <v>84802</v>
      </c>
      <c r="I2481">
        <v>1346</v>
      </c>
      <c r="J2481">
        <v>0</v>
      </c>
      <c r="K2481">
        <v>4.92</v>
      </c>
      <c r="L2481">
        <v>9550.31</v>
      </c>
      <c r="M2481" t="s">
        <v>4914</v>
      </c>
      <c r="N2481" t="s">
        <v>385</v>
      </c>
      <c r="O2481">
        <v>11.11</v>
      </c>
      <c r="P2481">
        <v>11.39</v>
      </c>
      <c r="Q2481">
        <v>11.08</v>
      </c>
      <c r="R2481">
        <v>11.17</v>
      </c>
      <c r="S2481">
        <v>21.78</v>
      </c>
      <c r="T2481">
        <v>0.97</v>
      </c>
      <c r="U2481" t="s">
        <v>24</v>
      </c>
    </row>
    <row r="2482" spans="1:21">
      <c r="A2482" t="str">
        <f>"301040"</f>
        <v>301040</v>
      </c>
      <c r="B2482" t="s">
        <v>4915</v>
      </c>
      <c r="C2482">
        <v>3.11</v>
      </c>
      <c r="D2482">
        <v>52.12</v>
      </c>
      <c r="E2482">
        <v>1.57</v>
      </c>
      <c r="F2482">
        <v>52.11</v>
      </c>
      <c r="G2482">
        <v>52.12</v>
      </c>
      <c r="H2482">
        <v>37675</v>
      </c>
      <c r="I2482">
        <v>640</v>
      </c>
      <c r="J2482">
        <v>-0.05</v>
      </c>
      <c r="K2482">
        <v>15.89</v>
      </c>
      <c r="L2482">
        <v>19567.51</v>
      </c>
      <c r="M2482" t="s">
        <v>4916</v>
      </c>
      <c r="N2482" t="s">
        <v>347</v>
      </c>
      <c r="O2482">
        <v>50.54</v>
      </c>
      <c r="P2482">
        <v>53.52</v>
      </c>
      <c r="Q2482">
        <v>50.06</v>
      </c>
      <c r="R2482">
        <v>50.55</v>
      </c>
      <c r="S2482">
        <v>44.72</v>
      </c>
      <c r="T2482">
        <v>0.68</v>
      </c>
      <c r="U2482" t="s">
        <v>102</v>
      </c>
    </row>
    <row r="2483" spans="1:21">
      <c r="A2483" t="str">
        <f>"301041"</f>
        <v>301041</v>
      </c>
      <c r="B2483" t="s">
        <v>4917</v>
      </c>
      <c r="C2483">
        <v>0.07</v>
      </c>
      <c r="D2483">
        <v>30.08</v>
      </c>
      <c r="E2483">
        <v>0.02</v>
      </c>
      <c r="F2483">
        <v>30.08</v>
      </c>
      <c r="G2483">
        <v>30.09</v>
      </c>
      <c r="H2483">
        <v>33472</v>
      </c>
      <c r="I2483">
        <v>455</v>
      </c>
      <c r="J2483">
        <v>0.37</v>
      </c>
      <c r="K2483">
        <v>13.23</v>
      </c>
      <c r="L2483">
        <v>10142.96</v>
      </c>
      <c r="M2483" t="s">
        <v>3141</v>
      </c>
      <c r="N2483" t="s">
        <v>69</v>
      </c>
      <c r="O2483">
        <v>30.01</v>
      </c>
      <c r="P2483">
        <v>30.88</v>
      </c>
      <c r="Q2483">
        <v>29.7</v>
      </c>
      <c r="R2483">
        <v>30.06</v>
      </c>
      <c r="S2483">
        <v>68.49</v>
      </c>
      <c r="T2483">
        <v>0.86</v>
      </c>
      <c r="U2483" t="s">
        <v>24</v>
      </c>
    </row>
    <row r="2484" spans="1:21">
      <c r="A2484" t="str">
        <f>"301042"</f>
        <v>301042</v>
      </c>
      <c r="B2484" t="s">
        <v>4918</v>
      </c>
      <c r="C2484">
        <v>3.15</v>
      </c>
      <c r="D2484">
        <v>47.53</v>
      </c>
      <c r="E2484">
        <v>1.45</v>
      </c>
      <c r="F2484">
        <v>47.53</v>
      </c>
      <c r="G2484">
        <v>47.54</v>
      </c>
      <c r="H2484">
        <v>16847</v>
      </c>
      <c r="I2484">
        <v>350</v>
      </c>
      <c r="J2484">
        <v>0</v>
      </c>
      <c r="K2484">
        <v>9.79</v>
      </c>
      <c r="L2484">
        <v>7954.9</v>
      </c>
      <c r="M2484" t="s">
        <v>4919</v>
      </c>
      <c r="N2484" t="s">
        <v>1028</v>
      </c>
      <c r="O2484">
        <v>46.35</v>
      </c>
      <c r="P2484">
        <v>48.32</v>
      </c>
      <c r="Q2484">
        <v>45.76</v>
      </c>
      <c r="R2484">
        <v>46.08</v>
      </c>
      <c r="S2484">
        <v>42.28</v>
      </c>
      <c r="T2484">
        <v>1.08</v>
      </c>
      <c r="U2484" t="s">
        <v>183</v>
      </c>
    </row>
    <row r="2485" spans="1:21">
      <c r="A2485" t="str">
        <f>"301043"</f>
        <v>301043</v>
      </c>
      <c r="B2485" t="s">
        <v>4920</v>
      </c>
      <c r="C2485">
        <v>0.4</v>
      </c>
      <c r="D2485">
        <v>32.68</v>
      </c>
      <c r="E2485">
        <v>0.13</v>
      </c>
      <c r="F2485">
        <v>32.68</v>
      </c>
      <c r="G2485">
        <v>32.69</v>
      </c>
      <c r="H2485">
        <v>11312</v>
      </c>
      <c r="I2485">
        <v>177</v>
      </c>
      <c r="J2485">
        <v>-0.02</v>
      </c>
      <c r="K2485">
        <v>6.65</v>
      </c>
      <c r="L2485">
        <v>3689.67</v>
      </c>
      <c r="M2485" t="s">
        <v>4921</v>
      </c>
      <c r="N2485" t="s">
        <v>347</v>
      </c>
      <c r="O2485">
        <v>32.54</v>
      </c>
      <c r="P2485">
        <v>32.97</v>
      </c>
      <c r="Q2485">
        <v>32.14</v>
      </c>
      <c r="R2485">
        <v>32.55</v>
      </c>
      <c r="S2485">
        <v>35.01</v>
      </c>
      <c r="T2485">
        <v>0.64</v>
      </c>
      <c r="U2485" t="s">
        <v>183</v>
      </c>
    </row>
    <row r="2486" spans="1:21">
      <c r="A2486" t="str">
        <f>"301045"</f>
        <v>301045</v>
      </c>
      <c r="B2486" t="s">
        <v>4922</v>
      </c>
      <c r="C2486">
        <v>5.25</v>
      </c>
      <c r="D2486">
        <v>32.07</v>
      </c>
      <c r="E2486">
        <v>1.6</v>
      </c>
      <c r="F2486">
        <v>32.07</v>
      </c>
      <c r="G2486">
        <v>32.08</v>
      </c>
      <c r="H2486">
        <v>29146</v>
      </c>
      <c r="I2486">
        <v>672</v>
      </c>
      <c r="J2486">
        <v>0.16</v>
      </c>
      <c r="K2486">
        <v>11.92</v>
      </c>
      <c r="L2486">
        <v>9243.61</v>
      </c>
      <c r="M2486" t="s">
        <v>905</v>
      </c>
      <c r="N2486" t="s">
        <v>69</v>
      </c>
      <c r="O2486">
        <v>30.47</v>
      </c>
      <c r="P2486">
        <v>32.4</v>
      </c>
      <c r="Q2486">
        <v>30.47</v>
      </c>
      <c r="R2486">
        <v>30.47</v>
      </c>
      <c r="S2486">
        <v>32.35</v>
      </c>
      <c r="T2486">
        <v>1.76</v>
      </c>
      <c r="U2486" t="s">
        <v>102</v>
      </c>
    </row>
    <row r="2487" spans="1:21">
      <c r="A2487" t="str">
        <f>"301046"</f>
        <v>301046</v>
      </c>
      <c r="B2487" t="s">
        <v>4923</v>
      </c>
      <c r="C2487">
        <v>2.52</v>
      </c>
      <c r="D2487">
        <v>62.71</v>
      </c>
      <c r="E2487">
        <v>1.54</v>
      </c>
      <c r="F2487">
        <v>62.7</v>
      </c>
      <c r="G2487">
        <v>62.71</v>
      </c>
      <c r="H2487">
        <v>48579</v>
      </c>
      <c r="I2487">
        <v>653</v>
      </c>
      <c r="J2487">
        <v>0.03</v>
      </c>
      <c r="K2487">
        <v>13.71</v>
      </c>
      <c r="L2487">
        <v>30043.27</v>
      </c>
      <c r="M2487" t="s">
        <v>2515</v>
      </c>
      <c r="N2487" t="s">
        <v>114</v>
      </c>
      <c r="O2487">
        <v>61.17</v>
      </c>
      <c r="P2487">
        <v>63.25</v>
      </c>
      <c r="Q2487">
        <v>60.15</v>
      </c>
      <c r="R2487">
        <v>61.17</v>
      </c>
      <c r="S2487">
        <v>84.62</v>
      </c>
      <c r="T2487">
        <v>0.77</v>
      </c>
      <c r="U2487" t="s">
        <v>848</v>
      </c>
    </row>
    <row r="2488" spans="1:21">
      <c r="A2488" t="str">
        <f>"301047"</f>
        <v>301047</v>
      </c>
      <c r="B2488" t="s">
        <v>4924</v>
      </c>
      <c r="C2488">
        <v>1</v>
      </c>
      <c r="D2488">
        <v>369</v>
      </c>
      <c r="E2488">
        <v>3.67</v>
      </c>
      <c r="F2488">
        <v>369</v>
      </c>
      <c r="G2488">
        <v>369.01</v>
      </c>
      <c r="H2488">
        <v>5923</v>
      </c>
      <c r="I2488">
        <v>129</v>
      </c>
      <c r="J2488">
        <v>0.29</v>
      </c>
      <c r="K2488">
        <v>3.48</v>
      </c>
      <c r="L2488">
        <v>21798.96</v>
      </c>
      <c r="M2488" t="s">
        <v>4925</v>
      </c>
      <c r="N2488" t="s">
        <v>186</v>
      </c>
      <c r="O2488">
        <v>366.9</v>
      </c>
      <c r="P2488">
        <v>373.69</v>
      </c>
      <c r="Q2488">
        <v>363.2</v>
      </c>
      <c r="R2488">
        <v>365.33</v>
      </c>
      <c r="S2488">
        <v>33.83</v>
      </c>
      <c r="T2488">
        <v>0.53</v>
      </c>
      <c r="U2488" t="s">
        <v>44</v>
      </c>
    </row>
    <row r="2489" spans="1:21">
      <c r="A2489" t="str">
        <f>"301048"</f>
        <v>301048</v>
      </c>
      <c r="B2489" t="s">
        <v>4926</v>
      </c>
      <c r="C2489">
        <v>0.62</v>
      </c>
      <c r="D2489">
        <v>14.69</v>
      </c>
      <c r="E2489">
        <v>0.09</v>
      </c>
      <c r="F2489">
        <v>14.68</v>
      </c>
      <c r="G2489">
        <v>14.69</v>
      </c>
      <c r="H2489">
        <v>133168</v>
      </c>
      <c r="I2489">
        <v>1462</v>
      </c>
      <c r="J2489">
        <v>0.62</v>
      </c>
      <c r="K2489">
        <v>15.18</v>
      </c>
      <c r="L2489">
        <v>19346.39</v>
      </c>
      <c r="M2489" t="s">
        <v>4927</v>
      </c>
      <c r="N2489" t="s">
        <v>43</v>
      </c>
      <c r="O2489">
        <v>14.39</v>
      </c>
      <c r="P2489">
        <v>14.87</v>
      </c>
      <c r="Q2489">
        <v>14.23</v>
      </c>
      <c r="R2489">
        <v>14.6</v>
      </c>
      <c r="S2489">
        <v>36.62</v>
      </c>
      <c r="T2489">
        <v>1.19</v>
      </c>
      <c r="U2489" t="s">
        <v>267</v>
      </c>
    </row>
    <row r="2490" spans="1:21">
      <c r="A2490" t="str">
        <f>"301049"</f>
        <v>301049</v>
      </c>
      <c r="B2490" t="s">
        <v>4928</v>
      </c>
      <c r="C2490">
        <v>1.4</v>
      </c>
      <c r="D2490">
        <v>34.11</v>
      </c>
      <c r="E2490">
        <v>0.47</v>
      </c>
      <c r="F2490">
        <v>34.11</v>
      </c>
      <c r="G2490">
        <v>34.12</v>
      </c>
      <c r="H2490">
        <v>19200</v>
      </c>
      <c r="I2490">
        <v>201</v>
      </c>
      <c r="J2490">
        <v>-0.11</v>
      </c>
      <c r="K2490">
        <v>8.59</v>
      </c>
      <c r="L2490">
        <v>6548.26</v>
      </c>
      <c r="M2490" t="s">
        <v>2379</v>
      </c>
      <c r="N2490" t="s">
        <v>33</v>
      </c>
      <c r="O2490">
        <v>33.95</v>
      </c>
      <c r="P2490">
        <v>34.55</v>
      </c>
      <c r="Q2490">
        <v>33.46</v>
      </c>
      <c r="R2490">
        <v>33.64</v>
      </c>
      <c r="S2490">
        <v>33.9</v>
      </c>
      <c r="T2490">
        <v>0.54</v>
      </c>
      <c r="U2490" t="s">
        <v>193</v>
      </c>
    </row>
    <row r="2491" spans="1:21">
      <c r="A2491" t="str">
        <f>"301050"</f>
        <v>301050</v>
      </c>
      <c r="B2491" t="s">
        <v>4929</v>
      </c>
      <c r="C2491">
        <v>7.54</v>
      </c>
      <c r="D2491">
        <v>288</v>
      </c>
      <c r="E2491">
        <v>20.2</v>
      </c>
      <c r="F2491">
        <v>288</v>
      </c>
      <c r="G2491">
        <v>288.01</v>
      </c>
      <c r="H2491">
        <v>15987</v>
      </c>
      <c r="I2491">
        <v>152</v>
      </c>
      <c r="J2491">
        <v>-0.19</v>
      </c>
      <c r="K2491">
        <v>8.68</v>
      </c>
      <c r="L2491">
        <v>45084.11</v>
      </c>
      <c r="M2491" t="s">
        <v>4930</v>
      </c>
      <c r="N2491" t="s">
        <v>611</v>
      </c>
      <c r="O2491">
        <v>265</v>
      </c>
      <c r="P2491">
        <v>294.82</v>
      </c>
      <c r="Q2491">
        <v>264</v>
      </c>
      <c r="R2491">
        <v>267.8</v>
      </c>
      <c r="S2491">
        <v>119.46</v>
      </c>
      <c r="T2491">
        <v>2.47</v>
      </c>
      <c r="U2491" t="s">
        <v>196</v>
      </c>
    </row>
    <row r="2492" spans="1:21">
      <c r="A2492" t="str">
        <f>"301051"</f>
        <v>301051</v>
      </c>
      <c r="B2492" t="s">
        <v>4931</v>
      </c>
      <c r="C2492">
        <v>0.22</v>
      </c>
      <c r="D2492">
        <v>129.94</v>
      </c>
      <c r="E2492">
        <v>0.29</v>
      </c>
      <c r="F2492">
        <v>129.93</v>
      </c>
      <c r="G2492">
        <v>129.94</v>
      </c>
      <c r="H2492">
        <v>8298</v>
      </c>
      <c r="I2492">
        <v>70</v>
      </c>
      <c r="J2492">
        <v>-0.02</v>
      </c>
      <c r="K2492">
        <v>4.15</v>
      </c>
      <c r="L2492">
        <v>10765.18</v>
      </c>
      <c r="M2492" t="s">
        <v>4932</v>
      </c>
      <c r="N2492" t="s">
        <v>69</v>
      </c>
      <c r="O2492">
        <v>129.65</v>
      </c>
      <c r="P2492">
        <v>130.7</v>
      </c>
      <c r="Q2492">
        <v>128.05</v>
      </c>
      <c r="R2492">
        <v>129.65</v>
      </c>
      <c r="S2492">
        <v>52.82</v>
      </c>
      <c r="T2492">
        <v>0.63</v>
      </c>
      <c r="U2492" t="s">
        <v>24</v>
      </c>
    </row>
    <row r="2493" spans="1:21">
      <c r="A2493" t="str">
        <f>"301052"</f>
        <v>301052</v>
      </c>
      <c r="B2493" t="s">
        <v>4933</v>
      </c>
      <c r="C2493">
        <v>1.55</v>
      </c>
      <c r="D2493">
        <v>30.16</v>
      </c>
      <c r="E2493">
        <v>0.46</v>
      </c>
      <c r="F2493">
        <v>30.15</v>
      </c>
      <c r="G2493">
        <v>30.16</v>
      </c>
      <c r="H2493">
        <v>19081</v>
      </c>
      <c r="I2493">
        <v>262</v>
      </c>
      <c r="J2493">
        <v>-0.12</v>
      </c>
      <c r="K2493">
        <v>11.17</v>
      </c>
      <c r="L2493">
        <v>5731.53</v>
      </c>
      <c r="M2493" t="s">
        <v>4934</v>
      </c>
      <c r="N2493" t="s">
        <v>650</v>
      </c>
      <c r="O2493">
        <v>29.99</v>
      </c>
      <c r="P2493">
        <v>30.6</v>
      </c>
      <c r="Q2493">
        <v>29.24</v>
      </c>
      <c r="R2493">
        <v>29.7</v>
      </c>
      <c r="S2493">
        <v>38.81</v>
      </c>
      <c r="T2493">
        <v>0.51</v>
      </c>
      <c r="U2493" t="s">
        <v>200</v>
      </c>
    </row>
    <row r="2494" spans="1:21">
      <c r="A2494" t="str">
        <f>"301053"</f>
        <v>301053</v>
      </c>
      <c r="B2494" t="s">
        <v>4935</v>
      </c>
      <c r="C2494">
        <v>3.54</v>
      </c>
      <c r="D2494">
        <v>31.91</v>
      </c>
      <c r="E2494">
        <v>1.09</v>
      </c>
      <c r="F2494">
        <v>31.91</v>
      </c>
      <c r="G2494">
        <v>31.92</v>
      </c>
      <c r="H2494">
        <v>23371</v>
      </c>
      <c r="I2494">
        <v>214</v>
      </c>
      <c r="J2494">
        <v>-0.15</v>
      </c>
      <c r="K2494">
        <v>13.4</v>
      </c>
      <c r="L2494">
        <v>7351.3</v>
      </c>
      <c r="M2494" t="s">
        <v>4175</v>
      </c>
      <c r="N2494" t="s">
        <v>324</v>
      </c>
      <c r="O2494">
        <v>30.62</v>
      </c>
      <c r="P2494">
        <v>32.3</v>
      </c>
      <c r="Q2494">
        <v>30.4</v>
      </c>
      <c r="R2494">
        <v>30.82</v>
      </c>
      <c r="S2494">
        <v>31.68</v>
      </c>
      <c r="T2494">
        <v>1.32</v>
      </c>
      <c r="U2494" t="s">
        <v>200</v>
      </c>
    </row>
    <row r="2495" spans="1:21">
      <c r="A2495" t="str">
        <f>"301055"</f>
        <v>301055</v>
      </c>
      <c r="B2495" t="s">
        <v>4936</v>
      </c>
      <c r="C2495">
        <v>0</v>
      </c>
      <c r="D2495">
        <v>25.08</v>
      </c>
      <c r="E2495">
        <v>0</v>
      </c>
      <c r="F2495">
        <v>25.08</v>
      </c>
      <c r="G2495">
        <v>25.09</v>
      </c>
      <c r="H2495">
        <v>27525</v>
      </c>
      <c r="I2495">
        <v>478</v>
      </c>
      <c r="J2495">
        <v>-0.07</v>
      </c>
      <c r="K2495">
        <v>8.27</v>
      </c>
      <c r="L2495">
        <v>6873.7</v>
      </c>
      <c r="M2495" t="s">
        <v>4937</v>
      </c>
      <c r="N2495" t="s">
        <v>910</v>
      </c>
      <c r="O2495">
        <v>25.27</v>
      </c>
      <c r="P2495">
        <v>25.37</v>
      </c>
      <c r="Q2495">
        <v>24.54</v>
      </c>
      <c r="R2495">
        <v>25.08</v>
      </c>
      <c r="S2495">
        <v>46.7</v>
      </c>
      <c r="T2495">
        <v>0.55</v>
      </c>
      <c r="U2495" t="s">
        <v>200</v>
      </c>
    </row>
    <row r="2496" spans="1:21">
      <c r="A2496" t="str">
        <f>"301056"</f>
        <v>301056</v>
      </c>
      <c r="B2496" t="s">
        <v>4938</v>
      </c>
      <c r="C2496">
        <v>2.3</v>
      </c>
      <c r="D2496">
        <v>11.57</v>
      </c>
      <c r="E2496">
        <v>0.26</v>
      </c>
      <c r="F2496">
        <v>11.57</v>
      </c>
      <c r="G2496">
        <v>11.58</v>
      </c>
      <c r="H2496">
        <v>46921</v>
      </c>
      <c r="I2496">
        <v>1155</v>
      </c>
      <c r="J2496">
        <v>0.09</v>
      </c>
      <c r="K2496">
        <v>7.42</v>
      </c>
      <c r="L2496">
        <v>5406.9</v>
      </c>
      <c r="M2496" t="s">
        <v>277</v>
      </c>
      <c r="N2496" t="s">
        <v>43</v>
      </c>
      <c r="O2496">
        <v>11.4</v>
      </c>
      <c r="P2496">
        <v>11.68</v>
      </c>
      <c r="Q2496">
        <v>11.27</v>
      </c>
      <c r="R2496">
        <v>11.31</v>
      </c>
      <c r="S2496">
        <v>42.73</v>
      </c>
      <c r="T2496">
        <v>0.72</v>
      </c>
      <c r="U2496" t="s">
        <v>200</v>
      </c>
    </row>
    <row r="2497" spans="1:21">
      <c r="A2497" t="str">
        <f>"301057"</f>
        <v>301057</v>
      </c>
      <c r="B2497" t="s">
        <v>4939</v>
      </c>
      <c r="C2497">
        <v>3.15</v>
      </c>
      <c r="D2497">
        <v>20.95</v>
      </c>
      <c r="E2497">
        <v>0.64</v>
      </c>
      <c r="F2497">
        <v>20.94</v>
      </c>
      <c r="G2497">
        <v>20.95</v>
      </c>
      <c r="H2497">
        <v>38838</v>
      </c>
      <c r="I2497">
        <v>591</v>
      </c>
      <c r="J2497">
        <v>0.19</v>
      </c>
      <c r="K2497">
        <v>15</v>
      </c>
      <c r="L2497">
        <v>8041.54</v>
      </c>
      <c r="M2497" t="s">
        <v>4940</v>
      </c>
      <c r="N2497" t="s">
        <v>309</v>
      </c>
      <c r="O2497">
        <v>20.32</v>
      </c>
      <c r="P2497">
        <v>21.2</v>
      </c>
      <c r="Q2497">
        <v>19.96</v>
      </c>
      <c r="R2497">
        <v>20.31</v>
      </c>
      <c r="S2497">
        <v>30.19</v>
      </c>
      <c r="T2497">
        <v>1.03</v>
      </c>
      <c r="U2497" t="s">
        <v>200</v>
      </c>
    </row>
    <row r="2498" spans="1:21">
      <c r="A2498" t="str">
        <f>"301058"</f>
        <v>301058</v>
      </c>
      <c r="B2498" t="s">
        <v>4941</v>
      </c>
      <c r="C2498">
        <v>0.98</v>
      </c>
      <c r="D2498">
        <v>12.41</v>
      </c>
      <c r="E2498">
        <v>0.12</v>
      </c>
      <c r="F2498">
        <v>12.41</v>
      </c>
      <c r="G2498">
        <v>12.42</v>
      </c>
      <c r="H2498">
        <v>159731</v>
      </c>
      <c r="I2498">
        <v>2966</v>
      </c>
      <c r="J2498">
        <v>-0.47</v>
      </c>
      <c r="K2498">
        <v>16.68</v>
      </c>
      <c r="L2498">
        <v>19921.65</v>
      </c>
      <c r="M2498" t="s">
        <v>4942</v>
      </c>
      <c r="N2498" t="s">
        <v>50</v>
      </c>
      <c r="O2498">
        <v>12.31</v>
      </c>
      <c r="P2498">
        <v>12.84</v>
      </c>
      <c r="Q2498">
        <v>12.22</v>
      </c>
      <c r="R2498">
        <v>12.29</v>
      </c>
      <c r="S2498">
        <v>63.98</v>
      </c>
      <c r="T2498">
        <v>0.77</v>
      </c>
      <c r="U2498" t="s">
        <v>102</v>
      </c>
    </row>
    <row r="2499" spans="1:21">
      <c r="A2499" t="str">
        <f>"301059"</f>
        <v>301059</v>
      </c>
      <c r="B2499" t="s">
        <v>4943</v>
      </c>
      <c r="C2499">
        <v>-1.1</v>
      </c>
      <c r="D2499">
        <v>22.49</v>
      </c>
      <c r="E2499">
        <v>-0.25</v>
      </c>
      <c r="F2499">
        <v>22.48</v>
      </c>
      <c r="G2499">
        <v>22.49</v>
      </c>
      <c r="H2499">
        <v>61868</v>
      </c>
      <c r="I2499">
        <v>1262</v>
      </c>
      <c r="J2499">
        <v>0.94</v>
      </c>
      <c r="K2499">
        <v>21.44</v>
      </c>
      <c r="L2499">
        <v>13731.02</v>
      </c>
      <c r="M2499" t="s">
        <v>4944</v>
      </c>
      <c r="N2499" t="s">
        <v>309</v>
      </c>
      <c r="O2499">
        <v>22.03</v>
      </c>
      <c r="P2499">
        <v>22.68</v>
      </c>
      <c r="Q2499">
        <v>21.74</v>
      </c>
      <c r="R2499">
        <v>22.74</v>
      </c>
      <c r="S2499">
        <v>53.27</v>
      </c>
      <c r="T2499">
        <v>1.07</v>
      </c>
      <c r="U2499" t="s">
        <v>183</v>
      </c>
    </row>
    <row r="2500" spans="1:21">
      <c r="A2500" t="str">
        <f>"301060"</f>
        <v>301060</v>
      </c>
      <c r="B2500" t="s">
        <v>4945</v>
      </c>
      <c r="C2500">
        <v>0.37</v>
      </c>
      <c r="D2500">
        <v>21.76</v>
      </c>
      <c r="E2500">
        <v>0.08</v>
      </c>
      <c r="F2500">
        <v>21.75</v>
      </c>
      <c r="G2500">
        <v>21.76</v>
      </c>
      <c r="H2500">
        <v>46999</v>
      </c>
      <c r="I2500">
        <v>1349</v>
      </c>
      <c r="J2500">
        <v>-0.17</v>
      </c>
      <c r="K2500">
        <v>11.57</v>
      </c>
      <c r="L2500">
        <v>10231.26</v>
      </c>
      <c r="M2500" t="s">
        <v>4946</v>
      </c>
      <c r="N2500" t="s">
        <v>186</v>
      </c>
      <c r="O2500">
        <v>21.58</v>
      </c>
      <c r="P2500">
        <v>22.08</v>
      </c>
      <c r="Q2500">
        <v>21.43</v>
      </c>
      <c r="R2500">
        <v>21.68</v>
      </c>
      <c r="S2500">
        <v>36.85</v>
      </c>
      <c r="T2500">
        <v>0.46</v>
      </c>
      <c r="U2500" t="s">
        <v>848</v>
      </c>
    </row>
    <row r="2501" spans="1:21">
      <c r="A2501" t="str">
        <f>"301061"</f>
        <v>301061</v>
      </c>
      <c r="B2501" t="s">
        <v>4947</v>
      </c>
      <c r="C2501">
        <v>2.22</v>
      </c>
      <c r="D2501">
        <v>75.4</v>
      </c>
      <c r="E2501">
        <v>1.64</v>
      </c>
      <c r="F2501">
        <v>75.35</v>
      </c>
      <c r="G2501">
        <v>75.4</v>
      </c>
      <c r="H2501">
        <v>12737</v>
      </c>
      <c r="I2501">
        <v>259</v>
      </c>
      <c r="J2501">
        <v>-0.33</v>
      </c>
      <c r="K2501">
        <v>6.37</v>
      </c>
      <c r="L2501">
        <v>9453.73</v>
      </c>
      <c r="M2501" t="s">
        <v>1942</v>
      </c>
      <c r="N2501" t="s">
        <v>910</v>
      </c>
      <c r="O2501">
        <v>73.55</v>
      </c>
      <c r="P2501">
        <v>75.93</v>
      </c>
      <c r="Q2501">
        <v>72.53</v>
      </c>
      <c r="R2501">
        <v>73.76</v>
      </c>
      <c r="S2501">
        <v>19.14</v>
      </c>
      <c r="T2501">
        <v>0.42</v>
      </c>
      <c r="U2501" t="s">
        <v>102</v>
      </c>
    </row>
    <row r="2502" spans="1:21">
      <c r="A2502" t="str">
        <f>"301062"</f>
        <v>301062</v>
      </c>
      <c r="B2502" t="s">
        <v>4948</v>
      </c>
      <c r="C2502">
        <v>4.87</v>
      </c>
      <c r="D2502">
        <v>17.67</v>
      </c>
      <c r="E2502">
        <v>0.82</v>
      </c>
      <c r="F2502">
        <v>17.67</v>
      </c>
      <c r="G2502">
        <v>17.68</v>
      </c>
      <c r="H2502">
        <v>81383</v>
      </c>
      <c r="I2502">
        <v>615</v>
      </c>
      <c r="J2502">
        <v>-0.05</v>
      </c>
      <c r="K2502">
        <v>19.84</v>
      </c>
      <c r="L2502">
        <v>14243.95</v>
      </c>
      <c r="M2502" t="s">
        <v>4949</v>
      </c>
      <c r="N2502" t="s">
        <v>482</v>
      </c>
      <c r="O2502">
        <v>17.13</v>
      </c>
      <c r="P2502">
        <v>18.5</v>
      </c>
      <c r="Q2502">
        <v>16.81</v>
      </c>
      <c r="R2502">
        <v>16.85</v>
      </c>
      <c r="S2502">
        <v>45.88</v>
      </c>
      <c r="T2502">
        <v>1.53</v>
      </c>
      <c r="U2502" t="s">
        <v>848</v>
      </c>
    </row>
    <row r="2503" spans="1:21">
      <c r="A2503" t="str">
        <f>"301063"</f>
        <v>301063</v>
      </c>
      <c r="B2503" t="s">
        <v>4950</v>
      </c>
      <c r="C2503">
        <v>-1.64</v>
      </c>
      <c r="D2503">
        <v>49.03</v>
      </c>
      <c r="E2503">
        <v>-0.82</v>
      </c>
      <c r="F2503">
        <v>49.03</v>
      </c>
      <c r="G2503">
        <v>49.05</v>
      </c>
      <c r="H2503">
        <v>57004</v>
      </c>
      <c r="I2503">
        <v>632</v>
      </c>
      <c r="J2503">
        <v>-0.19</v>
      </c>
      <c r="K2503">
        <v>28.54</v>
      </c>
      <c r="L2503">
        <v>28252.28</v>
      </c>
      <c r="M2503" t="s">
        <v>4951</v>
      </c>
      <c r="N2503" t="s">
        <v>47</v>
      </c>
      <c r="O2503">
        <v>49.03</v>
      </c>
      <c r="P2503">
        <v>50.63</v>
      </c>
      <c r="Q2503">
        <v>48.6</v>
      </c>
      <c r="R2503">
        <v>49.85</v>
      </c>
      <c r="S2503">
        <v>47.14</v>
      </c>
      <c r="T2503">
        <v>0.87</v>
      </c>
      <c r="U2503" t="s">
        <v>102</v>
      </c>
    </row>
    <row r="2504" spans="1:21">
      <c r="A2504" t="str">
        <f>"301065"</f>
        <v>301065</v>
      </c>
      <c r="B2504" t="s">
        <v>4952</v>
      </c>
      <c r="C2504">
        <v>1.02</v>
      </c>
      <c r="D2504">
        <v>53.64</v>
      </c>
      <c r="E2504">
        <v>0.54</v>
      </c>
      <c r="F2504">
        <v>53.63</v>
      </c>
      <c r="G2504">
        <v>53.64</v>
      </c>
      <c r="H2504">
        <v>19370</v>
      </c>
      <c r="I2504">
        <v>425</v>
      </c>
      <c r="J2504">
        <v>0.06</v>
      </c>
      <c r="K2504">
        <v>10.96</v>
      </c>
      <c r="L2504">
        <v>10352.78</v>
      </c>
      <c r="M2504" t="s">
        <v>4953</v>
      </c>
      <c r="N2504" t="s">
        <v>309</v>
      </c>
      <c r="O2504">
        <v>53.1</v>
      </c>
      <c r="P2504">
        <v>54.78</v>
      </c>
      <c r="Q2504">
        <v>52.31</v>
      </c>
      <c r="R2504">
        <v>53.1</v>
      </c>
      <c r="S2504">
        <v>62.37</v>
      </c>
      <c r="T2504">
        <v>0.4</v>
      </c>
      <c r="U2504" t="s">
        <v>200</v>
      </c>
    </row>
    <row r="2505" spans="1:21">
      <c r="A2505" t="str">
        <f>"301066"</f>
        <v>301066</v>
      </c>
      <c r="B2505" t="s">
        <v>4954</v>
      </c>
      <c r="C2505">
        <v>6.34</v>
      </c>
      <c r="D2505">
        <v>27.5</v>
      </c>
      <c r="E2505">
        <v>1.64</v>
      </c>
      <c r="F2505">
        <v>27.48</v>
      </c>
      <c r="G2505">
        <v>27.5</v>
      </c>
      <c r="H2505">
        <v>96692</v>
      </c>
      <c r="I2505">
        <v>2096</v>
      </c>
      <c r="J2505">
        <v>-0.5</v>
      </c>
      <c r="K2505">
        <v>33.69</v>
      </c>
      <c r="L2505">
        <v>26546.52</v>
      </c>
      <c r="M2505" t="s">
        <v>4955</v>
      </c>
      <c r="N2505" t="s">
        <v>664</v>
      </c>
      <c r="O2505">
        <v>25.6</v>
      </c>
      <c r="P2505">
        <v>29.6</v>
      </c>
      <c r="Q2505">
        <v>25.31</v>
      </c>
      <c r="R2505">
        <v>25.86</v>
      </c>
      <c r="S2505">
        <v>55.12</v>
      </c>
      <c r="T2505">
        <v>1.37</v>
      </c>
      <c r="U2505" t="s">
        <v>200</v>
      </c>
    </row>
    <row r="2506" spans="1:21">
      <c r="A2506" t="str">
        <f>"301067"</f>
        <v>301067</v>
      </c>
      <c r="B2506" t="s">
        <v>4956</v>
      </c>
      <c r="C2506">
        <v>1.04</v>
      </c>
      <c r="D2506">
        <v>52.45</v>
      </c>
      <c r="E2506">
        <v>0.54</v>
      </c>
      <c r="F2506">
        <v>52.44</v>
      </c>
      <c r="G2506">
        <v>52.45</v>
      </c>
      <c r="H2506">
        <v>9082</v>
      </c>
      <c r="I2506">
        <v>195</v>
      </c>
      <c r="J2506">
        <v>0.1</v>
      </c>
      <c r="K2506">
        <v>6.72</v>
      </c>
      <c r="L2506">
        <v>4767.32</v>
      </c>
      <c r="M2506" t="s">
        <v>4957</v>
      </c>
      <c r="N2506" t="s">
        <v>69</v>
      </c>
      <c r="O2506">
        <v>52.13</v>
      </c>
      <c r="P2506">
        <v>52.97</v>
      </c>
      <c r="Q2506">
        <v>51.26</v>
      </c>
      <c r="R2506">
        <v>51.91</v>
      </c>
      <c r="S2506">
        <v>53.58</v>
      </c>
      <c r="T2506">
        <v>0.34</v>
      </c>
      <c r="U2506" t="s">
        <v>24</v>
      </c>
    </row>
    <row r="2507" spans="1:21">
      <c r="A2507" t="str">
        <f>"301068"</f>
        <v>301068</v>
      </c>
      <c r="B2507" t="s">
        <v>4958</v>
      </c>
      <c r="C2507">
        <v>1.04</v>
      </c>
      <c r="D2507">
        <v>29.1</v>
      </c>
      <c r="E2507">
        <v>0.3</v>
      </c>
      <c r="F2507">
        <v>29.09</v>
      </c>
      <c r="G2507">
        <v>29.1</v>
      </c>
      <c r="H2507">
        <v>30705</v>
      </c>
      <c r="I2507">
        <v>600</v>
      </c>
      <c r="J2507">
        <v>0.1</v>
      </c>
      <c r="K2507">
        <v>17.13</v>
      </c>
      <c r="L2507">
        <v>8853.07</v>
      </c>
      <c r="M2507" t="s">
        <v>4959</v>
      </c>
      <c r="N2507" t="s">
        <v>33</v>
      </c>
      <c r="O2507">
        <v>28.54</v>
      </c>
      <c r="P2507">
        <v>29.5</v>
      </c>
      <c r="Q2507">
        <v>28</v>
      </c>
      <c r="R2507">
        <v>28.8</v>
      </c>
      <c r="S2507">
        <v>59.5</v>
      </c>
      <c r="T2507">
        <v>0.64</v>
      </c>
      <c r="U2507" t="s">
        <v>200</v>
      </c>
    </row>
    <row r="2508" spans="1:21">
      <c r="A2508" t="str">
        <f>"301069"</f>
        <v>301069</v>
      </c>
      <c r="B2508" t="s">
        <v>4960</v>
      </c>
      <c r="C2508">
        <v>15.27</v>
      </c>
      <c r="D2508">
        <v>66.5</v>
      </c>
      <c r="E2508">
        <v>8.81</v>
      </c>
      <c r="F2508">
        <v>66.5</v>
      </c>
      <c r="G2508">
        <v>66.52</v>
      </c>
      <c r="H2508">
        <v>143010</v>
      </c>
      <c r="I2508">
        <v>2024</v>
      </c>
      <c r="J2508">
        <v>1.45</v>
      </c>
      <c r="K2508">
        <v>25.39</v>
      </c>
      <c r="L2508">
        <v>88744.63</v>
      </c>
      <c r="M2508" t="s">
        <v>4961</v>
      </c>
      <c r="N2508" t="s">
        <v>309</v>
      </c>
      <c r="O2508">
        <v>57.52</v>
      </c>
      <c r="P2508">
        <v>66.66</v>
      </c>
      <c r="Q2508">
        <v>56.8</v>
      </c>
      <c r="R2508">
        <v>57.69</v>
      </c>
      <c r="S2508">
        <v>148.09</v>
      </c>
      <c r="T2508">
        <v>1.5</v>
      </c>
      <c r="U2508" t="s">
        <v>221</v>
      </c>
    </row>
    <row r="2509" spans="1:21">
      <c r="A2509" t="str">
        <f>"301070"</f>
        <v>301070</v>
      </c>
      <c r="B2509" t="s">
        <v>4962</v>
      </c>
      <c r="C2509">
        <v>-0.26</v>
      </c>
      <c r="D2509">
        <v>37.8</v>
      </c>
      <c r="E2509">
        <v>-0.1</v>
      </c>
      <c r="F2509">
        <v>37.78</v>
      </c>
      <c r="G2509">
        <v>37.8</v>
      </c>
      <c r="H2509">
        <v>22597</v>
      </c>
      <c r="I2509">
        <v>768</v>
      </c>
      <c r="J2509">
        <v>0.24</v>
      </c>
      <c r="K2509">
        <v>13.97</v>
      </c>
      <c r="L2509">
        <v>8473.45</v>
      </c>
      <c r="M2509" t="s">
        <v>4963</v>
      </c>
      <c r="N2509" t="s">
        <v>347</v>
      </c>
      <c r="O2509">
        <v>38.35</v>
      </c>
      <c r="P2509">
        <v>38.35</v>
      </c>
      <c r="Q2509">
        <v>36.86</v>
      </c>
      <c r="R2509">
        <v>37.9</v>
      </c>
      <c r="S2509">
        <v>30.76</v>
      </c>
      <c r="T2509">
        <v>0.72</v>
      </c>
      <c r="U2509" t="s">
        <v>848</v>
      </c>
    </row>
    <row r="2510" spans="1:21">
      <c r="A2510" t="str">
        <f>"301071"</f>
        <v>301071</v>
      </c>
      <c r="B2510" t="s">
        <v>4964</v>
      </c>
      <c r="C2510">
        <v>-1.1</v>
      </c>
      <c r="D2510">
        <v>306.8</v>
      </c>
      <c r="E2510">
        <v>-3.4</v>
      </c>
      <c r="F2510">
        <v>306.7</v>
      </c>
      <c r="G2510">
        <v>306.8</v>
      </c>
      <c r="H2510">
        <v>10861</v>
      </c>
      <c r="I2510">
        <v>106</v>
      </c>
      <c r="J2510">
        <v>0.1</v>
      </c>
      <c r="K2510">
        <v>7.2</v>
      </c>
      <c r="L2510">
        <v>33526.12</v>
      </c>
      <c r="M2510" t="s">
        <v>4965</v>
      </c>
      <c r="N2510" t="s">
        <v>750</v>
      </c>
      <c r="O2510">
        <v>307</v>
      </c>
      <c r="P2510">
        <v>314.5</v>
      </c>
      <c r="Q2510">
        <v>303.33</v>
      </c>
      <c r="R2510">
        <v>310.2</v>
      </c>
      <c r="S2510">
        <v>86.25</v>
      </c>
      <c r="T2510">
        <v>0.82</v>
      </c>
      <c r="U2510" t="s">
        <v>224</v>
      </c>
    </row>
    <row r="2511" spans="1:21">
      <c r="A2511" t="str">
        <f>"301072"</f>
        <v>301072</v>
      </c>
      <c r="B2511" t="s">
        <v>4966</v>
      </c>
      <c r="C2511">
        <v>20.01</v>
      </c>
      <c r="D2511">
        <v>47.33</v>
      </c>
      <c r="E2511">
        <v>7.89</v>
      </c>
      <c r="F2511">
        <v>47.33</v>
      </c>
      <c r="G2511" t="s">
        <v>40</v>
      </c>
      <c r="H2511">
        <v>176421</v>
      </c>
      <c r="I2511">
        <v>289</v>
      </c>
      <c r="J2511">
        <v>0</v>
      </c>
      <c r="K2511">
        <v>70.83</v>
      </c>
      <c r="L2511">
        <v>77181.45</v>
      </c>
      <c r="M2511" t="s">
        <v>4967</v>
      </c>
      <c r="N2511" t="s">
        <v>91</v>
      </c>
      <c r="O2511">
        <v>38.27</v>
      </c>
      <c r="P2511">
        <v>47.33</v>
      </c>
      <c r="Q2511">
        <v>38.27</v>
      </c>
      <c r="R2511">
        <v>39.44</v>
      </c>
      <c r="S2511">
        <v>90.37</v>
      </c>
      <c r="T2511">
        <v>1.44</v>
      </c>
      <c r="U2511" t="s">
        <v>102</v>
      </c>
    </row>
    <row r="2512" spans="1:21">
      <c r="A2512" t="str">
        <f>"301073"</f>
        <v>301073</v>
      </c>
      <c r="B2512" t="s">
        <v>4968</v>
      </c>
      <c r="C2512">
        <v>5.98</v>
      </c>
      <c r="D2512">
        <v>30.29</v>
      </c>
      <c r="E2512">
        <v>1.71</v>
      </c>
      <c r="F2512">
        <v>30.28</v>
      </c>
      <c r="G2512">
        <v>30.29</v>
      </c>
      <c r="H2512">
        <v>47805</v>
      </c>
      <c r="I2512">
        <v>339</v>
      </c>
      <c r="J2512">
        <v>0.3</v>
      </c>
      <c r="K2512">
        <v>25.07</v>
      </c>
      <c r="L2512">
        <v>14415.29</v>
      </c>
      <c r="M2512" t="s">
        <v>4963</v>
      </c>
      <c r="N2512" t="s">
        <v>39</v>
      </c>
      <c r="O2512">
        <v>28.59</v>
      </c>
      <c r="P2512">
        <v>31.21</v>
      </c>
      <c r="Q2512">
        <v>28.59</v>
      </c>
      <c r="R2512">
        <v>28.58</v>
      </c>
      <c r="S2512">
        <v>54.27</v>
      </c>
      <c r="T2512">
        <v>1.26</v>
      </c>
      <c r="U2512" t="s">
        <v>200</v>
      </c>
    </row>
    <row r="2513" spans="1:21">
      <c r="A2513" t="str">
        <f>"301075"</f>
        <v>301075</v>
      </c>
      <c r="B2513" t="s">
        <v>4969</v>
      </c>
      <c r="C2513">
        <v>-2.46</v>
      </c>
      <c r="D2513">
        <v>38.79</v>
      </c>
      <c r="E2513">
        <v>-0.98</v>
      </c>
      <c r="F2513">
        <v>38.78</v>
      </c>
      <c r="G2513">
        <v>38.79</v>
      </c>
      <c r="H2513">
        <v>38150</v>
      </c>
      <c r="I2513">
        <v>1101</v>
      </c>
      <c r="J2513">
        <v>0.73</v>
      </c>
      <c r="K2513">
        <v>19.08</v>
      </c>
      <c r="L2513">
        <v>14704.34</v>
      </c>
      <c r="M2513" t="s">
        <v>4970</v>
      </c>
      <c r="N2513" t="s">
        <v>192</v>
      </c>
      <c r="O2513">
        <v>39.06</v>
      </c>
      <c r="P2513">
        <v>39.7</v>
      </c>
      <c r="Q2513">
        <v>37.8</v>
      </c>
      <c r="R2513">
        <v>39.77</v>
      </c>
      <c r="S2513">
        <v>47.17</v>
      </c>
      <c r="T2513">
        <v>0.53</v>
      </c>
      <c r="U2513" t="s">
        <v>694</v>
      </c>
    </row>
    <row r="2514" spans="1:21">
      <c r="A2514" t="str">
        <f>"301076"</f>
        <v>301076</v>
      </c>
      <c r="B2514" t="s">
        <v>4971</v>
      </c>
      <c r="C2514">
        <v>1.83</v>
      </c>
      <c r="D2514">
        <v>37.78</v>
      </c>
      <c r="E2514">
        <v>0.68</v>
      </c>
      <c r="F2514">
        <v>37.78</v>
      </c>
      <c r="G2514">
        <v>37.86</v>
      </c>
      <c r="H2514">
        <v>25208</v>
      </c>
      <c r="I2514">
        <v>630</v>
      </c>
      <c r="J2514">
        <v>0.24</v>
      </c>
      <c r="K2514">
        <v>12.6</v>
      </c>
      <c r="L2514">
        <v>9477.93</v>
      </c>
      <c r="M2514" t="s">
        <v>4972</v>
      </c>
      <c r="N2514" t="s">
        <v>309</v>
      </c>
      <c r="O2514">
        <v>36.64</v>
      </c>
      <c r="P2514">
        <v>38.38</v>
      </c>
      <c r="Q2514">
        <v>36.64</v>
      </c>
      <c r="R2514">
        <v>37.1</v>
      </c>
      <c r="S2514">
        <v>44.64</v>
      </c>
      <c r="T2514">
        <v>0.61</v>
      </c>
      <c r="U2514" t="s">
        <v>102</v>
      </c>
    </row>
    <row r="2515" spans="1:21">
      <c r="A2515" t="str">
        <f>"301077"</f>
        <v>301077</v>
      </c>
      <c r="B2515" t="s">
        <v>4973</v>
      </c>
      <c r="C2515">
        <v>0.2</v>
      </c>
      <c r="D2515">
        <v>60.82</v>
      </c>
      <c r="E2515">
        <v>0.12</v>
      </c>
      <c r="F2515">
        <v>60.82</v>
      </c>
      <c r="G2515">
        <v>60.83</v>
      </c>
      <c r="H2515">
        <v>9728</v>
      </c>
      <c r="I2515">
        <v>194</v>
      </c>
      <c r="J2515">
        <v>-0.1</v>
      </c>
      <c r="K2515">
        <v>6.49</v>
      </c>
      <c r="L2515">
        <v>5931.13</v>
      </c>
      <c r="M2515" t="s">
        <v>4974</v>
      </c>
      <c r="N2515" t="s">
        <v>309</v>
      </c>
      <c r="O2515">
        <v>60.6</v>
      </c>
      <c r="P2515">
        <v>61.5</v>
      </c>
      <c r="Q2515">
        <v>60.2</v>
      </c>
      <c r="R2515">
        <v>60.7</v>
      </c>
      <c r="S2515">
        <v>25.96</v>
      </c>
      <c r="T2515">
        <v>0.4</v>
      </c>
      <c r="U2515" t="s">
        <v>200</v>
      </c>
    </row>
    <row r="2516" spans="1:21">
      <c r="A2516" t="str">
        <f>"301078"</f>
        <v>301078</v>
      </c>
      <c r="B2516" t="s">
        <v>4975</v>
      </c>
      <c r="C2516">
        <v>0.55</v>
      </c>
      <c r="D2516">
        <v>16.54</v>
      </c>
      <c r="E2516">
        <v>0.09</v>
      </c>
      <c r="F2516">
        <v>16.53</v>
      </c>
      <c r="G2516">
        <v>16.54</v>
      </c>
      <c r="H2516">
        <v>76479</v>
      </c>
      <c r="I2516">
        <v>2156</v>
      </c>
      <c r="J2516">
        <v>0.3</v>
      </c>
      <c r="K2516">
        <v>10.32</v>
      </c>
      <c r="L2516">
        <v>12619.44</v>
      </c>
      <c r="M2516" t="s">
        <v>4976</v>
      </c>
      <c r="N2516" t="s">
        <v>66</v>
      </c>
      <c r="O2516">
        <v>16.3</v>
      </c>
      <c r="P2516">
        <v>16.64</v>
      </c>
      <c r="Q2516">
        <v>16.28</v>
      </c>
      <c r="R2516">
        <v>16.45</v>
      </c>
      <c r="S2516">
        <v>57</v>
      </c>
      <c r="T2516">
        <v>0.46</v>
      </c>
      <c r="U2516" t="s">
        <v>102</v>
      </c>
    </row>
    <row r="2517" spans="1:21">
      <c r="A2517" t="str">
        <f>"301079"</f>
        <v>301079</v>
      </c>
      <c r="B2517" t="s">
        <v>4977</v>
      </c>
      <c r="C2517">
        <v>20.01</v>
      </c>
      <c r="D2517">
        <v>40.36</v>
      </c>
      <c r="E2517">
        <v>6.73</v>
      </c>
      <c r="F2517">
        <v>40.36</v>
      </c>
      <c r="G2517" t="s">
        <v>40</v>
      </c>
      <c r="H2517">
        <v>79701</v>
      </c>
      <c r="I2517">
        <v>201</v>
      </c>
      <c r="J2517">
        <v>0</v>
      </c>
      <c r="K2517">
        <v>44.53</v>
      </c>
      <c r="L2517">
        <v>29333.13</v>
      </c>
      <c r="M2517" t="s">
        <v>4978</v>
      </c>
      <c r="N2517" t="s">
        <v>347</v>
      </c>
      <c r="O2517">
        <v>32.81</v>
      </c>
      <c r="P2517">
        <v>40.36</v>
      </c>
      <c r="Q2517">
        <v>32.63</v>
      </c>
      <c r="R2517">
        <v>33.63</v>
      </c>
      <c r="S2517">
        <v>64.59</v>
      </c>
      <c r="T2517">
        <v>1.15</v>
      </c>
      <c r="U2517" t="s">
        <v>204</v>
      </c>
    </row>
    <row r="2518" spans="1:21">
      <c r="A2518" t="str">
        <f>"301080"</f>
        <v>301080</v>
      </c>
      <c r="B2518" t="s">
        <v>4979</v>
      </c>
      <c r="C2518">
        <v>-1.17</v>
      </c>
      <c r="D2518">
        <v>205.97</v>
      </c>
      <c r="E2518">
        <v>-2.43</v>
      </c>
      <c r="F2518">
        <v>205.93</v>
      </c>
      <c r="G2518">
        <v>205.97</v>
      </c>
      <c r="H2518">
        <v>8692</v>
      </c>
      <c r="I2518">
        <v>75</v>
      </c>
      <c r="J2518">
        <v>0.23</v>
      </c>
      <c r="K2518">
        <v>4.35</v>
      </c>
      <c r="L2518">
        <v>18287.26</v>
      </c>
      <c r="M2518" t="s">
        <v>4980</v>
      </c>
      <c r="N2518" t="s">
        <v>186</v>
      </c>
      <c r="O2518">
        <v>207.01</v>
      </c>
      <c r="P2518">
        <v>218.88</v>
      </c>
      <c r="Q2518">
        <v>204.64</v>
      </c>
      <c r="R2518">
        <v>208.4</v>
      </c>
      <c r="S2518">
        <v>101.9</v>
      </c>
      <c r="T2518">
        <v>0.6</v>
      </c>
      <c r="U2518" t="s">
        <v>44</v>
      </c>
    </row>
    <row r="2519" spans="1:21">
      <c r="A2519" t="str">
        <f>"301081"</f>
        <v>301081</v>
      </c>
      <c r="B2519" t="s">
        <v>4981</v>
      </c>
      <c r="C2519">
        <v>-6.42</v>
      </c>
      <c r="D2519">
        <v>24.19</v>
      </c>
      <c r="E2519">
        <v>-1.66</v>
      </c>
      <c r="F2519">
        <v>24.18</v>
      </c>
      <c r="G2519">
        <v>24.19</v>
      </c>
      <c r="H2519">
        <v>156653</v>
      </c>
      <c r="I2519">
        <v>4210</v>
      </c>
      <c r="J2519">
        <v>-0.85</v>
      </c>
      <c r="K2519">
        <v>41.98</v>
      </c>
      <c r="L2519">
        <v>38648.04</v>
      </c>
      <c r="M2519" t="s">
        <v>4982</v>
      </c>
      <c r="N2519" t="s">
        <v>33</v>
      </c>
      <c r="O2519">
        <v>24.91</v>
      </c>
      <c r="P2519">
        <v>25.6</v>
      </c>
      <c r="Q2519">
        <v>24.11</v>
      </c>
      <c r="R2519">
        <v>25.85</v>
      </c>
      <c r="S2519">
        <v>47.51</v>
      </c>
      <c r="T2519">
        <v>0.76</v>
      </c>
      <c r="U2519" t="s">
        <v>200</v>
      </c>
    </row>
    <row r="2520" spans="1:21">
      <c r="A2520" t="str">
        <f>"301082"</f>
        <v>301082</v>
      </c>
      <c r="B2520" t="s">
        <v>4983</v>
      </c>
      <c r="C2520">
        <v>-0.53</v>
      </c>
      <c r="D2520">
        <v>31.7</v>
      </c>
      <c r="E2520">
        <v>-0.17</v>
      </c>
      <c r="F2520">
        <v>31.69</v>
      </c>
      <c r="G2520">
        <v>31.7</v>
      </c>
      <c r="H2520">
        <v>122882</v>
      </c>
      <c r="I2520">
        <v>2179</v>
      </c>
      <c r="J2520">
        <v>0.38</v>
      </c>
      <c r="K2520">
        <v>36.16</v>
      </c>
      <c r="L2520">
        <v>38809.53</v>
      </c>
      <c r="M2520" t="s">
        <v>4984</v>
      </c>
      <c r="N2520" t="s">
        <v>47</v>
      </c>
      <c r="O2520">
        <v>31.5</v>
      </c>
      <c r="P2520">
        <v>32.75</v>
      </c>
      <c r="Q2520">
        <v>30.33</v>
      </c>
      <c r="R2520">
        <v>31.87</v>
      </c>
      <c r="S2520">
        <v>55.16</v>
      </c>
      <c r="T2520">
        <v>0.74</v>
      </c>
      <c r="U2520" t="s">
        <v>200</v>
      </c>
    </row>
    <row r="2521" spans="1:21">
      <c r="A2521" t="str">
        <f>"301083"</f>
        <v>301083</v>
      </c>
      <c r="B2521" t="s">
        <v>4985</v>
      </c>
      <c r="C2521">
        <v>-4.39</v>
      </c>
      <c r="D2521">
        <v>19.4</v>
      </c>
      <c r="E2521">
        <v>-0.89</v>
      </c>
      <c r="F2521">
        <v>19.39</v>
      </c>
      <c r="G2521">
        <v>19.4</v>
      </c>
      <c r="H2521">
        <v>100239</v>
      </c>
      <c r="I2521">
        <v>2959</v>
      </c>
      <c r="J2521">
        <v>-0.55</v>
      </c>
      <c r="K2521">
        <v>26.75</v>
      </c>
      <c r="L2521">
        <v>19753.29</v>
      </c>
      <c r="M2521" t="s">
        <v>4986</v>
      </c>
      <c r="N2521" t="s">
        <v>324</v>
      </c>
      <c r="O2521">
        <v>19.88</v>
      </c>
      <c r="P2521">
        <v>20.13</v>
      </c>
      <c r="Q2521">
        <v>19.39</v>
      </c>
      <c r="R2521">
        <v>20.29</v>
      </c>
      <c r="S2521">
        <v>55.61</v>
      </c>
      <c r="T2521">
        <v>0.58</v>
      </c>
      <c r="U2521" t="s">
        <v>235</v>
      </c>
    </row>
    <row r="2522" spans="1:21">
      <c r="A2522" t="str">
        <f>"301085"</f>
        <v>301085</v>
      </c>
      <c r="B2522" t="s">
        <v>4987</v>
      </c>
      <c r="C2522">
        <v>-1.28</v>
      </c>
      <c r="D2522">
        <v>35.4</v>
      </c>
      <c r="E2522">
        <v>-0.46</v>
      </c>
      <c r="F2522">
        <v>35.4</v>
      </c>
      <c r="G2522">
        <v>35.42</v>
      </c>
      <c r="H2522">
        <v>31468</v>
      </c>
      <c r="I2522">
        <v>539</v>
      </c>
      <c r="J2522">
        <v>0.11</v>
      </c>
      <c r="K2522">
        <v>15.73</v>
      </c>
      <c r="L2522">
        <v>11230.06</v>
      </c>
      <c r="M2522" t="s">
        <v>4988</v>
      </c>
      <c r="N2522" t="s">
        <v>30</v>
      </c>
      <c r="O2522">
        <v>35.87</v>
      </c>
      <c r="P2522">
        <v>36.58</v>
      </c>
      <c r="Q2522">
        <v>35.08</v>
      </c>
      <c r="R2522">
        <v>35.86</v>
      </c>
      <c r="S2522">
        <v>30.03</v>
      </c>
      <c r="T2522">
        <v>0.49</v>
      </c>
      <c r="U2522" t="s">
        <v>44</v>
      </c>
    </row>
    <row r="2523" spans="1:21">
      <c r="A2523" t="str">
        <f>"301086"</f>
        <v>301086</v>
      </c>
      <c r="B2523" t="s">
        <v>4989</v>
      </c>
      <c r="C2523">
        <v>0.44</v>
      </c>
      <c r="D2523">
        <v>88.35</v>
      </c>
      <c r="E2523">
        <v>0.39</v>
      </c>
      <c r="F2523">
        <v>88.35</v>
      </c>
      <c r="G2523">
        <v>88.36</v>
      </c>
      <c r="H2523">
        <v>8716</v>
      </c>
      <c r="I2523">
        <v>141</v>
      </c>
      <c r="J2523">
        <v>0.15</v>
      </c>
      <c r="K2523">
        <v>5.81</v>
      </c>
      <c r="L2523">
        <v>7697.68</v>
      </c>
      <c r="M2523" t="s">
        <v>3108</v>
      </c>
      <c r="N2523" t="s">
        <v>69</v>
      </c>
      <c r="O2523">
        <v>87.62</v>
      </c>
      <c r="P2523">
        <v>88.98</v>
      </c>
      <c r="Q2523">
        <v>87.35</v>
      </c>
      <c r="R2523">
        <v>87.96</v>
      </c>
      <c r="S2523">
        <v>39.85</v>
      </c>
      <c r="T2523">
        <v>0.4</v>
      </c>
      <c r="U2523" t="s">
        <v>24</v>
      </c>
    </row>
    <row r="2524" spans="1:21">
      <c r="A2524" t="str">
        <f>"301087"</f>
        <v>301087</v>
      </c>
      <c r="B2524" t="s">
        <v>4990</v>
      </c>
      <c r="C2524">
        <v>3.81</v>
      </c>
      <c r="D2524">
        <v>93.07</v>
      </c>
      <c r="E2524">
        <v>3.42</v>
      </c>
      <c r="F2524">
        <v>93.07</v>
      </c>
      <c r="G2524">
        <v>93.08</v>
      </c>
      <c r="H2524">
        <v>29183</v>
      </c>
      <c r="I2524">
        <v>577</v>
      </c>
      <c r="J2524">
        <v>0.12</v>
      </c>
      <c r="K2524">
        <v>7.9</v>
      </c>
      <c r="L2524">
        <v>26775.41</v>
      </c>
      <c r="M2524" t="s">
        <v>4991</v>
      </c>
      <c r="N2524" t="s">
        <v>186</v>
      </c>
      <c r="O2524">
        <v>89</v>
      </c>
      <c r="P2524">
        <v>93.49</v>
      </c>
      <c r="Q2524">
        <v>88.1</v>
      </c>
      <c r="R2524">
        <v>89.65</v>
      </c>
      <c r="S2524">
        <v>36.69</v>
      </c>
      <c r="T2524">
        <v>0.67</v>
      </c>
      <c r="U2524" t="s">
        <v>204</v>
      </c>
    </row>
    <row r="2525" spans="1:21">
      <c r="A2525" t="str">
        <f>"301088"</f>
        <v>301088</v>
      </c>
      <c r="B2525" t="s">
        <v>4992</v>
      </c>
      <c r="C2525">
        <v>1.21</v>
      </c>
      <c r="D2525">
        <v>26.77</v>
      </c>
      <c r="E2525">
        <v>0.32</v>
      </c>
      <c r="F2525">
        <v>26.76</v>
      </c>
      <c r="G2525">
        <v>26.77</v>
      </c>
      <c r="H2525">
        <v>38211</v>
      </c>
      <c r="I2525">
        <v>889</v>
      </c>
      <c r="J2525">
        <v>0.15</v>
      </c>
      <c r="K2525">
        <v>7.29</v>
      </c>
      <c r="L2525">
        <v>10177.68</v>
      </c>
      <c r="M2525" t="s">
        <v>1672</v>
      </c>
      <c r="N2525" t="s">
        <v>1061</v>
      </c>
      <c r="O2525">
        <v>26.65</v>
      </c>
      <c r="P2525">
        <v>26.88</v>
      </c>
      <c r="Q2525">
        <v>26.28</v>
      </c>
      <c r="R2525">
        <v>26.45</v>
      </c>
      <c r="S2525">
        <v>40.19</v>
      </c>
      <c r="T2525">
        <v>0.45</v>
      </c>
      <c r="U2525" t="s">
        <v>102</v>
      </c>
    </row>
    <row r="2526" spans="1:21">
      <c r="A2526" t="str">
        <f>"301089"</f>
        <v>301089</v>
      </c>
      <c r="B2526" t="s">
        <v>4993</v>
      </c>
      <c r="C2526" t="s">
        <v>40</v>
      </c>
      <c r="D2526">
        <v>91.19</v>
      </c>
      <c r="E2526" t="s">
        <v>40</v>
      </c>
      <c r="G2526" t="s">
        <v>40</v>
      </c>
      <c r="H2526">
        <v>0</v>
      </c>
      <c r="I2526">
        <v>0</v>
      </c>
      <c r="J2526" t="s">
        <v>40</v>
      </c>
      <c r="K2526" t="s">
        <v>40</v>
      </c>
      <c r="L2526">
        <v>0</v>
      </c>
      <c r="M2526" t="s">
        <v>4994</v>
      </c>
      <c r="N2526" t="s">
        <v>192</v>
      </c>
      <c r="O2526" t="s">
        <v>40</v>
      </c>
      <c r="P2526" t="s">
        <v>40</v>
      </c>
      <c r="Q2526" t="s">
        <v>40</v>
      </c>
      <c r="R2526">
        <v>91.19</v>
      </c>
      <c r="S2526">
        <v>130.79</v>
      </c>
      <c r="T2526">
        <v>0</v>
      </c>
      <c r="U2526" t="s">
        <v>224</v>
      </c>
    </row>
    <row r="2527" spans="1:21">
      <c r="A2527" t="str">
        <f>"301090"</f>
        <v>301090</v>
      </c>
      <c r="B2527" t="s">
        <v>4995</v>
      </c>
      <c r="C2527">
        <v>-1.45</v>
      </c>
      <c r="D2527">
        <v>14.26</v>
      </c>
      <c r="E2527">
        <v>-0.21</v>
      </c>
      <c r="F2527">
        <v>14.26</v>
      </c>
      <c r="G2527">
        <v>14.27</v>
      </c>
      <c r="H2527">
        <v>252325</v>
      </c>
      <c r="I2527">
        <v>5021</v>
      </c>
      <c r="J2527">
        <v>0.07</v>
      </c>
      <c r="K2527">
        <v>15.07</v>
      </c>
      <c r="L2527">
        <v>35948.26</v>
      </c>
      <c r="M2527" t="s">
        <v>4996</v>
      </c>
      <c r="N2527" t="s">
        <v>309</v>
      </c>
      <c r="O2527">
        <v>14.23</v>
      </c>
      <c r="P2527">
        <v>14.53</v>
      </c>
      <c r="Q2527">
        <v>14.02</v>
      </c>
      <c r="R2527">
        <v>14.47</v>
      </c>
      <c r="S2527">
        <v>45.15</v>
      </c>
      <c r="T2527">
        <v>0.54</v>
      </c>
      <c r="U2527" t="s">
        <v>102</v>
      </c>
    </row>
    <row r="2528" spans="1:21">
      <c r="A2528" t="str">
        <f>"301091"</f>
        <v>301091</v>
      </c>
      <c r="B2528" t="s">
        <v>4997</v>
      </c>
      <c r="C2528">
        <v>0.13</v>
      </c>
      <c r="D2528">
        <v>31.74</v>
      </c>
      <c r="E2528">
        <v>0.04</v>
      </c>
      <c r="F2528">
        <v>31.74</v>
      </c>
      <c r="G2528">
        <v>31.76</v>
      </c>
      <c r="H2528">
        <v>22879</v>
      </c>
      <c r="I2528">
        <v>472</v>
      </c>
      <c r="J2528">
        <v>-0.27</v>
      </c>
      <c r="K2528">
        <v>6.8</v>
      </c>
      <c r="L2528">
        <v>7260.91</v>
      </c>
      <c r="M2528" t="s">
        <v>4998</v>
      </c>
      <c r="N2528" t="s">
        <v>50</v>
      </c>
      <c r="O2528">
        <v>31.65</v>
      </c>
      <c r="P2528">
        <v>31.97</v>
      </c>
      <c r="Q2528">
        <v>31.39</v>
      </c>
      <c r="R2528">
        <v>31.7</v>
      </c>
      <c r="S2528">
        <v>55.17</v>
      </c>
      <c r="T2528">
        <v>0.43</v>
      </c>
      <c r="U2528" t="s">
        <v>24</v>
      </c>
    </row>
    <row r="2529" spans="1:21">
      <c r="A2529" t="str">
        <f>"301092"</f>
        <v>301092</v>
      </c>
      <c r="B2529" t="s">
        <v>4999</v>
      </c>
      <c r="C2529">
        <v>-4.98</v>
      </c>
      <c r="D2529">
        <v>42</v>
      </c>
      <c r="E2529">
        <v>-2.2</v>
      </c>
      <c r="F2529">
        <v>42</v>
      </c>
      <c r="G2529">
        <v>42.01</v>
      </c>
      <c r="H2529">
        <v>81895</v>
      </c>
      <c r="I2529">
        <v>1295</v>
      </c>
      <c r="J2529">
        <v>0.36</v>
      </c>
      <c r="K2529">
        <v>25.9</v>
      </c>
      <c r="L2529">
        <v>34549.28</v>
      </c>
      <c r="M2529" t="s">
        <v>5000</v>
      </c>
      <c r="N2529" t="s">
        <v>309</v>
      </c>
      <c r="O2529">
        <v>43.31</v>
      </c>
      <c r="P2529">
        <v>43.99</v>
      </c>
      <c r="Q2529">
        <v>41.2</v>
      </c>
      <c r="R2529">
        <v>44.2</v>
      </c>
      <c r="S2529">
        <v>59.33</v>
      </c>
      <c r="T2529">
        <v>0.64</v>
      </c>
      <c r="U2529" t="s">
        <v>200</v>
      </c>
    </row>
    <row r="2530" spans="1:21">
      <c r="A2530" t="str">
        <f>"301093"</f>
        <v>301093</v>
      </c>
      <c r="B2530" t="s">
        <v>5001</v>
      </c>
      <c r="C2530">
        <v>0.04</v>
      </c>
      <c r="D2530">
        <v>52.31</v>
      </c>
      <c r="E2530">
        <v>0.02</v>
      </c>
      <c r="F2530">
        <v>52.31</v>
      </c>
      <c r="G2530">
        <v>52.32</v>
      </c>
      <c r="H2530">
        <v>25653</v>
      </c>
      <c r="I2530">
        <v>370</v>
      </c>
      <c r="J2530">
        <v>0.02</v>
      </c>
      <c r="K2530">
        <v>8.3</v>
      </c>
      <c r="L2530">
        <v>13390.42</v>
      </c>
      <c r="M2530" t="s">
        <v>5002</v>
      </c>
      <c r="N2530" t="s">
        <v>186</v>
      </c>
      <c r="O2530">
        <v>52</v>
      </c>
      <c r="P2530">
        <v>52.67</v>
      </c>
      <c r="Q2530">
        <v>51.58</v>
      </c>
      <c r="R2530">
        <v>52.29</v>
      </c>
      <c r="S2530">
        <v>28.67</v>
      </c>
      <c r="T2530">
        <v>0.47</v>
      </c>
      <c r="U2530" t="s">
        <v>102</v>
      </c>
    </row>
    <row r="2531" spans="1:21">
      <c r="A2531" t="str">
        <f>"301098"</f>
        <v>301098</v>
      </c>
      <c r="B2531" t="s">
        <v>5003</v>
      </c>
      <c r="C2531">
        <v>-3.63</v>
      </c>
      <c r="D2531">
        <v>32.09</v>
      </c>
      <c r="E2531">
        <v>-1.21</v>
      </c>
      <c r="F2531">
        <v>32.09</v>
      </c>
      <c r="G2531">
        <v>32.1</v>
      </c>
      <c r="H2531">
        <v>69830</v>
      </c>
      <c r="I2531">
        <v>1389</v>
      </c>
      <c r="J2531">
        <v>0.25</v>
      </c>
      <c r="K2531">
        <v>30.38</v>
      </c>
      <c r="L2531">
        <v>22462.22</v>
      </c>
      <c r="M2531" t="s">
        <v>5004</v>
      </c>
      <c r="N2531" t="s">
        <v>50</v>
      </c>
      <c r="O2531">
        <v>33.35</v>
      </c>
      <c r="P2531">
        <v>33.5</v>
      </c>
      <c r="Q2531">
        <v>31.68</v>
      </c>
      <c r="R2531">
        <v>33.3</v>
      </c>
      <c r="S2531">
        <v>33.52</v>
      </c>
      <c r="T2531">
        <v>0.52</v>
      </c>
      <c r="U2531" t="s">
        <v>102</v>
      </c>
    </row>
    <row r="2532" spans="1:21">
      <c r="A2532" t="str">
        <f>"301118"</f>
        <v>301118</v>
      </c>
      <c r="B2532" t="s">
        <v>5005</v>
      </c>
      <c r="C2532">
        <v>-3.39</v>
      </c>
      <c r="D2532">
        <v>57</v>
      </c>
      <c r="E2532">
        <v>-2</v>
      </c>
      <c r="F2532">
        <v>57</v>
      </c>
      <c r="G2532">
        <v>57.01</v>
      </c>
      <c r="H2532">
        <v>136946</v>
      </c>
      <c r="I2532">
        <v>2060</v>
      </c>
      <c r="J2532">
        <v>0.02</v>
      </c>
      <c r="K2532">
        <v>56.9</v>
      </c>
      <c r="L2532">
        <v>76021.45</v>
      </c>
      <c r="M2532" t="s">
        <v>5006</v>
      </c>
      <c r="N2532" t="s">
        <v>309</v>
      </c>
      <c r="O2532">
        <v>53.31</v>
      </c>
      <c r="P2532">
        <v>57.79</v>
      </c>
      <c r="Q2532">
        <v>53</v>
      </c>
      <c r="R2532">
        <v>59</v>
      </c>
      <c r="S2532">
        <v>26.49</v>
      </c>
      <c r="T2532">
        <v>0.74</v>
      </c>
      <c r="U2532" t="s">
        <v>204</v>
      </c>
    </row>
    <row r="2533" spans="1:21">
      <c r="A2533" t="str">
        <f>"301128"</f>
        <v>301128</v>
      </c>
      <c r="B2533" t="s">
        <v>5007</v>
      </c>
      <c r="C2533">
        <v>3.05</v>
      </c>
      <c r="D2533">
        <v>48.59</v>
      </c>
      <c r="E2533">
        <v>1.44</v>
      </c>
      <c r="F2533">
        <v>48.58</v>
      </c>
      <c r="G2533">
        <v>48.59</v>
      </c>
      <c r="H2533">
        <v>44517</v>
      </c>
      <c r="I2533">
        <v>694</v>
      </c>
      <c r="J2533">
        <v>-0.11</v>
      </c>
      <c r="K2533">
        <v>24.1</v>
      </c>
      <c r="L2533">
        <v>21499.96</v>
      </c>
      <c r="M2533" t="s">
        <v>2089</v>
      </c>
      <c r="N2533" t="s">
        <v>324</v>
      </c>
      <c r="O2533">
        <v>47.05</v>
      </c>
      <c r="P2533">
        <v>49.8</v>
      </c>
      <c r="Q2533">
        <v>46.51</v>
      </c>
      <c r="R2533">
        <v>47.15</v>
      </c>
      <c r="S2533">
        <v>65.85</v>
      </c>
      <c r="T2533">
        <v>0.55</v>
      </c>
      <c r="U2533" t="s">
        <v>24</v>
      </c>
    </row>
    <row r="2534" spans="1:21">
      <c r="A2534" t="str">
        <f>"301129"</f>
        <v>301129</v>
      </c>
      <c r="B2534" t="s">
        <v>5008</v>
      </c>
      <c r="C2534">
        <v>-2.11</v>
      </c>
      <c r="D2534">
        <v>80.76</v>
      </c>
      <c r="E2534">
        <v>-1.74</v>
      </c>
      <c r="F2534">
        <v>80.62</v>
      </c>
      <c r="G2534">
        <v>80.76</v>
      </c>
      <c r="H2534">
        <v>40756</v>
      </c>
      <c r="I2534">
        <v>609</v>
      </c>
      <c r="J2534">
        <v>-0.27</v>
      </c>
      <c r="K2534">
        <v>22.13</v>
      </c>
      <c r="L2534">
        <v>32819.32</v>
      </c>
      <c r="M2534" t="s">
        <v>5009</v>
      </c>
      <c r="N2534" t="s">
        <v>1028</v>
      </c>
      <c r="O2534">
        <v>80</v>
      </c>
      <c r="P2534">
        <v>84.89</v>
      </c>
      <c r="Q2534">
        <v>77.13</v>
      </c>
      <c r="R2534">
        <v>82.5</v>
      </c>
      <c r="S2534">
        <v>368.31</v>
      </c>
      <c r="T2534">
        <v>0.61</v>
      </c>
      <c r="U2534" t="s">
        <v>193</v>
      </c>
    </row>
    <row r="2535" spans="1:21">
      <c r="A2535" t="str">
        <f>"301149"</f>
        <v>301149</v>
      </c>
      <c r="B2535" t="s">
        <v>5010</v>
      </c>
      <c r="C2535">
        <v>-0.67</v>
      </c>
      <c r="D2535">
        <v>22.4</v>
      </c>
      <c r="E2535">
        <v>-0.15</v>
      </c>
      <c r="F2535">
        <v>22.4</v>
      </c>
      <c r="G2535">
        <v>22.41</v>
      </c>
      <c r="H2535">
        <v>117313</v>
      </c>
      <c r="I2535">
        <v>1848</v>
      </c>
      <c r="J2535">
        <v>-0.21</v>
      </c>
      <c r="K2535">
        <v>18.94</v>
      </c>
      <c r="L2535">
        <v>26528.07</v>
      </c>
      <c r="M2535" t="s">
        <v>5011</v>
      </c>
      <c r="N2535" t="s">
        <v>309</v>
      </c>
      <c r="O2535">
        <v>22.33</v>
      </c>
      <c r="P2535">
        <v>23.15</v>
      </c>
      <c r="Q2535">
        <v>22.11</v>
      </c>
      <c r="R2535">
        <v>22.55</v>
      </c>
      <c r="S2535">
        <v>44.06</v>
      </c>
      <c r="T2535">
        <v>0.43</v>
      </c>
      <c r="U2535" t="s">
        <v>221</v>
      </c>
    </row>
    <row r="2536" spans="1:21">
      <c r="A2536" t="str">
        <f>"301169"</f>
        <v>301169</v>
      </c>
      <c r="B2536" t="s">
        <v>5012</v>
      </c>
      <c r="C2536">
        <v>0.39</v>
      </c>
      <c r="D2536">
        <v>41.13</v>
      </c>
      <c r="E2536">
        <v>0.16</v>
      </c>
      <c r="F2536">
        <v>41.13</v>
      </c>
      <c r="G2536">
        <v>41.14</v>
      </c>
      <c r="H2536">
        <v>35583</v>
      </c>
      <c r="I2536">
        <v>1049</v>
      </c>
      <c r="J2536">
        <v>-0.14</v>
      </c>
      <c r="K2536">
        <v>19.7</v>
      </c>
      <c r="L2536">
        <v>14536.79</v>
      </c>
      <c r="M2536" t="s">
        <v>5013</v>
      </c>
      <c r="N2536" t="s">
        <v>30</v>
      </c>
      <c r="O2536">
        <v>40.05</v>
      </c>
      <c r="P2536">
        <v>41.7</v>
      </c>
      <c r="Q2536">
        <v>40.05</v>
      </c>
      <c r="R2536">
        <v>40.97</v>
      </c>
      <c r="S2536" t="s">
        <v>40</v>
      </c>
      <c r="T2536">
        <v>0.58</v>
      </c>
      <c r="U2536" t="s">
        <v>44</v>
      </c>
    </row>
    <row r="2537" spans="1:21">
      <c r="A2537" t="str">
        <f>"301178"</f>
        <v>301178</v>
      </c>
      <c r="B2537" t="s">
        <v>5014</v>
      </c>
      <c r="C2537">
        <v>-0.53</v>
      </c>
      <c r="D2537">
        <v>69.7</v>
      </c>
      <c r="E2537">
        <v>-0.37</v>
      </c>
      <c r="F2537">
        <v>69.69</v>
      </c>
      <c r="G2537">
        <v>69.7</v>
      </c>
      <c r="H2537">
        <v>27069</v>
      </c>
      <c r="I2537">
        <v>393</v>
      </c>
      <c r="J2537">
        <v>0.17</v>
      </c>
      <c r="K2537">
        <v>22.98</v>
      </c>
      <c r="L2537">
        <v>18436.89</v>
      </c>
      <c r="M2537" t="s">
        <v>5015</v>
      </c>
      <c r="N2537" t="s">
        <v>30</v>
      </c>
      <c r="O2537">
        <v>67.53</v>
      </c>
      <c r="P2537">
        <v>70.2</v>
      </c>
      <c r="Q2537">
        <v>66.1</v>
      </c>
      <c r="R2537">
        <v>70.07</v>
      </c>
      <c r="S2537">
        <v>167.64</v>
      </c>
      <c r="T2537">
        <v>0.51</v>
      </c>
      <c r="U2537" t="s">
        <v>183</v>
      </c>
    </row>
    <row r="2538" spans="1:21">
      <c r="A2538" t="str">
        <f>"301180"</f>
        <v>301180</v>
      </c>
      <c r="B2538" t="s">
        <v>5016</v>
      </c>
      <c r="C2538">
        <v>0</v>
      </c>
      <c r="D2538">
        <v>36.63</v>
      </c>
      <c r="E2538">
        <v>0</v>
      </c>
      <c r="F2538">
        <v>36.62</v>
      </c>
      <c r="G2538">
        <v>36.63</v>
      </c>
      <c r="H2538">
        <v>200380</v>
      </c>
      <c r="I2538">
        <v>3692</v>
      </c>
      <c r="J2538">
        <v>-0.21</v>
      </c>
      <c r="K2538">
        <v>53.34</v>
      </c>
      <c r="L2538">
        <v>77091.88</v>
      </c>
      <c r="M2538" t="s">
        <v>5017</v>
      </c>
      <c r="N2538" t="s">
        <v>69</v>
      </c>
      <c r="O2538">
        <v>38</v>
      </c>
      <c r="P2538">
        <v>40.27</v>
      </c>
      <c r="Q2538">
        <v>36.63</v>
      </c>
      <c r="R2538">
        <v>36.63</v>
      </c>
      <c r="S2538">
        <v>80.79</v>
      </c>
      <c r="T2538">
        <v>0.92</v>
      </c>
      <c r="U2538" t="s">
        <v>102</v>
      </c>
    </row>
    <row r="2539" spans="1:21">
      <c r="A2539" t="str">
        <f>"301185"</f>
        <v>301185</v>
      </c>
      <c r="B2539" t="s">
        <v>5018</v>
      </c>
      <c r="C2539">
        <v>165.8</v>
      </c>
      <c r="D2539">
        <v>31.58</v>
      </c>
      <c r="E2539">
        <v>19.7</v>
      </c>
      <c r="F2539">
        <v>31.57</v>
      </c>
      <c r="G2539">
        <v>31.58</v>
      </c>
      <c r="H2539">
        <v>257414</v>
      </c>
      <c r="I2539">
        <v>2483</v>
      </c>
      <c r="J2539">
        <v>0.54</v>
      </c>
      <c r="K2539">
        <v>70.75</v>
      </c>
      <c r="L2539">
        <v>82840.54</v>
      </c>
      <c r="M2539" t="s">
        <v>1856</v>
      </c>
      <c r="N2539" t="s">
        <v>30</v>
      </c>
      <c r="O2539">
        <v>34</v>
      </c>
      <c r="P2539">
        <v>34</v>
      </c>
      <c r="Q2539">
        <v>31.3</v>
      </c>
      <c r="R2539">
        <v>11.88</v>
      </c>
      <c r="S2539">
        <v>81.62</v>
      </c>
      <c r="T2539">
        <v>0</v>
      </c>
      <c r="U2539" t="s">
        <v>221</v>
      </c>
    </row>
    <row r="2540" spans="1:21">
      <c r="A2540" t="str">
        <f>"301188"</f>
        <v>301188</v>
      </c>
      <c r="B2540" t="s">
        <v>5019</v>
      </c>
      <c r="C2540">
        <v>1.85</v>
      </c>
      <c r="D2540">
        <v>26.94</v>
      </c>
      <c r="E2540">
        <v>0.49</v>
      </c>
      <c r="F2540">
        <v>26.93</v>
      </c>
      <c r="G2540">
        <v>26.94</v>
      </c>
      <c r="H2540">
        <v>145997</v>
      </c>
      <c r="I2540">
        <v>2812</v>
      </c>
      <c r="J2540">
        <v>0.22</v>
      </c>
      <c r="K2540">
        <v>31.88</v>
      </c>
      <c r="L2540">
        <v>38270.21</v>
      </c>
      <c r="M2540" t="s">
        <v>5020</v>
      </c>
      <c r="N2540" t="s">
        <v>55</v>
      </c>
      <c r="O2540">
        <v>25.79</v>
      </c>
      <c r="P2540">
        <v>27.25</v>
      </c>
      <c r="Q2540">
        <v>25.31</v>
      </c>
      <c r="R2540">
        <v>26.45</v>
      </c>
      <c r="S2540">
        <v>49.73</v>
      </c>
      <c r="T2540">
        <v>0.67</v>
      </c>
      <c r="U2540" t="s">
        <v>221</v>
      </c>
    </row>
    <row r="2541" spans="1:21">
      <c r="A2541" t="str">
        <f>"000670"</f>
        <v>000670</v>
      </c>
      <c r="B2541" t="s">
        <v>5021</v>
      </c>
      <c r="C2541" t="s">
        <v>40</v>
      </c>
      <c r="D2541">
        <v>0</v>
      </c>
      <c r="E2541" t="s">
        <v>40</v>
      </c>
      <c r="F2541" t="s">
        <v>40</v>
      </c>
      <c r="G2541" t="s">
        <v>40</v>
      </c>
      <c r="H2541">
        <v>0</v>
      </c>
      <c r="I2541">
        <v>0</v>
      </c>
      <c r="J2541" t="s">
        <v>40</v>
      </c>
      <c r="K2541" t="s">
        <v>40</v>
      </c>
      <c r="L2541">
        <v>0</v>
      </c>
      <c r="M2541" t="s">
        <v>5022</v>
      </c>
      <c r="N2541" t="s">
        <v>69</v>
      </c>
      <c r="O2541" t="s">
        <v>40</v>
      </c>
      <c r="P2541" t="s">
        <v>40</v>
      </c>
      <c r="Q2541" t="s">
        <v>40</v>
      </c>
      <c r="R2541" t="s">
        <v>40</v>
      </c>
      <c r="S2541" t="s">
        <v>40</v>
      </c>
      <c r="T2541">
        <v>0</v>
      </c>
      <c r="U2541" t="s">
        <v>267</v>
      </c>
    </row>
    <row r="2542" spans="1:21">
      <c r="A2542" t="str">
        <f>"001296"</f>
        <v>001296</v>
      </c>
      <c r="B2542" t="s">
        <v>5023</v>
      </c>
      <c r="C2542" t="s">
        <v>40</v>
      </c>
      <c r="D2542">
        <v>0</v>
      </c>
      <c r="E2542" t="s">
        <v>40</v>
      </c>
      <c r="F2542" t="s">
        <v>40</v>
      </c>
      <c r="G2542" t="s">
        <v>40</v>
      </c>
      <c r="H2542">
        <v>0</v>
      </c>
      <c r="I2542">
        <v>0</v>
      </c>
      <c r="J2542" t="s">
        <v>40</v>
      </c>
      <c r="K2542" t="s">
        <v>40</v>
      </c>
      <c r="L2542">
        <v>0</v>
      </c>
      <c r="M2542" t="s">
        <v>40</v>
      </c>
      <c r="N2542" t="s">
        <v>131</v>
      </c>
      <c r="O2542" t="s">
        <v>40</v>
      </c>
      <c r="P2542" t="s">
        <v>40</v>
      </c>
      <c r="Q2542" t="s">
        <v>40</v>
      </c>
      <c r="R2542" t="s">
        <v>40</v>
      </c>
      <c r="S2542" t="s">
        <v>40</v>
      </c>
      <c r="T2542" t="s">
        <v>40</v>
      </c>
      <c r="U2542" t="s">
        <v>314</v>
      </c>
    </row>
    <row r="2543" spans="1:21">
      <c r="A2543" t="str">
        <f>"001317"</f>
        <v>001317</v>
      </c>
      <c r="B2543" t="s">
        <v>5024</v>
      </c>
      <c r="C2543" t="s">
        <v>40</v>
      </c>
      <c r="D2543">
        <v>0</v>
      </c>
      <c r="E2543" t="s">
        <v>40</v>
      </c>
      <c r="F2543" t="s">
        <v>40</v>
      </c>
      <c r="G2543" t="s">
        <v>40</v>
      </c>
      <c r="H2543">
        <v>0</v>
      </c>
      <c r="I2543">
        <v>0</v>
      </c>
      <c r="J2543" t="s">
        <v>40</v>
      </c>
      <c r="K2543" t="s">
        <v>40</v>
      </c>
      <c r="L2543">
        <v>0</v>
      </c>
      <c r="M2543" t="s">
        <v>40</v>
      </c>
      <c r="N2543" t="s">
        <v>1049</v>
      </c>
      <c r="O2543" t="s">
        <v>40</v>
      </c>
      <c r="P2543" t="s">
        <v>40</v>
      </c>
      <c r="Q2543" t="s">
        <v>40</v>
      </c>
      <c r="R2543" t="s">
        <v>40</v>
      </c>
      <c r="S2543" t="s">
        <v>40</v>
      </c>
      <c r="T2543" t="s">
        <v>40</v>
      </c>
      <c r="U2543" t="s">
        <v>314</v>
      </c>
    </row>
    <row r="2544" spans="1:21">
      <c r="A2544" t="str">
        <f>"002260"</f>
        <v>002260</v>
      </c>
      <c r="B2544" t="s">
        <v>5025</v>
      </c>
      <c r="C2544" t="s">
        <v>40</v>
      </c>
      <c r="D2544">
        <v>0</v>
      </c>
      <c r="E2544" t="s">
        <v>40</v>
      </c>
      <c r="F2544" t="s">
        <v>40</v>
      </c>
      <c r="G2544" t="s">
        <v>40</v>
      </c>
      <c r="H2544">
        <v>0</v>
      </c>
      <c r="I2544">
        <v>0</v>
      </c>
      <c r="J2544" t="s">
        <v>40</v>
      </c>
      <c r="K2544" t="s">
        <v>40</v>
      </c>
      <c r="L2544">
        <v>0</v>
      </c>
      <c r="M2544" t="s">
        <v>5022</v>
      </c>
      <c r="N2544" t="s">
        <v>60</v>
      </c>
      <c r="O2544" t="s">
        <v>40</v>
      </c>
      <c r="P2544" t="s">
        <v>40</v>
      </c>
      <c r="Q2544" t="s">
        <v>40</v>
      </c>
      <c r="R2544" t="s">
        <v>40</v>
      </c>
      <c r="S2544" t="s">
        <v>40</v>
      </c>
      <c r="T2544">
        <v>0</v>
      </c>
      <c r="U2544" t="s">
        <v>183</v>
      </c>
    </row>
    <row r="2545" spans="1:20">
      <c r="A2545" t="str">
        <f>"002710"</f>
        <v>002710</v>
      </c>
      <c r="B2545" t="s">
        <v>5026</v>
      </c>
      <c r="C2545" t="s">
        <v>40</v>
      </c>
      <c r="D2545">
        <v>0</v>
      </c>
      <c r="E2545" t="s">
        <v>40</v>
      </c>
      <c r="F2545" t="s">
        <v>40</v>
      </c>
      <c r="G2545" t="s">
        <v>40</v>
      </c>
      <c r="H2545">
        <v>0</v>
      </c>
      <c r="I2545">
        <v>0</v>
      </c>
      <c r="J2545" t="s">
        <v>40</v>
      </c>
      <c r="K2545" t="s">
        <v>40</v>
      </c>
      <c r="L2545">
        <v>0</v>
      </c>
      <c r="M2545" t="s">
        <v>40</v>
      </c>
      <c r="O2545" t="s">
        <v>40</v>
      </c>
      <c r="P2545" t="s">
        <v>40</v>
      </c>
      <c r="Q2545" t="s">
        <v>40</v>
      </c>
      <c r="R2545" t="s">
        <v>40</v>
      </c>
      <c r="S2545" t="s">
        <v>40</v>
      </c>
      <c r="T2545" t="s">
        <v>40</v>
      </c>
    </row>
    <row r="2546" spans="1:20">
      <c r="A2546" t="str">
        <f>"002720"</f>
        <v>002720</v>
      </c>
      <c r="B2546" t="s">
        <v>5027</v>
      </c>
      <c r="C2546" t="s">
        <v>40</v>
      </c>
      <c r="D2546">
        <v>0</v>
      </c>
      <c r="E2546" t="s">
        <v>40</v>
      </c>
      <c r="F2546" t="s">
        <v>40</v>
      </c>
      <c r="G2546" t="s">
        <v>40</v>
      </c>
      <c r="H2546">
        <v>0</v>
      </c>
      <c r="I2546">
        <v>0</v>
      </c>
      <c r="J2546" t="s">
        <v>40</v>
      </c>
      <c r="K2546" t="s">
        <v>40</v>
      </c>
      <c r="L2546">
        <v>0</v>
      </c>
      <c r="M2546" t="s">
        <v>5022</v>
      </c>
      <c r="O2546" t="s">
        <v>40</v>
      </c>
      <c r="P2546" t="s">
        <v>40</v>
      </c>
      <c r="Q2546" t="s">
        <v>40</v>
      </c>
      <c r="R2546" t="s">
        <v>40</v>
      </c>
      <c r="S2546" t="s">
        <v>40</v>
      </c>
      <c r="T2546" t="s">
        <v>40</v>
      </c>
    </row>
    <row r="2547" spans="1:21">
      <c r="A2547" t="str">
        <f>"300728"</f>
        <v>300728</v>
      </c>
      <c r="B2547" t="s">
        <v>5028</v>
      </c>
      <c r="C2547" t="s">
        <v>40</v>
      </c>
      <c r="D2547">
        <v>0</v>
      </c>
      <c r="E2547" t="s">
        <v>40</v>
      </c>
      <c r="F2547" t="s">
        <v>40</v>
      </c>
      <c r="G2547" t="s">
        <v>40</v>
      </c>
      <c r="H2547">
        <v>0</v>
      </c>
      <c r="I2547">
        <v>0</v>
      </c>
      <c r="J2547" t="s">
        <v>40</v>
      </c>
      <c r="K2547" t="s">
        <v>40</v>
      </c>
      <c r="L2547">
        <v>0</v>
      </c>
      <c r="M2547" t="s">
        <v>40</v>
      </c>
      <c r="N2547" t="s">
        <v>750</v>
      </c>
      <c r="O2547" t="s">
        <v>40</v>
      </c>
      <c r="P2547" t="s">
        <v>40</v>
      </c>
      <c r="Q2547" t="s">
        <v>40</v>
      </c>
      <c r="R2547" t="s">
        <v>40</v>
      </c>
      <c r="S2547" t="s">
        <v>40</v>
      </c>
      <c r="T2547" t="s">
        <v>40</v>
      </c>
      <c r="U2547" t="s">
        <v>102</v>
      </c>
    </row>
    <row r="2548" spans="1:21">
      <c r="A2548" t="str">
        <f>"301099"</f>
        <v>301099</v>
      </c>
      <c r="B2548" t="s">
        <v>5029</v>
      </c>
      <c r="C2548" t="s">
        <v>40</v>
      </c>
      <c r="D2548">
        <v>0</v>
      </c>
      <c r="E2548" t="s">
        <v>40</v>
      </c>
      <c r="F2548" t="s">
        <v>40</v>
      </c>
      <c r="G2548" t="s">
        <v>40</v>
      </c>
      <c r="H2548">
        <v>0</v>
      </c>
      <c r="I2548">
        <v>0</v>
      </c>
      <c r="J2548" t="s">
        <v>40</v>
      </c>
      <c r="K2548" t="s">
        <v>40</v>
      </c>
      <c r="L2548">
        <v>0</v>
      </c>
      <c r="M2548" t="s">
        <v>5022</v>
      </c>
      <c r="N2548" t="s">
        <v>150</v>
      </c>
      <c r="O2548" t="s">
        <v>40</v>
      </c>
      <c r="P2548" t="s">
        <v>40</v>
      </c>
      <c r="Q2548" t="s">
        <v>40</v>
      </c>
      <c r="R2548" t="s">
        <v>40</v>
      </c>
      <c r="S2548" t="s">
        <v>40</v>
      </c>
      <c r="T2548" t="s">
        <v>40</v>
      </c>
      <c r="U2548" t="s">
        <v>848</v>
      </c>
    </row>
    <row r="2549" spans="1:21">
      <c r="A2549" t="str">
        <f>"301108"</f>
        <v>301108</v>
      </c>
      <c r="B2549" t="s">
        <v>5030</v>
      </c>
      <c r="C2549" t="s">
        <v>40</v>
      </c>
      <c r="D2549">
        <v>0</v>
      </c>
      <c r="E2549" t="s">
        <v>40</v>
      </c>
      <c r="F2549" t="s">
        <v>40</v>
      </c>
      <c r="G2549" t="s">
        <v>40</v>
      </c>
      <c r="H2549">
        <v>0</v>
      </c>
      <c r="I2549">
        <v>0</v>
      </c>
      <c r="J2549" t="s">
        <v>40</v>
      </c>
      <c r="K2549" t="s">
        <v>40</v>
      </c>
      <c r="L2549">
        <v>0</v>
      </c>
      <c r="M2549" t="s">
        <v>40</v>
      </c>
      <c r="N2549" t="s">
        <v>332</v>
      </c>
      <c r="O2549" t="s">
        <v>40</v>
      </c>
      <c r="P2549" t="s">
        <v>40</v>
      </c>
      <c r="Q2549" t="s">
        <v>40</v>
      </c>
      <c r="R2549" t="s">
        <v>40</v>
      </c>
      <c r="S2549" t="s">
        <v>40</v>
      </c>
      <c r="T2549" t="s">
        <v>40</v>
      </c>
      <c r="U2549" t="s">
        <v>193</v>
      </c>
    </row>
    <row r="2550" spans="1:21">
      <c r="A2550" t="str">
        <f>"301111"</f>
        <v>301111</v>
      </c>
      <c r="B2550" t="s">
        <v>5031</v>
      </c>
      <c r="C2550" t="s">
        <v>40</v>
      </c>
      <c r="D2550">
        <v>0</v>
      </c>
      <c r="E2550" t="s">
        <v>40</v>
      </c>
      <c r="F2550" t="s">
        <v>40</v>
      </c>
      <c r="G2550" t="s">
        <v>40</v>
      </c>
      <c r="H2550">
        <v>0</v>
      </c>
      <c r="I2550">
        <v>0</v>
      </c>
      <c r="J2550" t="s">
        <v>40</v>
      </c>
      <c r="K2550" t="s">
        <v>40</v>
      </c>
      <c r="L2550">
        <v>0</v>
      </c>
      <c r="M2550" t="s">
        <v>40</v>
      </c>
      <c r="N2550" t="s">
        <v>270</v>
      </c>
      <c r="O2550" t="s">
        <v>40</v>
      </c>
      <c r="P2550" t="s">
        <v>40</v>
      </c>
      <c r="Q2550" t="s">
        <v>40</v>
      </c>
      <c r="R2550" t="s">
        <v>40</v>
      </c>
      <c r="S2550" t="s">
        <v>40</v>
      </c>
      <c r="T2550" t="s">
        <v>40</v>
      </c>
      <c r="U2550" t="s">
        <v>183</v>
      </c>
    </row>
    <row r="2551" spans="1:21">
      <c r="A2551" t="str">
        <f>"301119"</f>
        <v>301119</v>
      </c>
      <c r="B2551" t="s">
        <v>5032</v>
      </c>
      <c r="C2551" t="s">
        <v>40</v>
      </c>
      <c r="D2551">
        <v>0</v>
      </c>
      <c r="E2551" t="s">
        <v>40</v>
      </c>
      <c r="F2551" t="s">
        <v>40</v>
      </c>
      <c r="G2551" t="s">
        <v>40</v>
      </c>
      <c r="H2551">
        <v>0</v>
      </c>
      <c r="I2551">
        <v>0</v>
      </c>
      <c r="J2551" t="s">
        <v>40</v>
      </c>
      <c r="K2551" t="s">
        <v>40</v>
      </c>
      <c r="L2551">
        <v>0</v>
      </c>
      <c r="M2551" t="s">
        <v>5022</v>
      </c>
      <c r="N2551" t="s">
        <v>91</v>
      </c>
      <c r="O2551" t="s">
        <v>40</v>
      </c>
      <c r="P2551" t="s">
        <v>40</v>
      </c>
      <c r="Q2551" t="s">
        <v>40</v>
      </c>
      <c r="R2551" t="s">
        <v>40</v>
      </c>
      <c r="S2551" t="s">
        <v>40</v>
      </c>
      <c r="T2551" t="s">
        <v>40</v>
      </c>
      <c r="U2551" t="s">
        <v>200</v>
      </c>
    </row>
    <row r="2552" spans="1:21">
      <c r="A2552" t="str">
        <f>"301126"</f>
        <v>301126</v>
      </c>
      <c r="B2552" t="s">
        <v>5033</v>
      </c>
      <c r="C2552" t="s">
        <v>40</v>
      </c>
      <c r="D2552">
        <v>0</v>
      </c>
      <c r="E2552" t="s">
        <v>40</v>
      </c>
      <c r="F2552" t="s">
        <v>40</v>
      </c>
      <c r="G2552" t="s">
        <v>40</v>
      </c>
      <c r="H2552">
        <v>0</v>
      </c>
      <c r="I2552">
        <v>0</v>
      </c>
      <c r="J2552" t="s">
        <v>40</v>
      </c>
      <c r="K2552" t="s">
        <v>40</v>
      </c>
      <c r="L2552">
        <v>0</v>
      </c>
      <c r="M2552" t="s">
        <v>40</v>
      </c>
      <c r="N2552" t="s">
        <v>86</v>
      </c>
      <c r="O2552" t="s">
        <v>40</v>
      </c>
      <c r="P2552" t="s">
        <v>40</v>
      </c>
      <c r="Q2552" t="s">
        <v>40</v>
      </c>
      <c r="R2552" t="s">
        <v>40</v>
      </c>
      <c r="S2552" t="s">
        <v>40</v>
      </c>
      <c r="T2552" t="s">
        <v>40</v>
      </c>
      <c r="U2552" t="s">
        <v>204</v>
      </c>
    </row>
    <row r="2553" spans="1:21">
      <c r="A2553" t="str">
        <f>"301133"</f>
        <v>301133</v>
      </c>
      <c r="B2553" t="s">
        <v>5034</v>
      </c>
      <c r="C2553" t="s">
        <v>40</v>
      </c>
      <c r="D2553">
        <v>0</v>
      </c>
      <c r="E2553" t="s">
        <v>40</v>
      </c>
      <c r="F2553" t="s">
        <v>40</v>
      </c>
      <c r="G2553" t="s">
        <v>40</v>
      </c>
      <c r="H2553">
        <v>0</v>
      </c>
      <c r="I2553">
        <v>0</v>
      </c>
      <c r="J2553" t="s">
        <v>40</v>
      </c>
      <c r="K2553" t="s">
        <v>40</v>
      </c>
      <c r="L2553">
        <v>0</v>
      </c>
      <c r="M2553" t="s">
        <v>40</v>
      </c>
      <c r="N2553" t="s">
        <v>91</v>
      </c>
      <c r="O2553" t="s">
        <v>40</v>
      </c>
      <c r="P2553" t="s">
        <v>40</v>
      </c>
      <c r="Q2553" t="s">
        <v>40</v>
      </c>
      <c r="R2553" t="s">
        <v>40</v>
      </c>
      <c r="S2553" t="s">
        <v>40</v>
      </c>
      <c r="T2553" t="s">
        <v>40</v>
      </c>
      <c r="U2553" t="s">
        <v>183</v>
      </c>
    </row>
    <row r="2554" spans="1:21">
      <c r="A2554" t="str">
        <f>"301155"</f>
        <v>301155</v>
      </c>
      <c r="B2554" t="s">
        <v>5035</v>
      </c>
      <c r="C2554" t="s">
        <v>40</v>
      </c>
      <c r="D2554">
        <v>0</v>
      </c>
      <c r="E2554" t="s">
        <v>40</v>
      </c>
      <c r="F2554" t="s">
        <v>40</v>
      </c>
      <c r="G2554" t="s">
        <v>40</v>
      </c>
      <c r="H2554">
        <v>0</v>
      </c>
      <c r="I2554">
        <v>0</v>
      </c>
      <c r="J2554" t="s">
        <v>40</v>
      </c>
      <c r="K2554" t="s">
        <v>40</v>
      </c>
      <c r="L2554">
        <v>0</v>
      </c>
      <c r="M2554" t="s">
        <v>40</v>
      </c>
      <c r="N2554" t="s">
        <v>47</v>
      </c>
      <c r="O2554" t="s">
        <v>40</v>
      </c>
      <c r="P2554" t="s">
        <v>40</v>
      </c>
      <c r="Q2554" t="s">
        <v>40</v>
      </c>
      <c r="R2554" t="s">
        <v>40</v>
      </c>
      <c r="S2554" t="s">
        <v>40</v>
      </c>
      <c r="T2554" t="s">
        <v>40</v>
      </c>
      <c r="U2554" t="s">
        <v>102</v>
      </c>
    </row>
    <row r="2555" spans="1:21">
      <c r="A2555" t="str">
        <f>"301179"</f>
        <v>301179</v>
      </c>
      <c r="B2555" t="s">
        <v>5036</v>
      </c>
      <c r="C2555" t="s">
        <v>40</v>
      </c>
      <c r="D2555">
        <v>0</v>
      </c>
      <c r="E2555" t="s">
        <v>40</v>
      </c>
      <c r="F2555" t="s">
        <v>40</v>
      </c>
      <c r="G2555" t="s">
        <v>40</v>
      </c>
      <c r="H2555">
        <v>0</v>
      </c>
      <c r="I2555">
        <v>0</v>
      </c>
      <c r="J2555" t="s">
        <v>40</v>
      </c>
      <c r="K2555" t="s">
        <v>40</v>
      </c>
      <c r="L2555">
        <v>0</v>
      </c>
      <c r="M2555" t="s">
        <v>40</v>
      </c>
      <c r="N2555" t="s">
        <v>30</v>
      </c>
      <c r="O2555" t="s">
        <v>40</v>
      </c>
      <c r="P2555" t="s">
        <v>40</v>
      </c>
      <c r="Q2555" t="s">
        <v>40</v>
      </c>
      <c r="R2555" t="s">
        <v>40</v>
      </c>
      <c r="S2555" t="s">
        <v>40</v>
      </c>
      <c r="T2555" t="s">
        <v>40</v>
      </c>
      <c r="U2555" t="s">
        <v>102</v>
      </c>
    </row>
    <row r="2556" spans="1:21">
      <c r="A2556" t="str">
        <f>"301198"</f>
        <v>301198</v>
      </c>
      <c r="B2556" t="s">
        <v>5037</v>
      </c>
      <c r="C2556" t="s">
        <v>40</v>
      </c>
      <c r="D2556">
        <v>0</v>
      </c>
      <c r="E2556" t="s">
        <v>40</v>
      </c>
      <c r="F2556" t="s">
        <v>40</v>
      </c>
      <c r="G2556" t="s">
        <v>40</v>
      </c>
      <c r="H2556">
        <v>0</v>
      </c>
      <c r="I2556">
        <v>0</v>
      </c>
      <c r="J2556" t="s">
        <v>40</v>
      </c>
      <c r="K2556" t="s">
        <v>40</v>
      </c>
      <c r="L2556">
        <v>0</v>
      </c>
      <c r="M2556" t="s">
        <v>40</v>
      </c>
      <c r="N2556" t="s">
        <v>839</v>
      </c>
      <c r="O2556" t="s">
        <v>40</v>
      </c>
      <c r="P2556" t="s">
        <v>40</v>
      </c>
      <c r="Q2556" t="s">
        <v>40</v>
      </c>
      <c r="R2556" t="s">
        <v>40</v>
      </c>
      <c r="S2556" t="s">
        <v>40</v>
      </c>
      <c r="T2556" t="s">
        <v>40</v>
      </c>
      <c r="U2556" t="s">
        <v>200</v>
      </c>
    </row>
    <row r="2557" spans="1:21">
      <c r="A2557" t="str">
        <f>"301199"</f>
        <v>301199</v>
      </c>
      <c r="B2557" t="s">
        <v>5038</v>
      </c>
      <c r="C2557" t="s">
        <v>40</v>
      </c>
      <c r="D2557">
        <v>0</v>
      </c>
      <c r="E2557" t="s">
        <v>40</v>
      </c>
      <c r="F2557" t="s">
        <v>40</v>
      </c>
      <c r="G2557" t="s">
        <v>40</v>
      </c>
      <c r="H2557">
        <v>0</v>
      </c>
      <c r="I2557">
        <v>0</v>
      </c>
      <c r="J2557" t="s">
        <v>40</v>
      </c>
      <c r="K2557" t="s">
        <v>40</v>
      </c>
      <c r="L2557">
        <v>0</v>
      </c>
      <c r="M2557" t="s">
        <v>40</v>
      </c>
      <c r="N2557" t="s">
        <v>324</v>
      </c>
      <c r="O2557" t="s">
        <v>40</v>
      </c>
      <c r="P2557" t="s">
        <v>40</v>
      </c>
      <c r="Q2557" t="s">
        <v>40</v>
      </c>
      <c r="R2557" t="s">
        <v>40</v>
      </c>
      <c r="S2557" t="s">
        <v>40</v>
      </c>
      <c r="T2557" t="s">
        <v>40</v>
      </c>
      <c r="U2557" t="s">
        <v>221</v>
      </c>
    </row>
    <row r="2558" spans="1:21">
      <c r="A2558" t="str">
        <f>"301213"</f>
        <v>301213</v>
      </c>
      <c r="B2558" t="s">
        <v>5039</v>
      </c>
      <c r="C2558" t="s">
        <v>40</v>
      </c>
      <c r="D2558">
        <v>0</v>
      </c>
      <c r="E2558" t="s">
        <v>40</v>
      </c>
      <c r="F2558" t="s">
        <v>40</v>
      </c>
      <c r="G2558" t="s">
        <v>40</v>
      </c>
      <c r="H2558">
        <v>0</v>
      </c>
      <c r="I2558">
        <v>0</v>
      </c>
      <c r="J2558" t="s">
        <v>40</v>
      </c>
      <c r="K2558" t="s">
        <v>40</v>
      </c>
      <c r="L2558">
        <v>0</v>
      </c>
      <c r="M2558" t="s">
        <v>40</v>
      </c>
      <c r="N2558" t="s">
        <v>30</v>
      </c>
      <c r="O2558" t="s">
        <v>40</v>
      </c>
      <c r="P2558" t="s">
        <v>40</v>
      </c>
      <c r="Q2558" t="s">
        <v>40</v>
      </c>
      <c r="R2558" t="s">
        <v>40</v>
      </c>
      <c r="S2558" t="s">
        <v>40</v>
      </c>
      <c r="T2558" t="s">
        <v>40</v>
      </c>
      <c r="U2558" t="s">
        <v>196</v>
      </c>
    </row>
    <row r="2559" spans="1:21">
      <c r="A2559" t="str">
        <f>"600000"</f>
        <v>600000</v>
      </c>
      <c r="B2559" t="s">
        <v>5040</v>
      </c>
      <c r="C2559">
        <v>1.05</v>
      </c>
      <c r="D2559">
        <v>8.65</v>
      </c>
      <c r="E2559">
        <v>0.09</v>
      </c>
      <c r="F2559">
        <v>8.64</v>
      </c>
      <c r="G2559">
        <v>8.65</v>
      </c>
      <c r="H2559">
        <v>204720</v>
      </c>
      <c r="I2559">
        <v>3814</v>
      </c>
      <c r="J2559">
        <v>0</v>
      </c>
      <c r="K2559">
        <v>0.07</v>
      </c>
      <c r="L2559">
        <v>17657.23</v>
      </c>
      <c r="M2559" t="s">
        <v>5041</v>
      </c>
      <c r="N2559" t="s">
        <v>23</v>
      </c>
      <c r="O2559">
        <v>8.56</v>
      </c>
      <c r="P2559">
        <v>8.7</v>
      </c>
      <c r="Q2559">
        <v>8.55</v>
      </c>
      <c r="R2559">
        <v>8.56</v>
      </c>
      <c r="S2559">
        <v>4.58</v>
      </c>
      <c r="T2559">
        <v>0.91</v>
      </c>
      <c r="U2559" t="s">
        <v>848</v>
      </c>
    </row>
    <row r="2560" spans="1:21">
      <c r="A2560" t="str">
        <f>"600004"</f>
        <v>600004</v>
      </c>
      <c r="B2560" t="s">
        <v>5042</v>
      </c>
      <c r="C2560">
        <v>-1.89</v>
      </c>
      <c r="D2560">
        <v>11.97</v>
      </c>
      <c r="E2560">
        <v>-0.23</v>
      </c>
      <c r="F2560">
        <v>11.97</v>
      </c>
      <c r="G2560">
        <v>11.98</v>
      </c>
      <c r="H2560">
        <v>182480</v>
      </c>
      <c r="I2560">
        <v>724</v>
      </c>
      <c r="J2560">
        <v>0.08</v>
      </c>
      <c r="K2560">
        <v>0.88</v>
      </c>
      <c r="L2560">
        <v>21832.41</v>
      </c>
      <c r="M2560" t="s">
        <v>5043</v>
      </c>
      <c r="N2560" t="s">
        <v>172</v>
      </c>
      <c r="O2560">
        <v>12.17</v>
      </c>
      <c r="P2560">
        <v>12.24</v>
      </c>
      <c r="Q2560">
        <v>11.81</v>
      </c>
      <c r="R2560">
        <v>12.2</v>
      </c>
      <c r="S2560" t="s">
        <v>40</v>
      </c>
      <c r="T2560">
        <v>1.26</v>
      </c>
      <c r="U2560" t="s">
        <v>183</v>
      </c>
    </row>
    <row r="2561" spans="1:21">
      <c r="A2561" t="str">
        <f>"600006"</f>
        <v>600006</v>
      </c>
      <c r="B2561" t="s">
        <v>5044</v>
      </c>
      <c r="C2561">
        <v>3.26</v>
      </c>
      <c r="D2561">
        <v>6.97</v>
      </c>
      <c r="E2561">
        <v>0.22</v>
      </c>
      <c r="F2561">
        <v>6.96</v>
      </c>
      <c r="G2561">
        <v>6.97</v>
      </c>
      <c r="H2561">
        <v>466964</v>
      </c>
      <c r="I2561">
        <v>3481</v>
      </c>
      <c r="J2561">
        <v>-0.13</v>
      </c>
      <c r="K2561">
        <v>2.33</v>
      </c>
      <c r="L2561">
        <v>32183.14</v>
      </c>
      <c r="M2561" t="s">
        <v>5045</v>
      </c>
      <c r="N2561" t="s">
        <v>385</v>
      </c>
      <c r="O2561">
        <v>6.77</v>
      </c>
      <c r="P2561">
        <v>7.06</v>
      </c>
      <c r="Q2561">
        <v>6.66</v>
      </c>
      <c r="R2561">
        <v>6.75</v>
      </c>
      <c r="S2561">
        <v>20.34</v>
      </c>
      <c r="T2561">
        <v>1.86</v>
      </c>
      <c r="U2561" t="s">
        <v>267</v>
      </c>
    </row>
    <row r="2562" spans="1:21">
      <c r="A2562" t="str">
        <f>"600007"</f>
        <v>600007</v>
      </c>
      <c r="B2562" t="s">
        <v>5046</v>
      </c>
      <c r="C2562">
        <v>0.7</v>
      </c>
      <c r="D2562">
        <v>14.38</v>
      </c>
      <c r="E2562">
        <v>0.1</v>
      </c>
      <c r="F2562">
        <v>14.37</v>
      </c>
      <c r="G2562">
        <v>14.38</v>
      </c>
      <c r="H2562">
        <v>20804</v>
      </c>
      <c r="I2562">
        <v>281</v>
      </c>
      <c r="J2562">
        <v>0.07</v>
      </c>
      <c r="K2562">
        <v>0.21</v>
      </c>
      <c r="L2562">
        <v>2978.69</v>
      </c>
      <c r="M2562" t="s">
        <v>5047</v>
      </c>
      <c r="N2562" t="s">
        <v>520</v>
      </c>
      <c r="O2562">
        <v>14.26</v>
      </c>
      <c r="P2562">
        <v>14.43</v>
      </c>
      <c r="Q2562">
        <v>14.11</v>
      </c>
      <c r="R2562">
        <v>14.28</v>
      </c>
      <c r="S2562">
        <v>14</v>
      </c>
      <c r="T2562">
        <v>0.49</v>
      </c>
      <c r="U2562" t="s">
        <v>44</v>
      </c>
    </row>
    <row r="2563" spans="1:21">
      <c r="A2563" t="str">
        <f>"600008"</f>
        <v>600008</v>
      </c>
      <c r="B2563" t="s">
        <v>5048</v>
      </c>
      <c r="C2563">
        <v>1.58</v>
      </c>
      <c r="D2563">
        <v>3.22</v>
      </c>
      <c r="E2563">
        <v>0.05</v>
      </c>
      <c r="F2563">
        <v>3.21</v>
      </c>
      <c r="G2563">
        <v>3.22</v>
      </c>
      <c r="H2563">
        <v>1043723</v>
      </c>
      <c r="I2563">
        <v>9148</v>
      </c>
      <c r="J2563">
        <v>0.31</v>
      </c>
      <c r="K2563">
        <v>1.42</v>
      </c>
      <c r="L2563">
        <v>33357.84</v>
      </c>
      <c r="M2563" t="s">
        <v>5049</v>
      </c>
      <c r="N2563" t="s">
        <v>33</v>
      </c>
      <c r="O2563">
        <v>3.18</v>
      </c>
      <c r="P2563">
        <v>3.22</v>
      </c>
      <c r="Q2563">
        <v>3.16</v>
      </c>
      <c r="R2563">
        <v>3.17</v>
      </c>
      <c r="S2563">
        <v>9.26</v>
      </c>
      <c r="T2563">
        <v>1.35</v>
      </c>
      <c r="U2563" t="s">
        <v>44</v>
      </c>
    </row>
    <row r="2564" spans="1:21">
      <c r="A2564" t="str">
        <f>"600009"</f>
        <v>600009</v>
      </c>
      <c r="B2564" t="s">
        <v>5050</v>
      </c>
      <c r="C2564">
        <v>-0.7</v>
      </c>
      <c r="D2564">
        <v>48.31</v>
      </c>
      <c r="E2564">
        <v>-0.34</v>
      </c>
      <c r="F2564">
        <v>48.31</v>
      </c>
      <c r="G2564">
        <v>48.32</v>
      </c>
      <c r="H2564">
        <v>104832</v>
      </c>
      <c r="I2564">
        <v>1322</v>
      </c>
      <c r="J2564">
        <v>0.15</v>
      </c>
      <c r="K2564">
        <v>0.96</v>
      </c>
      <c r="L2564">
        <v>50556.2</v>
      </c>
      <c r="M2564" t="s">
        <v>5051</v>
      </c>
      <c r="N2564" t="s">
        <v>172</v>
      </c>
      <c r="O2564">
        <v>48.68</v>
      </c>
      <c r="P2564">
        <v>48.93</v>
      </c>
      <c r="Q2564">
        <v>47.88</v>
      </c>
      <c r="R2564">
        <v>48.65</v>
      </c>
      <c r="S2564" t="s">
        <v>40</v>
      </c>
      <c r="T2564">
        <v>0.86</v>
      </c>
      <c r="U2564" t="s">
        <v>848</v>
      </c>
    </row>
    <row r="2565" spans="1:21">
      <c r="A2565" t="str">
        <f>"600010"</f>
        <v>600010</v>
      </c>
      <c r="B2565" t="s">
        <v>5052</v>
      </c>
      <c r="C2565">
        <v>0.8</v>
      </c>
      <c r="D2565">
        <v>2.52</v>
      </c>
      <c r="E2565">
        <v>0.02</v>
      </c>
      <c r="F2565">
        <v>2.51</v>
      </c>
      <c r="G2565">
        <v>2.52</v>
      </c>
      <c r="H2565">
        <v>6441241</v>
      </c>
      <c r="I2565">
        <v>60252</v>
      </c>
      <c r="J2565">
        <v>0.4</v>
      </c>
      <c r="K2565">
        <v>2.03</v>
      </c>
      <c r="L2565">
        <v>159822.77</v>
      </c>
      <c r="M2565" t="s">
        <v>5053</v>
      </c>
      <c r="N2565" t="s">
        <v>551</v>
      </c>
      <c r="O2565">
        <v>2.49</v>
      </c>
      <c r="P2565">
        <v>2.52</v>
      </c>
      <c r="Q2565">
        <v>2.44</v>
      </c>
      <c r="R2565">
        <v>2.5</v>
      </c>
      <c r="S2565">
        <v>22.81</v>
      </c>
      <c r="T2565">
        <v>0.81</v>
      </c>
      <c r="U2565" t="s">
        <v>275</v>
      </c>
    </row>
    <row r="2566" spans="1:21">
      <c r="A2566" t="str">
        <f>"600011"</f>
        <v>600011</v>
      </c>
      <c r="B2566" t="s">
        <v>5054</v>
      </c>
      <c r="C2566">
        <v>0.68</v>
      </c>
      <c r="D2566">
        <v>5.96</v>
      </c>
      <c r="E2566">
        <v>0.04</v>
      </c>
      <c r="F2566">
        <v>5.95</v>
      </c>
      <c r="G2566">
        <v>5.96</v>
      </c>
      <c r="H2566">
        <v>615275</v>
      </c>
      <c r="I2566">
        <v>17202</v>
      </c>
      <c r="J2566">
        <v>0.34</v>
      </c>
      <c r="K2566">
        <v>0.56</v>
      </c>
      <c r="L2566">
        <v>36141.64</v>
      </c>
      <c r="M2566" t="s">
        <v>5055</v>
      </c>
      <c r="N2566" t="s">
        <v>83</v>
      </c>
      <c r="O2566">
        <v>5.95</v>
      </c>
      <c r="P2566">
        <v>5.98</v>
      </c>
      <c r="Q2566">
        <v>5.78</v>
      </c>
      <c r="R2566">
        <v>5.92</v>
      </c>
      <c r="S2566">
        <v>89.63</v>
      </c>
      <c r="T2566">
        <v>0.89</v>
      </c>
      <c r="U2566" t="s">
        <v>44</v>
      </c>
    </row>
    <row r="2567" spans="1:21">
      <c r="A2567" t="str">
        <f>"600012"</f>
        <v>600012</v>
      </c>
      <c r="B2567" t="s">
        <v>5056</v>
      </c>
      <c r="C2567">
        <v>9.97</v>
      </c>
      <c r="D2567">
        <v>6.51</v>
      </c>
      <c r="E2567">
        <v>0.59</v>
      </c>
      <c r="F2567">
        <v>6.51</v>
      </c>
      <c r="G2567" t="s">
        <v>40</v>
      </c>
      <c r="H2567">
        <v>109069</v>
      </c>
      <c r="I2567">
        <v>164</v>
      </c>
      <c r="J2567">
        <v>0</v>
      </c>
      <c r="K2567">
        <v>0.94</v>
      </c>
      <c r="L2567">
        <v>7088.77</v>
      </c>
      <c r="M2567" t="s">
        <v>5057</v>
      </c>
      <c r="N2567" t="s">
        <v>280</v>
      </c>
      <c r="O2567">
        <v>6.51</v>
      </c>
      <c r="P2567">
        <v>6.51</v>
      </c>
      <c r="Q2567">
        <v>6.34</v>
      </c>
      <c r="R2567">
        <v>5.92</v>
      </c>
      <c r="S2567">
        <v>7.44</v>
      </c>
      <c r="T2567">
        <v>3.18</v>
      </c>
      <c r="U2567" t="s">
        <v>193</v>
      </c>
    </row>
    <row r="2568" spans="1:21">
      <c r="A2568" t="str">
        <f>"600015"</f>
        <v>600015</v>
      </c>
      <c r="B2568" t="s">
        <v>5058</v>
      </c>
      <c r="C2568">
        <v>0.36</v>
      </c>
      <c r="D2568">
        <v>5.63</v>
      </c>
      <c r="E2568">
        <v>0.02</v>
      </c>
      <c r="F2568">
        <v>5.62</v>
      </c>
      <c r="G2568">
        <v>5.63</v>
      </c>
      <c r="H2568">
        <v>257140</v>
      </c>
      <c r="I2568">
        <v>4409</v>
      </c>
      <c r="J2568">
        <v>0.36</v>
      </c>
      <c r="K2568">
        <v>0.2</v>
      </c>
      <c r="L2568">
        <v>14407.28</v>
      </c>
      <c r="M2568" t="s">
        <v>5059</v>
      </c>
      <c r="N2568" t="s">
        <v>23</v>
      </c>
      <c r="O2568">
        <v>5.61</v>
      </c>
      <c r="P2568">
        <v>5.63</v>
      </c>
      <c r="Q2568">
        <v>5.57</v>
      </c>
      <c r="R2568">
        <v>5.61</v>
      </c>
      <c r="S2568">
        <v>4.01</v>
      </c>
      <c r="T2568">
        <v>1.59</v>
      </c>
      <c r="U2568" t="s">
        <v>44</v>
      </c>
    </row>
    <row r="2569" spans="1:21">
      <c r="A2569" t="str">
        <f>"600016"</f>
        <v>600016</v>
      </c>
      <c r="B2569" t="s">
        <v>5060</v>
      </c>
      <c r="C2569">
        <v>0.77</v>
      </c>
      <c r="D2569">
        <v>3.92</v>
      </c>
      <c r="E2569">
        <v>0.03</v>
      </c>
      <c r="F2569">
        <v>3.92</v>
      </c>
      <c r="G2569">
        <v>3.93</v>
      </c>
      <c r="H2569">
        <v>525388</v>
      </c>
      <c r="I2569">
        <v>7883</v>
      </c>
      <c r="J2569">
        <v>0</v>
      </c>
      <c r="K2569">
        <v>0.15</v>
      </c>
      <c r="L2569">
        <v>20525.5</v>
      </c>
      <c r="M2569" t="s">
        <v>5061</v>
      </c>
      <c r="N2569" t="s">
        <v>23</v>
      </c>
      <c r="O2569">
        <v>3.9</v>
      </c>
      <c r="P2569">
        <v>3.93</v>
      </c>
      <c r="Q2569">
        <v>3.89</v>
      </c>
      <c r="R2569">
        <v>3.89</v>
      </c>
      <c r="S2569">
        <v>3.63</v>
      </c>
      <c r="T2569">
        <v>1.16</v>
      </c>
      <c r="U2569" t="s">
        <v>44</v>
      </c>
    </row>
    <row r="2570" spans="1:21">
      <c r="A2570" t="str">
        <f>"600017"</f>
        <v>600017</v>
      </c>
      <c r="B2570" t="s">
        <v>5062</v>
      </c>
      <c r="C2570">
        <v>0.76</v>
      </c>
      <c r="D2570">
        <v>2.66</v>
      </c>
      <c r="E2570">
        <v>0.02</v>
      </c>
      <c r="F2570">
        <v>2.65</v>
      </c>
      <c r="G2570">
        <v>2.66</v>
      </c>
      <c r="H2570">
        <v>67469</v>
      </c>
      <c r="I2570">
        <v>369</v>
      </c>
      <c r="J2570">
        <v>0</v>
      </c>
      <c r="K2570">
        <v>0.22</v>
      </c>
      <c r="L2570">
        <v>1783.36</v>
      </c>
      <c r="M2570" t="s">
        <v>5063</v>
      </c>
      <c r="N2570" t="s">
        <v>169</v>
      </c>
      <c r="O2570">
        <v>2.64</v>
      </c>
      <c r="P2570">
        <v>2.66</v>
      </c>
      <c r="Q2570">
        <v>2.63</v>
      </c>
      <c r="R2570">
        <v>2.64</v>
      </c>
      <c r="S2570">
        <v>10.83</v>
      </c>
      <c r="T2570">
        <v>1.12</v>
      </c>
      <c r="U2570" t="s">
        <v>221</v>
      </c>
    </row>
    <row r="2571" spans="1:21">
      <c r="A2571" t="str">
        <f>"600018"</f>
        <v>600018</v>
      </c>
      <c r="B2571" t="s">
        <v>5064</v>
      </c>
      <c r="C2571">
        <v>1.07</v>
      </c>
      <c r="D2571">
        <v>4.72</v>
      </c>
      <c r="E2571">
        <v>0.05</v>
      </c>
      <c r="F2571">
        <v>4.72</v>
      </c>
      <c r="G2571">
        <v>4.73</v>
      </c>
      <c r="H2571">
        <v>432698</v>
      </c>
      <c r="I2571">
        <v>6624</v>
      </c>
      <c r="J2571">
        <v>-0.2</v>
      </c>
      <c r="K2571">
        <v>0.19</v>
      </c>
      <c r="L2571">
        <v>20390.71</v>
      </c>
      <c r="M2571" t="s">
        <v>5065</v>
      </c>
      <c r="N2571" t="s">
        <v>169</v>
      </c>
      <c r="O2571">
        <v>4.69</v>
      </c>
      <c r="P2571">
        <v>4.74</v>
      </c>
      <c r="Q2571">
        <v>4.67</v>
      </c>
      <c r="R2571">
        <v>4.67</v>
      </c>
      <c r="S2571">
        <v>7.02</v>
      </c>
      <c r="T2571">
        <v>1.03</v>
      </c>
      <c r="U2571" t="s">
        <v>848</v>
      </c>
    </row>
    <row r="2572" spans="1:21">
      <c r="A2572" t="str">
        <f>"600019"</f>
        <v>600019</v>
      </c>
      <c r="B2572" t="s">
        <v>5066</v>
      </c>
      <c r="C2572">
        <v>1.71</v>
      </c>
      <c r="D2572">
        <v>6.53</v>
      </c>
      <c r="E2572">
        <v>0.11</v>
      </c>
      <c r="F2572">
        <v>6.53</v>
      </c>
      <c r="G2572">
        <v>6.54</v>
      </c>
      <c r="H2572">
        <v>1282089</v>
      </c>
      <c r="I2572">
        <v>12356</v>
      </c>
      <c r="J2572">
        <v>0.15</v>
      </c>
      <c r="K2572">
        <v>0.58</v>
      </c>
      <c r="L2572">
        <v>82579.19</v>
      </c>
      <c r="M2572" t="s">
        <v>5067</v>
      </c>
      <c r="N2572" t="s">
        <v>551</v>
      </c>
      <c r="O2572">
        <v>6.4</v>
      </c>
      <c r="P2572">
        <v>6.56</v>
      </c>
      <c r="Q2572">
        <v>6.32</v>
      </c>
      <c r="R2572">
        <v>6.42</v>
      </c>
      <c r="S2572">
        <v>5.05</v>
      </c>
      <c r="T2572">
        <v>0.89</v>
      </c>
      <c r="U2572" t="s">
        <v>848</v>
      </c>
    </row>
    <row r="2573" spans="1:21">
      <c r="A2573" t="str">
        <f>"600020"</f>
        <v>600020</v>
      </c>
      <c r="B2573" t="s">
        <v>5068</v>
      </c>
      <c r="C2573">
        <v>1.28</v>
      </c>
      <c r="D2573">
        <v>3.17</v>
      </c>
      <c r="E2573">
        <v>0.04</v>
      </c>
      <c r="F2573">
        <v>3.16</v>
      </c>
      <c r="G2573">
        <v>3.17</v>
      </c>
      <c r="H2573">
        <v>71025</v>
      </c>
      <c r="I2573">
        <v>881</v>
      </c>
      <c r="J2573">
        <v>0</v>
      </c>
      <c r="K2573">
        <v>0.32</v>
      </c>
      <c r="L2573">
        <v>2240.77</v>
      </c>
      <c r="M2573" t="s">
        <v>5069</v>
      </c>
      <c r="N2573" t="s">
        <v>280</v>
      </c>
      <c r="O2573">
        <v>3.13</v>
      </c>
      <c r="P2573">
        <v>3.18</v>
      </c>
      <c r="Q2573">
        <v>3.13</v>
      </c>
      <c r="R2573">
        <v>3.13</v>
      </c>
      <c r="S2573">
        <v>6.93</v>
      </c>
      <c r="T2573">
        <v>1.6</v>
      </c>
      <c r="U2573" t="s">
        <v>224</v>
      </c>
    </row>
    <row r="2574" spans="1:21">
      <c r="A2574" t="str">
        <f>"600021"</f>
        <v>600021</v>
      </c>
      <c r="B2574" t="s">
        <v>5070</v>
      </c>
      <c r="C2574">
        <v>1.03</v>
      </c>
      <c r="D2574">
        <v>8.8</v>
      </c>
      <c r="E2574">
        <v>0.09</v>
      </c>
      <c r="F2574">
        <v>8.8</v>
      </c>
      <c r="G2574">
        <v>8.81</v>
      </c>
      <c r="H2574">
        <v>384558</v>
      </c>
      <c r="I2574">
        <v>4747</v>
      </c>
      <c r="J2574">
        <v>0</v>
      </c>
      <c r="K2574">
        <v>1.47</v>
      </c>
      <c r="L2574">
        <v>33306.74</v>
      </c>
      <c r="M2574" t="s">
        <v>5071</v>
      </c>
      <c r="N2574" t="s">
        <v>83</v>
      </c>
      <c r="O2574">
        <v>8.72</v>
      </c>
      <c r="P2574">
        <v>8.85</v>
      </c>
      <c r="Q2574">
        <v>8.46</v>
      </c>
      <c r="R2574">
        <v>8.71</v>
      </c>
      <c r="S2574">
        <v>44.38</v>
      </c>
      <c r="T2574">
        <v>1.16</v>
      </c>
      <c r="U2574" t="s">
        <v>848</v>
      </c>
    </row>
    <row r="2575" spans="1:21">
      <c r="A2575" t="str">
        <f>"600022"</f>
        <v>600022</v>
      </c>
      <c r="B2575" t="s">
        <v>5072</v>
      </c>
      <c r="C2575">
        <v>1.19</v>
      </c>
      <c r="D2575">
        <v>1.7</v>
      </c>
      <c r="E2575">
        <v>0.02</v>
      </c>
      <c r="F2575">
        <v>1.7</v>
      </c>
      <c r="G2575">
        <v>1.71</v>
      </c>
      <c r="H2575">
        <v>1665322</v>
      </c>
      <c r="I2575">
        <v>12139</v>
      </c>
      <c r="J2575">
        <v>-0.57</v>
      </c>
      <c r="K2575">
        <v>1.52</v>
      </c>
      <c r="L2575">
        <v>27957.62</v>
      </c>
      <c r="M2575" t="s">
        <v>5073</v>
      </c>
      <c r="N2575" t="s">
        <v>551</v>
      </c>
      <c r="O2575">
        <v>1.68</v>
      </c>
      <c r="P2575">
        <v>1.71</v>
      </c>
      <c r="Q2575">
        <v>1.65</v>
      </c>
      <c r="R2575">
        <v>1.68</v>
      </c>
      <c r="S2575">
        <v>4.89</v>
      </c>
      <c r="T2575">
        <v>1.15</v>
      </c>
      <c r="U2575" t="s">
        <v>221</v>
      </c>
    </row>
    <row r="2576" spans="1:21">
      <c r="A2576" t="str">
        <f>"600023"</f>
        <v>600023</v>
      </c>
      <c r="B2576" t="s">
        <v>5074</v>
      </c>
      <c r="C2576">
        <v>-0.27</v>
      </c>
      <c r="D2576">
        <v>3.7</v>
      </c>
      <c r="E2576">
        <v>-0.01</v>
      </c>
      <c r="F2576">
        <v>3.7</v>
      </c>
      <c r="G2576">
        <v>3.71</v>
      </c>
      <c r="H2576">
        <v>191016</v>
      </c>
      <c r="I2576">
        <v>2260</v>
      </c>
      <c r="J2576">
        <v>0</v>
      </c>
      <c r="K2576">
        <v>0.14</v>
      </c>
      <c r="L2576">
        <v>7063.87</v>
      </c>
      <c r="M2576" t="s">
        <v>5075</v>
      </c>
      <c r="N2576" t="s">
        <v>83</v>
      </c>
      <c r="O2576">
        <v>3.71</v>
      </c>
      <c r="P2576">
        <v>3.72</v>
      </c>
      <c r="Q2576">
        <v>3.67</v>
      </c>
      <c r="R2576">
        <v>3.71</v>
      </c>
      <c r="S2576">
        <v>16.69</v>
      </c>
      <c r="T2576">
        <v>0.92</v>
      </c>
      <c r="U2576" t="s">
        <v>200</v>
      </c>
    </row>
    <row r="2577" spans="1:21">
      <c r="A2577" t="str">
        <f>"600025"</f>
        <v>600025</v>
      </c>
      <c r="B2577" t="s">
        <v>5076</v>
      </c>
      <c r="C2577">
        <v>2.68</v>
      </c>
      <c r="D2577">
        <v>6.14</v>
      </c>
      <c r="E2577">
        <v>0.16</v>
      </c>
      <c r="F2577">
        <v>6.13</v>
      </c>
      <c r="G2577">
        <v>6.14</v>
      </c>
      <c r="H2577">
        <v>493824</v>
      </c>
      <c r="I2577">
        <v>5117</v>
      </c>
      <c r="J2577">
        <v>0</v>
      </c>
      <c r="K2577">
        <v>0.27</v>
      </c>
      <c r="L2577">
        <v>30005.46</v>
      </c>
      <c r="M2577" t="s">
        <v>5077</v>
      </c>
      <c r="N2577" t="s">
        <v>472</v>
      </c>
      <c r="O2577">
        <v>6</v>
      </c>
      <c r="P2577">
        <v>6.18</v>
      </c>
      <c r="Q2577">
        <v>5.92</v>
      </c>
      <c r="R2577">
        <v>5.98</v>
      </c>
      <c r="S2577">
        <v>17.05</v>
      </c>
      <c r="T2577">
        <v>0.96</v>
      </c>
      <c r="U2577" t="s">
        <v>363</v>
      </c>
    </row>
    <row r="2578" spans="1:21">
      <c r="A2578" t="str">
        <f>"600026"</f>
        <v>600026</v>
      </c>
      <c r="B2578" t="s">
        <v>5078</v>
      </c>
      <c r="C2578">
        <v>0</v>
      </c>
      <c r="D2578">
        <v>5.65</v>
      </c>
      <c r="E2578">
        <v>0</v>
      </c>
      <c r="F2578">
        <v>5.65</v>
      </c>
      <c r="G2578">
        <v>5.66</v>
      </c>
      <c r="H2578">
        <v>103193</v>
      </c>
      <c r="I2578">
        <v>1861</v>
      </c>
      <c r="J2578">
        <v>-0.34</v>
      </c>
      <c r="K2578">
        <v>0.36</v>
      </c>
      <c r="L2578">
        <v>5823.1</v>
      </c>
      <c r="M2578" t="s">
        <v>5079</v>
      </c>
      <c r="N2578" t="s">
        <v>327</v>
      </c>
      <c r="O2578">
        <v>5.64</v>
      </c>
      <c r="P2578">
        <v>5.68</v>
      </c>
      <c r="Q2578">
        <v>5.6</v>
      </c>
      <c r="R2578">
        <v>5.65</v>
      </c>
      <c r="S2578">
        <v>45.48</v>
      </c>
      <c r="T2578">
        <v>0.95</v>
      </c>
      <c r="U2578" t="s">
        <v>848</v>
      </c>
    </row>
    <row r="2579" spans="1:21">
      <c r="A2579" t="str">
        <f>"600027"</f>
        <v>600027</v>
      </c>
      <c r="B2579" t="s">
        <v>5080</v>
      </c>
      <c r="C2579">
        <v>-0.84</v>
      </c>
      <c r="D2579">
        <v>3.55</v>
      </c>
      <c r="E2579">
        <v>-0.03</v>
      </c>
      <c r="F2579">
        <v>3.54</v>
      </c>
      <c r="G2579">
        <v>3.55</v>
      </c>
      <c r="H2579">
        <v>575805</v>
      </c>
      <c r="I2579">
        <v>10177</v>
      </c>
      <c r="J2579">
        <v>0</v>
      </c>
      <c r="K2579">
        <v>0.71</v>
      </c>
      <c r="L2579">
        <v>20285.33</v>
      </c>
      <c r="M2579" t="s">
        <v>5081</v>
      </c>
      <c r="N2579" t="s">
        <v>83</v>
      </c>
      <c r="O2579">
        <v>3.58</v>
      </c>
      <c r="P2579">
        <v>3.59</v>
      </c>
      <c r="Q2579">
        <v>3.49</v>
      </c>
      <c r="R2579">
        <v>3.58</v>
      </c>
      <c r="S2579">
        <v>16.19</v>
      </c>
      <c r="T2579">
        <v>0.98</v>
      </c>
      <c r="U2579" t="s">
        <v>221</v>
      </c>
    </row>
    <row r="2580" spans="1:21">
      <c r="A2580" t="str">
        <f>"600028"</f>
        <v>600028</v>
      </c>
      <c r="B2580" t="s">
        <v>5082</v>
      </c>
      <c r="C2580">
        <v>2.45</v>
      </c>
      <c r="D2580">
        <v>4.18</v>
      </c>
      <c r="E2580">
        <v>0.1</v>
      </c>
      <c r="F2580">
        <v>4.17</v>
      </c>
      <c r="G2580">
        <v>4.18</v>
      </c>
      <c r="H2580">
        <v>1743455</v>
      </c>
      <c r="I2580">
        <v>22275</v>
      </c>
      <c r="J2580">
        <v>0</v>
      </c>
      <c r="K2580">
        <v>0.18</v>
      </c>
      <c r="L2580">
        <v>72212.24</v>
      </c>
      <c r="M2580" t="s">
        <v>5083</v>
      </c>
      <c r="N2580" t="s">
        <v>140</v>
      </c>
      <c r="O2580">
        <v>4.1</v>
      </c>
      <c r="P2580">
        <v>4.19</v>
      </c>
      <c r="Q2580">
        <v>4.08</v>
      </c>
      <c r="R2580">
        <v>4.08</v>
      </c>
      <c r="S2580">
        <v>6.34</v>
      </c>
      <c r="T2580">
        <v>1.9</v>
      </c>
      <c r="U2580" t="s">
        <v>44</v>
      </c>
    </row>
    <row r="2581" spans="1:21">
      <c r="A2581" t="str">
        <f>"600029"</f>
        <v>600029</v>
      </c>
      <c r="B2581" t="s">
        <v>5084</v>
      </c>
      <c r="C2581">
        <v>1.51</v>
      </c>
      <c r="D2581">
        <v>6.73</v>
      </c>
      <c r="E2581">
        <v>0.1</v>
      </c>
      <c r="F2581">
        <v>6.72</v>
      </c>
      <c r="G2581">
        <v>6.73</v>
      </c>
      <c r="H2581">
        <v>177352</v>
      </c>
      <c r="I2581">
        <v>1608</v>
      </c>
      <c r="J2581">
        <v>0.3</v>
      </c>
      <c r="K2581">
        <v>0.17</v>
      </c>
      <c r="L2581">
        <v>11792.15</v>
      </c>
      <c r="M2581" t="s">
        <v>5085</v>
      </c>
      <c r="N2581" t="s">
        <v>180</v>
      </c>
      <c r="O2581">
        <v>6.63</v>
      </c>
      <c r="P2581">
        <v>6.76</v>
      </c>
      <c r="Q2581">
        <v>6.53</v>
      </c>
      <c r="R2581">
        <v>6.63</v>
      </c>
      <c r="S2581" t="s">
        <v>40</v>
      </c>
      <c r="T2581">
        <v>0.67</v>
      </c>
      <c r="U2581" t="s">
        <v>183</v>
      </c>
    </row>
    <row r="2582" spans="1:21">
      <c r="A2582" t="str">
        <f>"600030"</f>
        <v>600030</v>
      </c>
      <c r="B2582" t="s">
        <v>5086</v>
      </c>
      <c r="C2582">
        <v>0.91</v>
      </c>
      <c r="D2582">
        <v>24.3</v>
      </c>
      <c r="E2582">
        <v>0.22</v>
      </c>
      <c r="F2582">
        <v>24.3</v>
      </c>
      <c r="G2582">
        <v>24.31</v>
      </c>
      <c r="H2582">
        <v>796637</v>
      </c>
      <c r="I2582">
        <v>9789</v>
      </c>
      <c r="J2582">
        <v>-0.07</v>
      </c>
      <c r="K2582">
        <v>0.81</v>
      </c>
      <c r="L2582">
        <v>192868.11</v>
      </c>
      <c r="M2582" t="s">
        <v>5087</v>
      </c>
      <c r="N2582" t="s">
        <v>213</v>
      </c>
      <c r="O2582">
        <v>24.01</v>
      </c>
      <c r="P2582">
        <v>24.44</v>
      </c>
      <c r="Q2582">
        <v>23.93</v>
      </c>
      <c r="R2582">
        <v>24.08</v>
      </c>
      <c r="S2582">
        <v>13.35</v>
      </c>
      <c r="T2582">
        <v>0.73</v>
      </c>
      <c r="U2582" t="s">
        <v>24</v>
      </c>
    </row>
    <row r="2583" spans="1:21">
      <c r="A2583" t="str">
        <f>"600031"</f>
        <v>600031</v>
      </c>
      <c r="B2583" t="s">
        <v>5088</v>
      </c>
      <c r="C2583">
        <v>0.83</v>
      </c>
      <c r="D2583">
        <v>21.9</v>
      </c>
      <c r="E2583">
        <v>0.18</v>
      </c>
      <c r="F2583">
        <v>21.9</v>
      </c>
      <c r="G2583">
        <v>21.91</v>
      </c>
      <c r="H2583">
        <v>1257622</v>
      </c>
      <c r="I2583">
        <v>13234</v>
      </c>
      <c r="J2583">
        <v>0</v>
      </c>
      <c r="K2583">
        <v>1.48</v>
      </c>
      <c r="L2583">
        <v>272849.38</v>
      </c>
      <c r="M2583" t="s">
        <v>5089</v>
      </c>
      <c r="N2583" t="s">
        <v>203</v>
      </c>
      <c r="O2583">
        <v>21.66</v>
      </c>
      <c r="P2583">
        <v>22</v>
      </c>
      <c r="Q2583">
        <v>21.41</v>
      </c>
      <c r="R2583">
        <v>21.72</v>
      </c>
      <c r="S2583">
        <v>11.1</v>
      </c>
      <c r="T2583">
        <v>1.51</v>
      </c>
      <c r="U2583" t="s">
        <v>44</v>
      </c>
    </row>
    <row r="2584" spans="1:21">
      <c r="A2584" t="str">
        <f>"600032"</f>
        <v>600032</v>
      </c>
      <c r="B2584" t="s">
        <v>5090</v>
      </c>
      <c r="C2584">
        <v>2.88</v>
      </c>
      <c r="D2584">
        <v>16.77</v>
      </c>
      <c r="E2584">
        <v>0.47</v>
      </c>
      <c r="F2584">
        <v>16.77</v>
      </c>
      <c r="G2584">
        <v>16.78</v>
      </c>
      <c r="H2584">
        <v>450471</v>
      </c>
      <c r="I2584">
        <v>7036</v>
      </c>
      <c r="J2584">
        <v>0.06</v>
      </c>
      <c r="K2584">
        <v>21.66</v>
      </c>
      <c r="L2584">
        <v>73709.16</v>
      </c>
      <c r="M2584" t="s">
        <v>5091</v>
      </c>
      <c r="N2584" t="s">
        <v>114</v>
      </c>
      <c r="O2584">
        <v>16.15</v>
      </c>
      <c r="P2584">
        <v>17.01</v>
      </c>
      <c r="Q2584">
        <v>15.67</v>
      </c>
      <c r="R2584">
        <v>16.3</v>
      </c>
      <c r="S2584">
        <v>64.12</v>
      </c>
      <c r="T2584">
        <v>1.8</v>
      </c>
      <c r="U2584" t="s">
        <v>200</v>
      </c>
    </row>
    <row r="2585" spans="1:21">
      <c r="A2585" t="str">
        <f>"600033"</f>
        <v>600033</v>
      </c>
      <c r="B2585" t="s">
        <v>5092</v>
      </c>
      <c r="C2585">
        <v>1.52</v>
      </c>
      <c r="D2585">
        <v>2.67</v>
      </c>
      <c r="E2585">
        <v>0.04</v>
      </c>
      <c r="F2585">
        <v>2.66</v>
      </c>
      <c r="G2585">
        <v>2.67</v>
      </c>
      <c r="H2585">
        <v>122797</v>
      </c>
      <c r="I2585">
        <v>517</v>
      </c>
      <c r="J2585">
        <v>0.38</v>
      </c>
      <c r="K2585">
        <v>0.45</v>
      </c>
      <c r="L2585">
        <v>3252</v>
      </c>
      <c r="M2585" t="s">
        <v>5093</v>
      </c>
      <c r="N2585" t="s">
        <v>280</v>
      </c>
      <c r="O2585">
        <v>2.63</v>
      </c>
      <c r="P2585">
        <v>2.67</v>
      </c>
      <c r="Q2585">
        <v>2.62</v>
      </c>
      <c r="R2585">
        <v>2.63</v>
      </c>
      <c r="S2585">
        <v>7.7</v>
      </c>
      <c r="T2585">
        <v>2.44</v>
      </c>
      <c r="U2585" t="s">
        <v>339</v>
      </c>
    </row>
    <row r="2586" spans="1:21">
      <c r="A2586" t="str">
        <f>"600035"</f>
        <v>600035</v>
      </c>
      <c r="B2586" t="s">
        <v>5094</v>
      </c>
      <c r="C2586">
        <v>1.37</v>
      </c>
      <c r="D2586">
        <v>2.96</v>
      </c>
      <c r="E2586">
        <v>0.04</v>
      </c>
      <c r="F2586">
        <v>2.95</v>
      </c>
      <c r="G2586">
        <v>2.96</v>
      </c>
      <c r="H2586">
        <v>130823</v>
      </c>
      <c r="I2586">
        <v>691</v>
      </c>
      <c r="J2586">
        <v>0</v>
      </c>
      <c r="K2586">
        <v>0.81</v>
      </c>
      <c r="L2586">
        <v>3846.63</v>
      </c>
      <c r="M2586" t="s">
        <v>5095</v>
      </c>
      <c r="N2586" t="s">
        <v>280</v>
      </c>
      <c r="O2586">
        <v>2.92</v>
      </c>
      <c r="P2586">
        <v>2.96</v>
      </c>
      <c r="Q2586">
        <v>2.91</v>
      </c>
      <c r="R2586">
        <v>2.92</v>
      </c>
      <c r="S2586">
        <v>5.7</v>
      </c>
      <c r="T2586">
        <v>1.51</v>
      </c>
      <c r="U2586" t="s">
        <v>267</v>
      </c>
    </row>
    <row r="2587" spans="1:21">
      <c r="A2587" t="str">
        <f>"600036"</f>
        <v>600036</v>
      </c>
      <c r="B2587" t="s">
        <v>5096</v>
      </c>
      <c r="C2587">
        <v>1.79</v>
      </c>
      <c r="D2587">
        <v>52.33</v>
      </c>
      <c r="E2587">
        <v>0.92</v>
      </c>
      <c r="F2587">
        <v>52.31</v>
      </c>
      <c r="G2587">
        <v>52.33</v>
      </c>
      <c r="H2587">
        <v>464668</v>
      </c>
      <c r="I2587">
        <v>6209</v>
      </c>
      <c r="J2587">
        <v>-0.01</v>
      </c>
      <c r="K2587">
        <v>0.23</v>
      </c>
      <c r="L2587">
        <v>241975.86</v>
      </c>
      <c r="M2587" t="s">
        <v>5097</v>
      </c>
      <c r="N2587" t="s">
        <v>23</v>
      </c>
      <c r="O2587">
        <v>51.48</v>
      </c>
      <c r="P2587">
        <v>52.74</v>
      </c>
      <c r="Q2587">
        <v>51.11</v>
      </c>
      <c r="R2587">
        <v>51.41</v>
      </c>
      <c r="S2587">
        <v>10.57</v>
      </c>
      <c r="T2587">
        <v>1.35</v>
      </c>
      <c r="U2587" t="s">
        <v>24</v>
      </c>
    </row>
    <row r="2588" spans="1:21">
      <c r="A2588" t="str">
        <f>"600037"</f>
        <v>600037</v>
      </c>
      <c r="B2588" t="s">
        <v>5098</v>
      </c>
      <c r="C2588">
        <v>0.13</v>
      </c>
      <c r="D2588">
        <v>7.9</v>
      </c>
      <c r="E2588">
        <v>0.01</v>
      </c>
      <c r="F2588">
        <v>7.9</v>
      </c>
      <c r="G2588">
        <v>7.91</v>
      </c>
      <c r="H2588">
        <v>94421</v>
      </c>
      <c r="I2588">
        <v>1310</v>
      </c>
      <c r="J2588">
        <v>-0.12</v>
      </c>
      <c r="K2588">
        <v>0.68</v>
      </c>
      <c r="L2588">
        <v>7452.99</v>
      </c>
      <c r="M2588" t="s">
        <v>5099</v>
      </c>
      <c r="N2588" t="s">
        <v>199</v>
      </c>
      <c r="O2588">
        <v>7.89</v>
      </c>
      <c r="P2588">
        <v>7.94</v>
      </c>
      <c r="Q2588">
        <v>7.82</v>
      </c>
      <c r="R2588">
        <v>7.89</v>
      </c>
      <c r="S2588">
        <v>102.66</v>
      </c>
      <c r="T2588">
        <v>0.58</v>
      </c>
      <c r="U2588" t="s">
        <v>44</v>
      </c>
    </row>
    <row r="2589" spans="1:21">
      <c r="A2589" t="str">
        <f>"600038"</f>
        <v>600038</v>
      </c>
      <c r="B2589" t="s">
        <v>5100</v>
      </c>
      <c r="C2589">
        <v>4.21</v>
      </c>
      <c r="D2589">
        <v>74.3</v>
      </c>
      <c r="E2589">
        <v>3</v>
      </c>
      <c r="F2589">
        <v>74.27</v>
      </c>
      <c r="G2589">
        <v>74.3</v>
      </c>
      <c r="H2589">
        <v>163271</v>
      </c>
      <c r="I2589">
        <v>1383</v>
      </c>
      <c r="J2589">
        <v>0.16</v>
      </c>
      <c r="K2589">
        <v>2.77</v>
      </c>
      <c r="L2589">
        <v>120071.64</v>
      </c>
      <c r="M2589" t="s">
        <v>5101</v>
      </c>
      <c r="N2589" t="s">
        <v>611</v>
      </c>
      <c r="O2589">
        <v>70.8</v>
      </c>
      <c r="P2589">
        <v>75.9</v>
      </c>
      <c r="Q2589">
        <v>70.39</v>
      </c>
      <c r="R2589">
        <v>71.3</v>
      </c>
      <c r="S2589">
        <v>53.06</v>
      </c>
      <c r="T2589">
        <v>1.36</v>
      </c>
      <c r="U2589" t="s">
        <v>445</v>
      </c>
    </row>
    <row r="2590" spans="1:21">
      <c r="A2590" t="str">
        <f>"600039"</f>
        <v>600039</v>
      </c>
      <c r="B2590" t="s">
        <v>5102</v>
      </c>
      <c r="C2590">
        <v>1.03</v>
      </c>
      <c r="D2590">
        <v>10.79</v>
      </c>
      <c r="E2590">
        <v>0.11</v>
      </c>
      <c r="F2590">
        <v>10.78</v>
      </c>
      <c r="G2590">
        <v>10.79</v>
      </c>
      <c r="H2590">
        <v>383973</v>
      </c>
      <c r="I2590">
        <v>4520</v>
      </c>
      <c r="J2590">
        <v>0.09</v>
      </c>
      <c r="K2590">
        <v>1.06</v>
      </c>
      <c r="L2590">
        <v>41129</v>
      </c>
      <c r="M2590" t="s">
        <v>5103</v>
      </c>
      <c r="N2590" t="s">
        <v>50</v>
      </c>
      <c r="O2590">
        <v>10.64</v>
      </c>
      <c r="P2590">
        <v>10.86</v>
      </c>
      <c r="Q2590">
        <v>10.51</v>
      </c>
      <c r="R2590">
        <v>10.68</v>
      </c>
      <c r="S2590">
        <v>11.14</v>
      </c>
      <c r="T2590">
        <v>0.82</v>
      </c>
      <c r="U2590" t="s">
        <v>196</v>
      </c>
    </row>
    <row r="2591" spans="1:21">
      <c r="A2591" t="str">
        <f>"600048"</f>
        <v>600048</v>
      </c>
      <c r="B2591" t="s">
        <v>5104</v>
      </c>
      <c r="C2591">
        <v>7.29</v>
      </c>
      <c r="D2591">
        <v>15.02</v>
      </c>
      <c r="E2591">
        <v>1.02</v>
      </c>
      <c r="F2591">
        <v>15.01</v>
      </c>
      <c r="G2591">
        <v>15.02</v>
      </c>
      <c r="H2591">
        <v>1458065</v>
      </c>
      <c r="I2591">
        <v>22432</v>
      </c>
      <c r="J2591">
        <v>0.07</v>
      </c>
      <c r="K2591">
        <v>1.22</v>
      </c>
      <c r="L2591">
        <v>212779.19</v>
      </c>
      <c r="M2591" t="s">
        <v>5105</v>
      </c>
      <c r="N2591" t="s">
        <v>27</v>
      </c>
      <c r="O2591">
        <v>13.91</v>
      </c>
      <c r="P2591">
        <v>15.2</v>
      </c>
      <c r="Q2591">
        <v>13.75</v>
      </c>
      <c r="R2591">
        <v>14</v>
      </c>
      <c r="S2591">
        <v>9.93</v>
      </c>
      <c r="T2591">
        <v>1.44</v>
      </c>
      <c r="U2591" t="s">
        <v>183</v>
      </c>
    </row>
    <row r="2592" spans="1:21">
      <c r="A2592" t="str">
        <f>"600050"</f>
        <v>600050</v>
      </c>
      <c r="B2592" t="s">
        <v>5106</v>
      </c>
      <c r="C2592">
        <v>0.76</v>
      </c>
      <c r="D2592">
        <v>3.97</v>
      </c>
      <c r="E2592">
        <v>0.03</v>
      </c>
      <c r="F2592">
        <v>3.96</v>
      </c>
      <c r="G2592">
        <v>3.97</v>
      </c>
      <c r="H2592">
        <v>577667</v>
      </c>
      <c r="I2592">
        <v>12764</v>
      </c>
      <c r="J2592">
        <v>0</v>
      </c>
      <c r="K2592">
        <v>0.19</v>
      </c>
      <c r="L2592">
        <v>22827.23</v>
      </c>
      <c r="M2592" t="s">
        <v>5107</v>
      </c>
      <c r="N2592" t="s">
        <v>1279</v>
      </c>
      <c r="O2592">
        <v>3.94</v>
      </c>
      <c r="P2592">
        <v>3.97</v>
      </c>
      <c r="Q2592">
        <v>3.93</v>
      </c>
      <c r="R2592">
        <v>3.94</v>
      </c>
      <c r="S2592">
        <v>16.26</v>
      </c>
      <c r="T2592">
        <v>0.83</v>
      </c>
      <c r="U2592" t="s">
        <v>44</v>
      </c>
    </row>
    <row r="2593" spans="1:21">
      <c r="A2593" t="str">
        <f>"600051"</f>
        <v>600051</v>
      </c>
      <c r="B2593" t="s">
        <v>5108</v>
      </c>
      <c r="C2593">
        <v>0.77</v>
      </c>
      <c r="D2593">
        <v>6.54</v>
      </c>
      <c r="E2593">
        <v>0.05</v>
      </c>
      <c r="F2593">
        <v>6.54</v>
      </c>
      <c r="G2593">
        <v>6.55</v>
      </c>
      <c r="H2593">
        <v>16290</v>
      </c>
      <c r="I2593">
        <v>251</v>
      </c>
      <c r="J2593">
        <v>0</v>
      </c>
      <c r="K2593">
        <v>0.52</v>
      </c>
      <c r="L2593">
        <v>1058.28</v>
      </c>
      <c r="M2593" t="s">
        <v>5109</v>
      </c>
      <c r="N2593" t="s">
        <v>99</v>
      </c>
      <c r="O2593">
        <v>6.48</v>
      </c>
      <c r="P2593">
        <v>6.55</v>
      </c>
      <c r="Q2593">
        <v>6.43</v>
      </c>
      <c r="R2593">
        <v>6.49</v>
      </c>
      <c r="S2593">
        <v>12.72</v>
      </c>
      <c r="T2593">
        <v>0.88</v>
      </c>
      <c r="U2593" t="s">
        <v>200</v>
      </c>
    </row>
    <row r="2594" spans="1:21">
      <c r="A2594" t="str">
        <f>"600052"</f>
        <v>600052</v>
      </c>
      <c r="B2594" t="s">
        <v>5110</v>
      </c>
      <c r="C2594">
        <v>-0.95</v>
      </c>
      <c r="D2594">
        <v>4.19</v>
      </c>
      <c r="E2594">
        <v>-0.04</v>
      </c>
      <c r="F2594">
        <v>4.19</v>
      </c>
      <c r="G2594">
        <v>4.2</v>
      </c>
      <c r="H2594">
        <v>47304</v>
      </c>
      <c r="I2594">
        <v>304</v>
      </c>
      <c r="J2594">
        <v>0.24</v>
      </c>
      <c r="K2594">
        <v>0.56</v>
      </c>
      <c r="L2594">
        <v>1981.54</v>
      </c>
      <c r="M2594" t="s">
        <v>5111</v>
      </c>
      <c r="N2594" t="s">
        <v>199</v>
      </c>
      <c r="O2594">
        <v>4.22</v>
      </c>
      <c r="P2594">
        <v>4.25</v>
      </c>
      <c r="Q2594">
        <v>4.15</v>
      </c>
      <c r="R2594">
        <v>4.23</v>
      </c>
      <c r="S2594">
        <v>130.76</v>
      </c>
      <c r="T2594">
        <v>0.65</v>
      </c>
      <c r="U2594" t="s">
        <v>200</v>
      </c>
    </row>
    <row r="2595" spans="1:21">
      <c r="A2595" t="str">
        <f>"600053"</f>
        <v>600053</v>
      </c>
      <c r="B2595" t="s">
        <v>5112</v>
      </c>
      <c r="C2595">
        <v>4.97</v>
      </c>
      <c r="D2595">
        <v>16.9</v>
      </c>
      <c r="E2595">
        <v>0.8</v>
      </c>
      <c r="F2595">
        <v>16.9</v>
      </c>
      <c r="G2595">
        <v>16.91</v>
      </c>
      <c r="H2595">
        <v>57291</v>
      </c>
      <c r="I2595">
        <v>571</v>
      </c>
      <c r="J2595">
        <v>0.48</v>
      </c>
      <c r="K2595">
        <v>1.32</v>
      </c>
      <c r="L2595">
        <v>9569.11</v>
      </c>
      <c r="M2595" t="s">
        <v>5113</v>
      </c>
      <c r="N2595" t="s">
        <v>121</v>
      </c>
      <c r="O2595">
        <v>16.12</v>
      </c>
      <c r="P2595">
        <v>17.2</v>
      </c>
      <c r="Q2595">
        <v>16.06</v>
      </c>
      <c r="R2595">
        <v>16.1</v>
      </c>
      <c r="S2595">
        <v>85.4</v>
      </c>
      <c r="T2595">
        <v>0.85</v>
      </c>
      <c r="U2595" t="s">
        <v>235</v>
      </c>
    </row>
    <row r="2596" spans="1:21">
      <c r="A2596" t="str">
        <f>"600054"</f>
        <v>600054</v>
      </c>
      <c r="B2596" t="s">
        <v>5114</v>
      </c>
      <c r="C2596">
        <v>1.06</v>
      </c>
      <c r="D2596">
        <v>9.5</v>
      </c>
      <c r="E2596">
        <v>0.1</v>
      </c>
      <c r="F2596">
        <v>9.49</v>
      </c>
      <c r="G2596">
        <v>9.5</v>
      </c>
      <c r="H2596">
        <v>20581</v>
      </c>
      <c r="I2596">
        <v>196</v>
      </c>
      <c r="J2596">
        <v>0.11</v>
      </c>
      <c r="K2596">
        <v>0.4</v>
      </c>
      <c r="L2596">
        <v>1955.07</v>
      </c>
      <c r="M2596" t="s">
        <v>5115</v>
      </c>
      <c r="N2596" t="s">
        <v>162</v>
      </c>
      <c r="O2596">
        <v>9.41</v>
      </c>
      <c r="P2596">
        <v>9.56</v>
      </c>
      <c r="Q2596">
        <v>9.41</v>
      </c>
      <c r="R2596">
        <v>9.4</v>
      </c>
      <c r="S2596">
        <v>211.09</v>
      </c>
      <c r="T2596">
        <v>0.77</v>
      </c>
      <c r="U2596" t="s">
        <v>193</v>
      </c>
    </row>
    <row r="2597" spans="1:21">
      <c r="A2597" t="str">
        <f>"600055"</f>
        <v>600055</v>
      </c>
      <c r="B2597" t="s">
        <v>5116</v>
      </c>
      <c r="C2597">
        <v>-2.72</v>
      </c>
      <c r="D2597">
        <v>22.51</v>
      </c>
      <c r="E2597">
        <v>-0.63</v>
      </c>
      <c r="F2597">
        <v>22.5</v>
      </c>
      <c r="G2597">
        <v>22.51</v>
      </c>
      <c r="H2597">
        <v>141154</v>
      </c>
      <c r="I2597">
        <v>2285</v>
      </c>
      <c r="J2597">
        <v>-0.08</v>
      </c>
      <c r="K2597">
        <v>2.61</v>
      </c>
      <c r="L2597">
        <v>31994.19</v>
      </c>
      <c r="M2597" t="s">
        <v>5117</v>
      </c>
      <c r="N2597" t="s">
        <v>186</v>
      </c>
      <c r="O2597">
        <v>23.28</v>
      </c>
      <c r="P2597">
        <v>23.3</v>
      </c>
      <c r="Q2597">
        <v>22.5</v>
      </c>
      <c r="R2597">
        <v>23.14</v>
      </c>
      <c r="S2597">
        <v>75.89</v>
      </c>
      <c r="T2597">
        <v>0.91</v>
      </c>
      <c r="U2597" t="s">
        <v>44</v>
      </c>
    </row>
    <row r="2598" spans="1:21">
      <c r="A2598" t="str">
        <f>"600056"</f>
        <v>600056</v>
      </c>
      <c r="B2598" t="s">
        <v>5118</v>
      </c>
      <c r="C2598">
        <v>0.55</v>
      </c>
      <c r="D2598">
        <v>11.04</v>
      </c>
      <c r="E2598">
        <v>0.06</v>
      </c>
      <c r="F2598">
        <v>11.04</v>
      </c>
      <c r="G2598">
        <v>11.05</v>
      </c>
      <c r="H2598">
        <v>24630</v>
      </c>
      <c r="I2598">
        <v>279</v>
      </c>
      <c r="J2598">
        <v>0</v>
      </c>
      <c r="K2598">
        <v>0.23</v>
      </c>
      <c r="L2598">
        <v>2708.22</v>
      </c>
      <c r="M2598" t="s">
        <v>5119</v>
      </c>
      <c r="N2598" t="s">
        <v>86</v>
      </c>
      <c r="O2598">
        <v>10.99</v>
      </c>
      <c r="P2598">
        <v>11.04</v>
      </c>
      <c r="Q2598">
        <v>10.93</v>
      </c>
      <c r="R2598">
        <v>10.98</v>
      </c>
      <c r="S2598">
        <v>10.59</v>
      </c>
      <c r="T2598">
        <v>0.77</v>
      </c>
      <c r="U2598" t="s">
        <v>44</v>
      </c>
    </row>
    <row r="2599" spans="1:21">
      <c r="A2599" t="str">
        <f>"600057"</f>
        <v>600057</v>
      </c>
      <c r="B2599" t="s">
        <v>5120</v>
      </c>
      <c r="C2599">
        <v>10.05</v>
      </c>
      <c r="D2599">
        <v>8.43</v>
      </c>
      <c r="E2599">
        <v>0.77</v>
      </c>
      <c r="F2599">
        <v>8.42</v>
      </c>
      <c r="G2599">
        <v>8.43</v>
      </c>
      <c r="H2599">
        <v>851906</v>
      </c>
      <c r="I2599">
        <v>2023</v>
      </c>
      <c r="J2599">
        <v>0</v>
      </c>
      <c r="K2599">
        <v>3.99</v>
      </c>
      <c r="L2599">
        <v>70557.11</v>
      </c>
      <c r="M2599" t="s">
        <v>5121</v>
      </c>
      <c r="N2599" t="s">
        <v>1049</v>
      </c>
      <c r="O2599">
        <v>7.71</v>
      </c>
      <c r="P2599">
        <v>8.43</v>
      </c>
      <c r="Q2599">
        <v>7.68</v>
      </c>
      <c r="R2599">
        <v>7.66</v>
      </c>
      <c r="S2599">
        <v>8.24</v>
      </c>
      <c r="T2599">
        <v>4.54</v>
      </c>
      <c r="U2599" t="s">
        <v>339</v>
      </c>
    </row>
    <row r="2600" spans="1:21">
      <c r="A2600" t="str">
        <f>"600058"</f>
        <v>600058</v>
      </c>
      <c r="B2600" t="s">
        <v>5122</v>
      </c>
      <c r="C2600">
        <v>0.47</v>
      </c>
      <c r="D2600">
        <v>8.52</v>
      </c>
      <c r="E2600">
        <v>0.04</v>
      </c>
      <c r="F2600">
        <v>8.51</v>
      </c>
      <c r="G2600">
        <v>8.52</v>
      </c>
      <c r="H2600">
        <v>73490</v>
      </c>
      <c r="I2600">
        <v>1165</v>
      </c>
      <c r="J2600">
        <v>0</v>
      </c>
      <c r="K2600">
        <v>0.69</v>
      </c>
      <c r="L2600">
        <v>6220.81</v>
      </c>
      <c r="M2600" t="s">
        <v>5123</v>
      </c>
      <c r="N2600" t="s">
        <v>189</v>
      </c>
      <c r="O2600">
        <v>8.46</v>
      </c>
      <c r="P2600">
        <v>8.56</v>
      </c>
      <c r="Q2600">
        <v>8.35</v>
      </c>
      <c r="R2600">
        <v>8.48</v>
      </c>
      <c r="S2600">
        <v>19.44</v>
      </c>
      <c r="T2600">
        <v>0.93</v>
      </c>
      <c r="U2600" t="s">
        <v>44</v>
      </c>
    </row>
    <row r="2601" spans="1:21">
      <c r="A2601" t="str">
        <f>"600059"</f>
        <v>600059</v>
      </c>
      <c r="B2601" t="s">
        <v>5124</v>
      </c>
      <c r="C2601">
        <v>-0.09</v>
      </c>
      <c r="D2601">
        <v>11.15</v>
      </c>
      <c r="E2601">
        <v>-0.01</v>
      </c>
      <c r="F2601">
        <v>11.15</v>
      </c>
      <c r="G2601">
        <v>11.16</v>
      </c>
      <c r="H2601">
        <v>123023</v>
      </c>
      <c r="I2601">
        <v>1708</v>
      </c>
      <c r="J2601">
        <v>0.09</v>
      </c>
      <c r="K2601">
        <v>1.35</v>
      </c>
      <c r="L2601">
        <v>13711.68</v>
      </c>
      <c r="M2601" t="s">
        <v>941</v>
      </c>
      <c r="N2601" t="s">
        <v>853</v>
      </c>
      <c r="O2601">
        <v>11.17</v>
      </c>
      <c r="P2601">
        <v>11.26</v>
      </c>
      <c r="Q2601">
        <v>11.05</v>
      </c>
      <c r="R2601">
        <v>11.16</v>
      </c>
      <c r="S2601">
        <v>59.77</v>
      </c>
      <c r="T2601">
        <v>0.99</v>
      </c>
      <c r="U2601" t="s">
        <v>200</v>
      </c>
    </row>
    <row r="2602" spans="1:21">
      <c r="A2602" t="str">
        <f>"600060"</f>
        <v>600060</v>
      </c>
      <c r="B2602" t="s">
        <v>5125</v>
      </c>
      <c r="C2602">
        <v>1.98</v>
      </c>
      <c r="D2602">
        <v>13.9</v>
      </c>
      <c r="E2602">
        <v>0.27</v>
      </c>
      <c r="F2602">
        <v>13.9</v>
      </c>
      <c r="G2602">
        <v>13.91</v>
      </c>
      <c r="H2602">
        <v>254380</v>
      </c>
      <c r="I2602">
        <v>4883</v>
      </c>
      <c r="J2602">
        <v>0.14</v>
      </c>
      <c r="K2602">
        <v>1.97</v>
      </c>
      <c r="L2602">
        <v>35329.41</v>
      </c>
      <c r="M2602" t="s">
        <v>5126</v>
      </c>
      <c r="N2602" t="s">
        <v>60</v>
      </c>
      <c r="O2602">
        <v>13.59</v>
      </c>
      <c r="P2602">
        <v>14.13</v>
      </c>
      <c r="Q2602">
        <v>13.58</v>
      </c>
      <c r="R2602">
        <v>13.63</v>
      </c>
      <c r="S2602">
        <v>21.79</v>
      </c>
      <c r="T2602">
        <v>0.94</v>
      </c>
      <c r="U2602" t="s">
        <v>221</v>
      </c>
    </row>
    <row r="2603" spans="1:21">
      <c r="A2603" t="str">
        <f>"600061"</f>
        <v>600061</v>
      </c>
      <c r="B2603" t="s">
        <v>5127</v>
      </c>
      <c r="C2603">
        <v>2.1</v>
      </c>
      <c r="D2603">
        <v>8.26</v>
      </c>
      <c r="E2603">
        <v>0.17</v>
      </c>
      <c r="F2603">
        <v>8.25</v>
      </c>
      <c r="G2603">
        <v>8.26</v>
      </c>
      <c r="H2603">
        <v>268245</v>
      </c>
      <c r="I2603">
        <v>3987</v>
      </c>
      <c r="J2603">
        <v>0</v>
      </c>
      <c r="K2603">
        <v>0.42</v>
      </c>
      <c r="L2603">
        <v>21983.59</v>
      </c>
      <c r="M2603" t="s">
        <v>5128</v>
      </c>
      <c r="N2603" t="s">
        <v>213</v>
      </c>
      <c r="O2603">
        <v>8.09</v>
      </c>
      <c r="P2603">
        <v>8.28</v>
      </c>
      <c r="Q2603">
        <v>8.07</v>
      </c>
      <c r="R2603">
        <v>8.09</v>
      </c>
      <c r="S2603">
        <v>10.12</v>
      </c>
      <c r="T2603">
        <v>1.48</v>
      </c>
      <c r="U2603" t="s">
        <v>848</v>
      </c>
    </row>
    <row r="2604" spans="1:21">
      <c r="A2604" t="str">
        <f>"600062"</f>
        <v>600062</v>
      </c>
      <c r="B2604" t="s">
        <v>5129</v>
      </c>
      <c r="C2604">
        <v>0.6</v>
      </c>
      <c r="D2604">
        <v>11.82</v>
      </c>
      <c r="E2604">
        <v>0.07</v>
      </c>
      <c r="F2604">
        <v>11.81</v>
      </c>
      <c r="G2604">
        <v>11.82</v>
      </c>
      <c r="H2604">
        <v>38541</v>
      </c>
      <c r="I2604">
        <v>397</v>
      </c>
      <c r="J2604">
        <v>0</v>
      </c>
      <c r="K2604">
        <v>0.37</v>
      </c>
      <c r="L2604">
        <v>4552.32</v>
      </c>
      <c r="M2604" t="s">
        <v>5130</v>
      </c>
      <c r="N2604" t="s">
        <v>192</v>
      </c>
      <c r="O2604">
        <v>11.75</v>
      </c>
      <c r="P2604">
        <v>11.86</v>
      </c>
      <c r="Q2604">
        <v>11.71</v>
      </c>
      <c r="R2604">
        <v>11.75</v>
      </c>
      <c r="S2604">
        <v>10.4</v>
      </c>
      <c r="T2604">
        <v>0.96</v>
      </c>
      <c r="U2604" t="s">
        <v>44</v>
      </c>
    </row>
    <row r="2605" spans="1:21">
      <c r="A2605" t="str">
        <f>"600063"</f>
        <v>600063</v>
      </c>
      <c r="B2605" t="s">
        <v>5131</v>
      </c>
      <c r="C2605">
        <v>3.87</v>
      </c>
      <c r="D2605">
        <v>6.44</v>
      </c>
      <c r="E2605">
        <v>0.24</v>
      </c>
      <c r="F2605">
        <v>6.44</v>
      </c>
      <c r="G2605">
        <v>6.45</v>
      </c>
      <c r="H2605">
        <v>867607</v>
      </c>
      <c r="I2605">
        <v>13714</v>
      </c>
      <c r="J2605">
        <v>0.16</v>
      </c>
      <c r="K2605">
        <v>4.5</v>
      </c>
      <c r="L2605">
        <v>55060.51</v>
      </c>
      <c r="M2605" t="s">
        <v>5132</v>
      </c>
      <c r="N2605" t="s">
        <v>216</v>
      </c>
      <c r="O2605">
        <v>6.2</v>
      </c>
      <c r="P2605">
        <v>6.48</v>
      </c>
      <c r="Q2605">
        <v>6.13</v>
      </c>
      <c r="R2605">
        <v>6.2</v>
      </c>
      <c r="S2605">
        <v>12.91</v>
      </c>
      <c r="T2605">
        <v>1.35</v>
      </c>
      <c r="U2605" t="s">
        <v>193</v>
      </c>
    </row>
    <row r="2606" spans="1:21">
      <c r="A2606" t="str">
        <f>"600064"</f>
        <v>600064</v>
      </c>
      <c r="B2606" t="s">
        <v>5133</v>
      </c>
      <c r="C2606">
        <v>0.76</v>
      </c>
      <c r="D2606">
        <v>9.27</v>
      </c>
      <c r="E2606">
        <v>0.07</v>
      </c>
      <c r="F2606">
        <v>9.26</v>
      </c>
      <c r="G2606">
        <v>9.27</v>
      </c>
      <c r="H2606">
        <v>50597</v>
      </c>
      <c r="I2606">
        <v>341</v>
      </c>
      <c r="J2606">
        <v>0</v>
      </c>
      <c r="K2606">
        <v>0.41</v>
      </c>
      <c r="L2606">
        <v>4663.28</v>
      </c>
      <c r="M2606" t="s">
        <v>5134</v>
      </c>
      <c r="N2606" t="s">
        <v>520</v>
      </c>
      <c r="O2606">
        <v>9.16</v>
      </c>
      <c r="P2606">
        <v>9.3</v>
      </c>
      <c r="Q2606">
        <v>9.14</v>
      </c>
      <c r="R2606">
        <v>9.2</v>
      </c>
      <c r="S2606">
        <v>4.39</v>
      </c>
      <c r="T2606">
        <v>0.92</v>
      </c>
      <c r="U2606" t="s">
        <v>102</v>
      </c>
    </row>
    <row r="2607" spans="1:21">
      <c r="A2607" t="str">
        <f>"600066"</f>
        <v>600066</v>
      </c>
      <c r="B2607" t="s">
        <v>5135</v>
      </c>
      <c r="C2607">
        <v>0.81</v>
      </c>
      <c r="D2607">
        <v>11.16</v>
      </c>
      <c r="E2607">
        <v>0.09</v>
      </c>
      <c r="F2607">
        <v>11.16</v>
      </c>
      <c r="G2607">
        <v>11.17</v>
      </c>
      <c r="H2607">
        <v>162719</v>
      </c>
      <c r="I2607">
        <v>7568</v>
      </c>
      <c r="J2607">
        <v>0</v>
      </c>
      <c r="K2607">
        <v>0.73</v>
      </c>
      <c r="L2607">
        <v>18060.79</v>
      </c>
      <c r="M2607" t="s">
        <v>5136</v>
      </c>
      <c r="N2607" t="s">
        <v>385</v>
      </c>
      <c r="O2607">
        <v>11.07</v>
      </c>
      <c r="P2607">
        <v>11.18</v>
      </c>
      <c r="Q2607">
        <v>11</v>
      </c>
      <c r="R2607">
        <v>11.07</v>
      </c>
      <c r="S2607">
        <v>72.4</v>
      </c>
      <c r="T2607">
        <v>1.13</v>
      </c>
      <c r="U2607" t="s">
        <v>224</v>
      </c>
    </row>
    <row r="2608" spans="1:21">
      <c r="A2608" t="str">
        <f>"600067"</f>
        <v>600067</v>
      </c>
      <c r="B2608" t="s">
        <v>5137</v>
      </c>
      <c r="C2608">
        <v>-1.53</v>
      </c>
      <c r="D2608">
        <v>3.87</v>
      </c>
      <c r="E2608">
        <v>-0.06</v>
      </c>
      <c r="F2608">
        <v>3.87</v>
      </c>
      <c r="G2608">
        <v>3.88</v>
      </c>
      <c r="H2608">
        <v>202963</v>
      </c>
      <c r="I2608">
        <v>1684</v>
      </c>
      <c r="J2608">
        <v>0</v>
      </c>
      <c r="K2608">
        <v>1.36</v>
      </c>
      <c r="L2608">
        <v>7748.52</v>
      </c>
      <c r="M2608" t="s">
        <v>5138</v>
      </c>
      <c r="N2608" t="s">
        <v>27</v>
      </c>
      <c r="O2608">
        <v>3.85</v>
      </c>
      <c r="P2608">
        <v>3.89</v>
      </c>
      <c r="Q2608">
        <v>3.72</v>
      </c>
      <c r="R2608">
        <v>3.93</v>
      </c>
      <c r="S2608">
        <v>220.2</v>
      </c>
      <c r="T2608">
        <v>1.24</v>
      </c>
      <c r="U2608" t="s">
        <v>339</v>
      </c>
    </row>
    <row r="2609" spans="1:21">
      <c r="A2609" t="str">
        <f>"600070"</f>
        <v>600070</v>
      </c>
      <c r="B2609" t="s">
        <v>5139</v>
      </c>
      <c r="C2609">
        <v>0</v>
      </c>
      <c r="D2609">
        <v>7.2</v>
      </c>
      <c r="E2609">
        <v>0</v>
      </c>
      <c r="F2609">
        <v>7.19</v>
      </c>
      <c r="G2609">
        <v>7.2</v>
      </c>
      <c r="H2609">
        <v>35243</v>
      </c>
      <c r="I2609">
        <v>338</v>
      </c>
      <c r="J2609">
        <v>0</v>
      </c>
      <c r="K2609">
        <v>0.7</v>
      </c>
      <c r="L2609">
        <v>2541.76</v>
      </c>
      <c r="M2609" t="s">
        <v>5140</v>
      </c>
      <c r="N2609" t="s">
        <v>479</v>
      </c>
      <c r="O2609">
        <v>7.21</v>
      </c>
      <c r="P2609">
        <v>7.27</v>
      </c>
      <c r="Q2609">
        <v>7.15</v>
      </c>
      <c r="R2609">
        <v>7.2</v>
      </c>
      <c r="S2609" t="s">
        <v>40</v>
      </c>
      <c r="T2609">
        <v>0.93</v>
      </c>
      <c r="U2609" t="s">
        <v>200</v>
      </c>
    </row>
    <row r="2610" spans="1:21">
      <c r="A2610" t="str">
        <f>"600071"</f>
        <v>600071</v>
      </c>
      <c r="B2610" t="s">
        <v>5141</v>
      </c>
      <c r="C2610">
        <v>0.64</v>
      </c>
      <c r="D2610">
        <v>53.2</v>
      </c>
      <c r="E2610">
        <v>0.34</v>
      </c>
      <c r="F2610">
        <v>53.2</v>
      </c>
      <c r="G2610">
        <v>53.21</v>
      </c>
      <c r="H2610">
        <v>77570</v>
      </c>
      <c r="I2610">
        <v>1227</v>
      </c>
      <c r="J2610">
        <v>-0.22</v>
      </c>
      <c r="K2610">
        <v>3.27</v>
      </c>
      <c r="L2610">
        <v>40950.28</v>
      </c>
      <c r="M2610" t="s">
        <v>5142</v>
      </c>
      <c r="N2610" t="s">
        <v>69</v>
      </c>
      <c r="O2610">
        <v>53</v>
      </c>
      <c r="P2610">
        <v>54.18</v>
      </c>
      <c r="Q2610">
        <v>51.35</v>
      </c>
      <c r="R2610">
        <v>52.86</v>
      </c>
      <c r="S2610">
        <v>1118.21</v>
      </c>
      <c r="T2610">
        <v>0.86</v>
      </c>
      <c r="U2610" t="s">
        <v>235</v>
      </c>
    </row>
    <row r="2611" spans="1:21">
      <c r="A2611" t="str">
        <f>"600072"</f>
        <v>600072</v>
      </c>
      <c r="B2611" t="s">
        <v>5143</v>
      </c>
      <c r="C2611">
        <v>-1.63</v>
      </c>
      <c r="D2611">
        <v>14.5</v>
      </c>
      <c r="E2611">
        <v>-0.24</v>
      </c>
      <c r="F2611">
        <v>14.5</v>
      </c>
      <c r="G2611">
        <v>14.51</v>
      </c>
      <c r="H2611">
        <v>234978</v>
      </c>
      <c r="I2611">
        <v>2921</v>
      </c>
      <c r="J2611">
        <v>0.14</v>
      </c>
      <c r="K2611">
        <v>3.19</v>
      </c>
      <c r="L2611">
        <v>34070.36</v>
      </c>
      <c r="M2611" t="s">
        <v>5144</v>
      </c>
      <c r="N2611" t="s">
        <v>3063</v>
      </c>
      <c r="O2611">
        <v>14.75</v>
      </c>
      <c r="P2611">
        <v>14.75</v>
      </c>
      <c r="Q2611">
        <v>14.34</v>
      </c>
      <c r="R2611">
        <v>14.74</v>
      </c>
      <c r="S2611">
        <v>94.93</v>
      </c>
      <c r="T2611">
        <v>0.77</v>
      </c>
      <c r="U2611" t="s">
        <v>848</v>
      </c>
    </row>
    <row r="2612" spans="1:21">
      <c r="A2612" t="str">
        <f>"600073"</f>
        <v>600073</v>
      </c>
      <c r="B2612" t="s">
        <v>5145</v>
      </c>
      <c r="C2612">
        <v>0.13</v>
      </c>
      <c r="D2612">
        <v>7.97</v>
      </c>
      <c r="E2612">
        <v>0.01</v>
      </c>
      <c r="F2612">
        <v>7.97</v>
      </c>
      <c r="G2612">
        <v>7.98</v>
      </c>
      <c r="H2612">
        <v>87221</v>
      </c>
      <c r="I2612">
        <v>966</v>
      </c>
      <c r="J2612">
        <v>0.13</v>
      </c>
      <c r="K2612">
        <v>0.93</v>
      </c>
      <c r="L2612">
        <v>6918.74</v>
      </c>
      <c r="M2612" t="s">
        <v>5146</v>
      </c>
      <c r="N2612" t="s">
        <v>299</v>
      </c>
      <c r="O2612">
        <v>7.93</v>
      </c>
      <c r="P2612">
        <v>8.02</v>
      </c>
      <c r="Q2612">
        <v>7.88</v>
      </c>
      <c r="R2612">
        <v>7.96</v>
      </c>
      <c r="S2612">
        <v>16.53</v>
      </c>
      <c r="T2612">
        <v>0.75</v>
      </c>
      <c r="U2612" t="s">
        <v>848</v>
      </c>
    </row>
    <row r="2613" spans="1:21">
      <c r="A2613" t="str">
        <f>"600075"</f>
        <v>600075</v>
      </c>
      <c r="B2613" t="s">
        <v>5147</v>
      </c>
      <c r="C2613">
        <v>4.12</v>
      </c>
      <c r="D2613">
        <v>7.84</v>
      </c>
      <c r="E2613">
        <v>0.31</v>
      </c>
      <c r="F2613">
        <v>7.83</v>
      </c>
      <c r="G2613">
        <v>7.84</v>
      </c>
      <c r="H2613">
        <v>772796</v>
      </c>
      <c r="I2613">
        <v>8995</v>
      </c>
      <c r="J2613">
        <v>0.13</v>
      </c>
      <c r="K2613">
        <v>6.14</v>
      </c>
      <c r="L2613">
        <v>59278.95</v>
      </c>
      <c r="M2613" t="s">
        <v>5148</v>
      </c>
      <c r="N2613" t="s">
        <v>309</v>
      </c>
      <c r="O2613">
        <v>7.54</v>
      </c>
      <c r="P2613">
        <v>7.87</v>
      </c>
      <c r="Q2613">
        <v>7.41</v>
      </c>
      <c r="R2613">
        <v>7.53</v>
      </c>
      <c r="S2613">
        <v>6.93</v>
      </c>
      <c r="T2613">
        <v>1.88</v>
      </c>
      <c r="U2613" t="s">
        <v>210</v>
      </c>
    </row>
    <row r="2614" spans="1:21">
      <c r="A2614" t="str">
        <f>"600076"</f>
        <v>600076</v>
      </c>
      <c r="B2614" t="s">
        <v>5149</v>
      </c>
      <c r="C2614">
        <v>0.56</v>
      </c>
      <c r="D2614">
        <v>3.59</v>
      </c>
      <c r="E2614">
        <v>0.02</v>
      </c>
      <c r="F2614">
        <v>3.59</v>
      </c>
      <c r="G2614">
        <v>3.6</v>
      </c>
      <c r="H2614">
        <v>88086</v>
      </c>
      <c r="I2614">
        <v>750</v>
      </c>
      <c r="J2614">
        <v>-0.27</v>
      </c>
      <c r="K2614">
        <v>0.85</v>
      </c>
      <c r="L2614">
        <v>3136.57</v>
      </c>
      <c r="M2614" t="s">
        <v>5150</v>
      </c>
      <c r="N2614" t="s">
        <v>131</v>
      </c>
      <c r="O2614">
        <v>3.57</v>
      </c>
      <c r="P2614">
        <v>3.61</v>
      </c>
      <c r="Q2614">
        <v>3.5</v>
      </c>
      <c r="R2614">
        <v>3.57</v>
      </c>
      <c r="S2614">
        <v>90.41</v>
      </c>
      <c r="T2614">
        <v>1.03</v>
      </c>
      <c r="U2614" t="s">
        <v>221</v>
      </c>
    </row>
    <row r="2615" spans="1:21">
      <c r="A2615" t="str">
        <f>"600077"</f>
        <v>600077</v>
      </c>
      <c r="B2615" t="s">
        <v>5151</v>
      </c>
      <c r="C2615">
        <v>0.88</v>
      </c>
      <c r="D2615">
        <v>2.29</v>
      </c>
      <c r="E2615">
        <v>0.02</v>
      </c>
      <c r="F2615">
        <v>2.28</v>
      </c>
      <c r="G2615">
        <v>2.29</v>
      </c>
      <c r="H2615">
        <v>62158</v>
      </c>
      <c r="I2615">
        <v>1230</v>
      </c>
      <c r="J2615">
        <v>0.44</v>
      </c>
      <c r="K2615">
        <v>0.46</v>
      </c>
      <c r="L2615">
        <v>1408.11</v>
      </c>
      <c r="M2615" t="s">
        <v>5152</v>
      </c>
      <c r="N2615" t="s">
        <v>27</v>
      </c>
      <c r="O2615">
        <v>2.26</v>
      </c>
      <c r="P2615">
        <v>2.29</v>
      </c>
      <c r="Q2615">
        <v>2.24</v>
      </c>
      <c r="R2615">
        <v>2.27</v>
      </c>
      <c r="S2615">
        <v>37.82</v>
      </c>
      <c r="T2615">
        <v>0.98</v>
      </c>
      <c r="U2615" t="s">
        <v>200</v>
      </c>
    </row>
    <row r="2616" spans="1:21">
      <c r="A2616" t="str">
        <f>"600078"</f>
        <v>600078</v>
      </c>
      <c r="B2616" t="s">
        <v>5153</v>
      </c>
      <c r="C2616">
        <v>4.99</v>
      </c>
      <c r="D2616">
        <v>8.62</v>
      </c>
      <c r="E2616">
        <v>0.41</v>
      </c>
      <c r="F2616">
        <v>8.62</v>
      </c>
      <c r="G2616" t="s">
        <v>40</v>
      </c>
      <c r="H2616">
        <v>136955</v>
      </c>
      <c r="I2616">
        <v>68</v>
      </c>
      <c r="J2616">
        <v>0</v>
      </c>
      <c r="K2616">
        <v>2.07</v>
      </c>
      <c r="L2616">
        <v>11678.02</v>
      </c>
      <c r="M2616" t="s">
        <v>1396</v>
      </c>
      <c r="N2616" t="s">
        <v>309</v>
      </c>
      <c r="O2616">
        <v>8.15</v>
      </c>
      <c r="P2616">
        <v>8.62</v>
      </c>
      <c r="Q2616">
        <v>8.11</v>
      </c>
      <c r="R2616">
        <v>8.21</v>
      </c>
      <c r="S2616">
        <v>46.11</v>
      </c>
      <c r="T2616">
        <v>0.47</v>
      </c>
      <c r="U2616" t="s">
        <v>102</v>
      </c>
    </row>
    <row r="2617" spans="1:21">
      <c r="A2617" t="str">
        <f>"600079"</f>
        <v>600079</v>
      </c>
      <c r="B2617" t="s">
        <v>5154</v>
      </c>
      <c r="C2617">
        <v>0.51</v>
      </c>
      <c r="D2617">
        <v>21.76</v>
      </c>
      <c r="E2617">
        <v>0.11</v>
      </c>
      <c r="F2617">
        <v>21.76</v>
      </c>
      <c r="G2617">
        <v>21.77</v>
      </c>
      <c r="H2617">
        <v>91468</v>
      </c>
      <c r="I2617">
        <v>1450</v>
      </c>
      <c r="J2617">
        <v>0</v>
      </c>
      <c r="K2617">
        <v>0.66</v>
      </c>
      <c r="L2617">
        <v>19887.96</v>
      </c>
      <c r="M2617" t="s">
        <v>5155</v>
      </c>
      <c r="N2617" t="s">
        <v>192</v>
      </c>
      <c r="O2617">
        <v>21.52</v>
      </c>
      <c r="P2617">
        <v>21.96</v>
      </c>
      <c r="Q2617">
        <v>21.45</v>
      </c>
      <c r="R2617">
        <v>21.65</v>
      </c>
      <c r="S2617">
        <v>24.36</v>
      </c>
      <c r="T2617">
        <v>0.79</v>
      </c>
      <c r="U2617" t="s">
        <v>267</v>
      </c>
    </row>
    <row r="2618" spans="1:21">
      <c r="A2618" t="str">
        <f>"600080"</f>
        <v>600080</v>
      </c>
      <c r="B2618" t="s">
        <v>5156</v>
      </c>
      <c r="C2618">
        <v>0.15</v>
      </c>
      <c r="D2618">
        <v>6.78</v>
      </c>
      <c r="E2618">
        <v>0.01</v>
      </c>
      <c r="F2618">
        <v>6.78</v>
      </c>
      <c r="G2618">
        <v>6.8</v>
      </c>
      <c r="H2618">
        <v>28999</v>
      </c>
      <c r="I2618">
        <v>601</v>
      </c>
      <c r="J2618">
        <v>0.3</v>
      </c>
      <c r="K2618">
        <v>0.78</v>
      </c>
      <c r="L2618">
        <v>1960.16</v>
      </c>
      <c r="M2618" t="s">
        <v>5157</v>
      </c>
      <c r="N2618" t="s">
        <v>270</v>
      </c>
      <c r="O2618">
        <v>6.78</v>
      </c>
      <c r="P2618">
        <v>6.84</v>
      </c>
      <c r="Q2618">
        <v>6.7</v>
      </c>
      <c r="R2618">
        <v>6.77</v>
      </c>
      <c r="S2618">
        <v>82.46</v>
      </c>
      <c r="T2618">
        <v>1.36</v>
      </c>
      <c r="U2618" t="s">
        <v>317</v>
      </c>
    </row>
    <row r="2619" spans="1:21">
      <c r="A2619" t="str">
        <f>"600081"</f>
        <v>600081</v>
      </c>
      <c r="B2619" t="s">
        <v>5158</v>
      </c>
      <c r="C2619">
        <v>3.72</v>
      </c>
      <c r="D2619">
        <v>13.38</v>
      </c>
      <c r="E2619">
        <v>0.48</v>
      </c>
      <c r="F2619">
        <v>13.38</v>
      </c>
      <c r="G2619">
        <v>13.39</v>
      </c>
      <c r="H2619">
        <v>71888</v>
      </c>
      <c r="I2619">
        <v>544</v>
      </c>
      <c r="J2619">
        <v>0</v>
      </c>
      <c r="K2619">
        <v>2.29</v>
      </c>
      <c r="L2619">
        <v>9498.61</v>
      </c>
      <c r="M2619" t="s">
        <v>5159</v>
      </c>
      <c r="N2619" t="s">
        <v>91</v>
      </c>
      <c r="O2619">
        <v>12.91</v>
      </c>
      <c r="P2619">
        <v>13.48</v>
      </c>
      <c r="Q2619">
        <v>12.81</v>
      </c>
      <c r="R2619">
        <v>12.9</v>
      </c>
      <c r="S2619">
        <v>40.51</v>
      </c>
      <c r="T2619">
        <v>1.67</v>
      </c>
      <c r="U2619" t="s">
        <v>848</v>
      </c>
    </row>
    <row r="2620" spans="1:21">
      <c r="A2620" t="str">
        <f>"600082"</f>
        <v>600082</v>
      </c>
      <c r="B2620" t="s">
        <v>5160</v>
      </c>
      <c r="C2620">
        <v>1.77</v>
      </c>
      <c r="D2620">
        <v>2.88</v>
      </c>
      <c r="E2620">
        <v>0.05</v>
      </c>
      <c r="F2620">
        <v>2.87</v>
      </c>
      <c r="G2620">
        <v>2.88</v>
      </c>
      <c r="H2620">
        <v>32034</v>
      </c>
      <c r="I2620">
        <v>445</v>
      </c>
      <c r="J2620">
        <v>0</v>
      </c>
      <c r="K2620">
        <v>0.5</v>
      </c>
      <c r="L2620">
        <v>913.39</v>
      </c>
      <c r="M2620" t="s">
        <v>5161</v>
      </c>
      <c r="N2620" t="s">
        <v>520</v>
      </c>
      <c r="O2620">
        <v>2.83</v>
      </c>
      <c r="P2620">
        <v>2.88</v>
      </c>
      <c r="Q2620">
        <v>2.82</v>
      </c>
      <c r="R2620">
        <v>2.83</v>
      </c>
      <c r="S2620" t="s">
        <v>40</v>
      </c>
      <c r="T2620">
        <v>0.91</v>
      </c>
      <c r="U2620" t="s">
        <v>360</v>
      </c>
    </row>
    <row r="2621" spans="1:21">
      <c r="A2621" t="str">
        <f>"600083"</f>
        <v>600083</v>
      </c>
      <c r="B2621" t="s">
        <v>5162</v>
      </c>
      <c r="C2621">
        <v>0.56</v>
      </c>
      <c r="D2621">
        <v>5.39</v>
      </c>
      <c r="E2621">
        <v>0.03</v>
      </c>
      <c r="F2621">
        <v>5.39</v>
      </c>
      <c r="G2621">
        <v>5.4</v>
      </c>
      <c r="H2621">
        <v>8627</v>
      </c>
      <c r="I2621">
        <v>136</v>
      </c>
      <c r="J2621">
        <v>0</v>
      </c>
      <c r="K2621">
        <v>0.38</v>
      </c>
      <c r="L2621">
        <v>464.59</v>
      </c>
      <c r="M2621" t="s">
        <v>5163</v>
      </c>
      <c r="N2621" t="s">
        <v>99</v>
      </c>
      <c r="O2621">
        <v>5.35</v>
      </c>
      <c r="P2621">
        <v>5.43</v>
      </c>
      <c r="Q2621">
        <v>5.35</v>
      </c>
      <c r="R2621">
        <v>5.36</v>
      </c>
      <c r="S2621" t="s">
        <v>40</v>
      </c>
      <c r="T2621">
        <v>0.86</v>
      </c>
      <c r="U2621" t="s">
        <v>102</v>
      </c>
    </row>
    <row r="2622" spans="1:21">
      <c r="A2622" t="str">
        <f>"600084"</f>
        <v>600084</v>
      </c>
      <c r="B2622" t="s">
        <v>5164</v>
      </c>
      <c r="C2622">
        <v>-2.11</v>
      </c>
      <c r="D2622">
        <v>4.18</v>
      </c>
      <c r="E2622">
        <v>-0.09</v>
      </c>
      <c r="F2622">
        <v>4.17</v>
      </c>
      <c r="G2622">
        <v>4.18</v>
      </c>
      <c r="H2622">
        <v>58937</v>
      </c>
      <c r="I2622">
        <v>1530</v>
      </c>
      <c r="J2622">
        <v>0</v>
      </c>
      <c r="K2622">
        <v>0.52</v>
      </c>
      <c r="L2622">
        <v>2502.38</v>
      </c>
      <c r="M2622" t="s">
        <v>4379</v>
      </c>
      <c r="N2622" t="s">
        <v>853</v>
      </c>
      <c r="O2622">
        <v>4.33</v>
      </c>
      <c r="P2622">
        <v>4.37</v>
      </c>
      <c r="Q2622">
        <v>4.17</v>
      </c>
      <c r="R2622">
        <v>4.27</v>
      </c>
      <c r="S2622">
        <v>449.78</v>
      </c>
      <c r="T2622">
        <v>0.57</v>
      </c>
      <c r="U2622" t="s">
        <v>210</v>
      </c>
    </row>
    <row r="2623" spans="1:21">
      <c r="A2623" t="str">
        <f>"600085"</f>
        <v>600085</v>
      </c>
      <c r="B2623" t="s">
        <v>5165</v>
      </c>
      <c r="C2623">
        <v>2.01</v>
      </c>
      <c r="D2623">
        <v>33.48</v>
      </c>
      <c r="E2623">
        <v>0.66</v>
      </c>
      <c r="F2623">
        <v>33.48</v>
      </c>
      <c r="G2623">
        <v>33.49</v>
      </c>
      <c r="H2623">
        <v>112937</v>
      </c>
      <c r="I2623">
        <v>962</v>
      </c>
      <c r="J2623">
        <v>-0.05</v>
      </c>
      <c r="K2623">
        <v>0.82</v>
      </c>
      <c r="L2623">
        <v>37251.21</v>
      </c>
      <c r="M2623" t="s">
        <v>5166</v>
      </c>
      <c r="N2623" t="s">
        <v>270</v>
      </c>
      <c r="O2623">
        <v>32.72</v>
      </c>
      <c r="P2623">
        <v>33.53</v>
      </c>
      <c r="Q2623">
        <v>32.53</v>
      </c>
      <c r="R2623">
        <v>32.82</v>
      </c>
      <c r="S2623">
        <v>37.43</v>
      </c>
      <c r="T2623">
        <v>0.93</v>
      </c>
      <c r="U2623" t="s">
        <v>44</v>
      </c>
    </row>
    <row r="2624" spans="1:21">
      <c r="A2624" t="str">
        <f>"600088"</f>
        <v>600088</v>
      </c>
      <c r="B2624" t="s">
        <v>5167</v>
      </c>
      <c r="C2624">
        <v>1.11</v>
      </c>
      <c r="D2624">
        <v>9.98</v>
      </c>
      <c r="E2624">
        <v>0.11</v>
      </c>
      <c r="F2624">
        <v>9.98</v>
      </c>
      <c r="G2624">
        <v>9.99</v>
      </c>
      <c r="H2624">
        <v>22229</v>
      </c>
      <c r="I2624">
        <v>45</v>
      </c>
      <c r="J2624">
        <v>0.1</v>
      </c>
      <c r="K2624">
        <v>0.56</v>
      </c>
      <c r="L2624">
        <v>2216.21</v>
      </c>
      <c r="M2624" t="s">
        <v>5168</v>
      </c>
      <c r="N2624" t="s">
        <v>199</v>
      </c>
      <c r="O2624">
        <v>9.89</v>
      </c>
      <c r="P2624">
        <v>10.05</v>
      </c>
      <c r="Q2624">
        <v>9.85</v>
      </c>
      <c r="R2624">
        <v>9.87</v>
      </c>
      <c r="S2624" t="s">
        <v>40</v>
      </c>
      <c r="T2624">
        <v>0.67</v>
      </c>
      <c r="U2624" t="s">
        <v>848</v>
      </c>
    </row>
    <row r="2625" spans="1:21">
      <c r="A2625" t="str">
        <f>"600089"</f>
        <v>600089</v>
      </c>
      <c r="B2625" t="s">
        <v>5169</v>
      </c>
      <c r="C2625">
        <v>0.13</v>
      </c>
      <c r="D2625">
        <v>23.16</v>
      </c>
      <c r="E2625">
        <v>0.03</v>
      </c>
      <c r="F2625">
        <v>23.16</v>
      </c>
      <c r="G2625">
        <v>23.17</v>
      </c>
      <c r="H2625">
        <v>930632</v>
      </c>
      <c r="I2625">
        <v>10038</v>
      </c>
      <c r="J2625">
        <v>-0.03</v>
      </c>
      <c r="K2625">
        <v>2.46</v>
      </c>
      <c r="L2625">
        <v>213125.73</v>
      </c>
      <c r="M2625" t="s">
        <v>5170</v>
      </c>
      <c r="N2625" t="s">
        <v>47</v>
      </c>
      <c r="O2625">
        <v>22.92</v>
      </c>
      <c r="P2625">
        <v>23.37</v>
      </c>
      <c r="Q2625">
        <v>22.5</v>
      </c>
      <c r="R2625">
        <v>23.13</v>
      </c>
      <c r="S2625">
        <v>12.67</v>
      </c>
      <c r="T2625">
        <v>0.91</v>
      </c>
      <c r="U2625" t="s">
        <v>210</v>
      </c>
    </row>
    <row r="2626" spans="1:21">
      <c r="A2626" t="str">
        <f>"600090"</f>
        <v>600090</v>
      </c>
      <c r="B2626" t="s">
        <v>5171</v>
      </c>
      <c r="C2626">
        <v>0.86</v>
      </c>
      <c r="D2626">
        <v>1.17</v>
      </c>
      <c r="E2626">
        <v>0.01</v>
      </c>
      <c r="F2626">
        <v>1.17</v>
      </c>
      <c r="G2626">
        <v>1.18</v>
      </c>
      <c r="H2626">
        <v>738780</v>
      </c>
      <c r="I2626">
        <v>6957</v>
      </c>
      <c r="J2626">
        <v>0</v>
      </c>
      <c r="K2626">
        <v>5.13</v>
      </c>
      <c r="L2626">
        <v>8644.54</v>
      </c>
      <c r="M2626" t="s">
        <v>2469</v>
      </c>
      <c r="N2626" t="s">
        <v>86</v>
      </c>
      <c r="O2626">
        <v>1.16</v>
      </c>
      <c r="P2626">
        <v>1.2</v>
      </c>
      <c r="Q2626">
        <v>1.14</v>
      </c>
      <c r="R2626">
        <v>1.16</v>
      </c>
      <c r="S2626" t="s">
        <v>40</v>
      </c>
      <c r="T2626">
        <v>0.53</v>
      </c>
      <c r="U2626" t="s">
        <v>210</v>
      </c>
    </row>
    <row r="2627" spans="1:21">
      <c r="A2627" t="str">
        <f>"600091"</f>
        <v>600091</v>
      </c>
      <c r="B2627" t="s">
        <v>5172</v>
      </c>
      <c r="C2627">
        <v>5.1</v>
      </c>
      <c r="D2627">
        <v>3.3</v>
      </c>
      <c r="E2627">
        <v>0.16</v>
      </c>
      <c r="F2627">
        <v>3.3</v>
      </c>
      <c r="G2627" t="s">
        <v>40</v>
      </c>
      <c r="H2627">
        <v>52536</v>
      </c>
      <c r="I2627">
        <v>34</v>
      </c>
      <c r="J2627">
        <v>0</v>
      </c>
      <c r="K2627">
        <v>1.2</v>
      </c>
      <c r="L2627">
        <v>1719.94</v>
      </c>
      <c r="M2627" t="s">
        <v>5173</v>
      </c>
      <c r="N2627" t="s">
        <v>309</v>
      </c>
      <c r="O2627">
        <v>3.2</v>
      </c>
      <c r="P2627">
        <v>3.3</v>
      </c>
      <c r="Q2627">
        <v>3.16</v>
      </c>
      <c r="R2627">
        <v>3.14</v>
      </c>
      <c r="S2627" t="s">
        <v>40</v>
      </c>
      <c r="T2627">
        <v>1.2</v>
      </c>
      <c r="U2627" t="s">
        <v>275</v>
      </c>
    </row>
    <row r="2628" spans="1:21">
      <c r="A2628" t="str">
        <f>"600093"</f>
        <v>600093</v>
      </c>
      <c r="B2628" t="s">
        <v>5174</v>
      </c>
      <c r="C2628">
        <v>-1.11</v>
      </c>
      <c r="D2628">
        <v>2.68</v>
      </c>
      <c r="E2628">
        <v>-0.03</v>
      </c>
      <c r="F2628">
        <v>2.68</v>
      </c>
      <c r="G2628">
        <v>2.69</v>
      </c>
      <c r="H2628">
        <v>231498</v>
      </c>
      <c r="I2628">
        <v>2855</v>
      </c>
      <c r="J2628">
        <v>-0.36</v>
      </c>
      <c r="K2628">
        <v>2.06</v>
      </c>
      <c r="L2628">
        <v>6195.21</v>
      </c>
      <c r="M2628" t="s">
        <v>5175</v>
      </c>
      <c r="N2628" t="s">
        <v>121</v>
      </c>
      <c r="O2628">
        <v>2.7</v>
      </c>
      <c r="P2628">
        <v>2.71</v>
      </c>
      <c r="Q2628">
        <v>2.63</v>
      </c>
      <c r="R2628">
        <v>2.71</v>
      </c>
      <c r="S2628" t="s">
        <v>40</v>
      </c>
      <c r="T2628">
        <v>0.71</v>
      </c>
      <c r="U2628" t="s">
        <v>363</v>
      </c>
    </row>
    <row r="2629" spans="1:21">
      <c r="A2629" t="str">
        <f>"600094"</f>
        <v>600094</v>
      </c>
      <c r="B2629" t="s">
        <v>5176</v>
      </c>
      <c r="C2629">
        <v>1.4</v>
      </c>
      <c r="D2629">
        <v>3.63</v>
      </c>
      <c r="E2629">
        <v>0.05</v>
      </c>
      <c r="F2629">
        <v>3.63</v>
      </c>
      <c r="G2629">
        <v>3.64</v>
      </c>
      <c r="H2629">
        <v>75482</v>
      </c>
      <c r="I2629">
        <v>1583</v>
      </c>
      <c r="J2629">
        <v>-0.26</v>
      </c>
      <c r="K2629">
        <v>0.33</v>
      </c>
      <c r="L2629">
        <v>2720.96</v>
      </c>
      <c r="M2629" t="s">
        <v>5177</v>
      </c>
      <c r="N2629" t="s">
        <v>36</v>
      </c>
      <c r="O2629">
        <v>3.58</v>
      </c>
      <c r="P2629">
        <v>3.65</v>
      </c>
      <c r="Q2629">
        <v>3.57</v>
      </c>
      <c r="R2629">
        <v>3.58</v>
      </c>
      <c r="S2629">
        <v>32.17</v>
      </c>
      <c r="T2629">
        <v>0.88</v>
      </c>
      <c r="U2629" t="s">
        <v>848</v>
      </c>
    </row>
    <row r="2630" spans="1:21">
      <c r="A2630" t="str">
        <f>"600095"</f>
        <v>600095</v>
      </c>
      <c r="B2630" t="s">
        <v>5178</v>
      </c>
      <c r="C2630">
        <v>10</v>
      </c>
      <c r="D2630">
        <v>10.01</v>
      </c>
      <c r="E2630">
        <v>0.91</v>
      </c>
      <c r="F2630">
        <v>10.01</v>
      </c>
      <c r="G2630" t="s">
        <v>40</v>
      </c>
      <c r="H2630">
        <v>536832</v>
      </c>
      <c r="I2630">
        <v>2552</v>
      </c>
      <c r="J2630">
        <v>0</v>
      </c>
      <c r="K2630">
        <v>5.61</v>
      </c>
      <c r="L2630">
        <v>52308.4</v>
      </c>
      <c r="M2630" t="s">
        <v>5179</v>
      </c>
      <c r="N2630" t="s">
        <v>213</v>
      </c>
      <c r="O2630">
        <v>9.12</v>
      </c>
      <c r="P2630">
        <v>10.01</v>
      </c>
      <c r="Q2630">
        <v>9.09</v>
      </c>
      <c r="R2630">
        <v>9.1</v>
      </c>
      <c r="S2630">
        <v>54.89</v>
      </c>
      <c r="T2630">
        <v>5.19</v>
      </c>
      <c r="U2630" t="s">
        <v>445</v>
      </c>
    </row>
    <row r="2631" spans="1:21">
      <c r="A2631" t="str">
        <f>"600096"</f>
        <v>600096</v>
      </c>
      <c r="B2631" t="s">
        <v>5180</v>
      </c>
      <c r="C2631">
        <v>0.48</v>
      </c>
      <c r="D2631">
        <v>22.8</v>
      </c>
      <c r="E2631">
        <v>0.11</v>
      </c>
      <c r="F2631">
        <v>22.79</v>
      </c>
      <c r="G2631">
        <v>22.8</v>
      </c>
      <c r="H2631">
        <v>611400</v>
      </c>
      <c r="I2631">
        <v>6719</v>
      </c>
      <c r="J2631">
        <v>0</v>
      </c>
      <c r="K2631">
        <v>3.63</v>
      </c>
      <c r="L2631">
        <v>138879.95</v>
      </c>
      <c r="M2631" t="s">
        <v>5181</v>
      </c>
      <c r="N2631" t="s">
        <v>241</v>
      </c>
      <c r="O2631">
        <v>22.48</v>
      </c>
      <c r="P2631">
        <v>23.06</v>
      </c>
      <c r="Q2631">
        <v>22.2</v>
      </c>
      <c r="R2631">
        <v>22.69</v>
      </c>
      <c r="S2631">
        <v>11.06</v>
      </c>
      <c r="T2631">
        <v>0.62</v>
      </c>
      <c r="U2631" t="s">
        <v>363</v>
      </c>
    </row>
    <row r="2632" spans="1:21">
      <c r="A2632" t="str">
        <f>"600097"</f>
        <v>600097</v>
      </c>
      <c r="B2632" t="s">
        <v>5182</v>
      </c>
      <c r="C2632">
        <v>-0.87</v>
      </c>
      <c r="D2632">
        <v>10.31</v>
      </c>
      <c r="E2632">
        <v>-0.09</v>
      </c>
      <c r="F2632">
        <v>10.3</v>
      </c>
      <c r="G2632">
        <v>10.31</v>
      </c>
      <c r="H2632">
        <v>21183</v>
      </c>
      <c r="I2632">
        <v>180</v>
      </c>
      <c r="J2632">
        <v>0</v>
      </c>
      <c r="K2632">
        <v>0.88</v>
      </c>
      <c r="L2632">
        <v>2168.91</v>
      </c>
      <c r="M2632" t="s">
        <v>5183</v>
      </c>
      <c r="N2632" t="s">
        <v>757</v>
      </c>
      <c r="O2632">
        <v>10.34</v>
      </c>
      <c r="P2632">
        <v>10.39</v>
      </c>
      <c r="Q2632">
        <v>10.14</v>
      </c>
      <c r="R2632">
        <v>10.4</v>
      </c>
      <c r="S2632">
        <v>9.57</v>
      </c>
      <c r="T2632">
        <v>0.61</v>
      </c>
      <c r="U2632" t="s">
        <v>848</v>
      </c>
    </row>
    <row r="2633" spans="1:21">
      <c r="A2633" t="str">
        <f>"600098"</f>
        <v>600098</v>
      </c>
      <c r="B2633" t="s">
        <v>5184</v>
      </c>
      <c r="C2633">
        <v>-0.29</v>
      </c>
      <c r="D2633">
        <v>6.78</v>
      </c>
      <c r="E2633">
        <v>-0.02</v>
      </c>
      <c r="F2633">
        <v>6.77</v>
      </c>
      <c r="G2633">
        <v>6.78</v>
      </c>
      <c r="H2633">
        <v>80055</v>
      </c>
      <c r="I2633">
        <v>1244</v>
      </c>
      <c r="J2633">
        <v>0.15</v>
      </c>
      <c r="K2633">
        <v>0.3</v>
      </c>
      <c r="L2633">
        <v>5386.91</v>
      </c>
      <c r="M2633" t="s">
        <v>5185</v>
      </c>
      <c r="N2633" t="s">
        <v>83</v>
      </c>
      <c r="O2633">
        <v>6.82</v>
      </c>
      <c r="P2633">
        <v>6.82</v>
      </c>
      <c r="Q2633">
        <v>6.66</v>
      </c>
      <c r="R2633">
        <v>6.8</v>
      </c>
      <c r="S2633">
        <v>18.65</v>
      </c>
      <c r="T2633">
        <v>0.86</v>
      </c>
      <c r="U2633" t="s">
        <v>183</v>
      </c>
    </row>
    <row r="2634" spans="1:21">
      <c r="A2634" t="str">
        <f>"600099"</f>
        <v>600099</v>
      </c>
      <c r="B2634" t="s">
        <v>5186</v>
      </c>
      <c r="C2634">
        <v>0.26</v>
      </c>
      <c r="D2634">
        <v>7.66</v>
      </c>
      <c r="E2634">
        <v>0.02</v>
      </c>
      <c r="F2634">
        <v>7.65</v>
      </c>
      <c r="G2634">
        <v>7.66</v>
      </c>
      <c r="H2634">
        <v>18445</v>
      </c>
      <c r="I2634">
        <v>254</v>
      </c>
      <c r="J2634">
        <v>0.26</v>
      </c>
      <c r="K2634">
        <v>0.84</v>
      </c>
      <c r="L2634">
        <v>1412.06</v>
      </c>
      <c r="M2634" t="s">
        <v>5187</v>
      </c>
      <c r="N2634" t="s">
        <v>385</v>
      </c>
      <c r="O2634">
        <v>7.6</v>
      </c>
      <c r="P2634">
        <v>7.72</v>
      </c>
      <c r="Q2634">
        <v>7.6</v>
      </c>
      <c r="R2634">
        <v>7.64</v>
      </c>
      <c r="S2634">
        <v>205.6</v>
      </c>
      <c r="T2634">
        <v>0.61</v>
      </c>
      <c r="U2634" t="s">
        <v>102</v>
      </c>
    </row>
    <row r="2635" spans="1:21">
      <c r="A2635" t="str">
        <f>"600100"</f>
        <v>600100</v>
      </c>
      <c r="B2635" t="s">
        <v>5188</v>
      </c>
      <c r="C2635">
        <v>1.26</v>
      </c>
      <c r="D2635">
        <v>5.63</v>
      </c>
      <c r="E2635">
        <v>0.07</v>
      </c>
      <c r="F2635">
        <v>5.62</v>
      </c>
      <c r="G2635">
        <v>5.63</v>
      </c>
      <c r="H2635">
        <v>157429</v>
      </c>
      <c r="I2635">
        <v>2658</v>
      </c>
      <c r="J2635">
        <v>0.18</v>
      </c>
      <c r="K2635">
        <v>0.53</v>
      </c>
      <c r="L2635">
        <v>8813.29</v>
      </c>
      <c r="M2635" t="s">
        <v>5189</v>
      </c>
      <c r="N2635" t="s">
        <v>72</v>
      </c>
      <c r="O2635">
        <v>5.54</v>
      </c>
      <c r="P2635">
        <v>5.64</v>
      </c>
      <c r="Q2635">
        <v>5.54</v>
      </c>
      <c r="R2635">
        <v>5.56</v>
      </c>
      <c r="S2635" t="s">
        <v>40</v>
      </c>
      <c r="T2635">
        <v>0.79</v>
      </c>
      <c r="U2635" t="s">
        <v>44</v>
      </c>
    </row>
    <row r="2636" spans="1:21">
      <c r="A2636" t="str">
        <f>"600101"</f>
        <v>600101</v>
      </c>
      <c r="B2636" t="s">
        <v>5190</v>
      </c>
      <c r="C2636">
        <v>0.3</v>
      </c>
      <c r="D2636">
        <v>6.71</v>
      </c>
      <c r="E2636">
        <v>0.02</v>
      </c>
      <c r="F2636">
        <v>6.7</v>
      </c>
      <c r="G2636">
        <v>6.71</v>
      </c>
      <c r="H2636">
        <v>157342</v>
      </c>
      <c r="I2636">
        <v>1029</v>
      </c>
      <c r="J2636">
        <v>0.15</v>
      </c>
      <c r="K2636">
        <v>3.73</v>
      </c>
      <c r="L2636">
        <v>10486.59</v>
      </c>
      <c r="M2636" t="s">
        <v>5191</v>
      </c>
      <c r="N2636" t="s">
        <v>472</v>
      </c>
      <c r="O2636">
        <v>6.73</v>
      </c>
      <c r="P2636">
        <v>6.78</v>
      </c>
      <c r="Q2636">
        <v>6.56</v>
      </c>
      <c r="R2636">
        <v>6.69</v>
      </c>
      <c r="S2636">
        <v>20.71</v>
      </c>
      <c r="T2636">
        <v>0.52</v>
      </c>
      <c r="U2636" t="s">
        <v>196</v>
      </c>
    </row>
    <row r="2637" spans="1:21">
      <c r="A2637" t="str">
        <f>"600103"</f>
        <v>600103</v>
      </c>
      <c r="B2637" t="s">
        <v>5192</v>
      </c>
      <c r="C2637">
        <v>0.37</v>
      </c>
      <c r="D2637">
        <v>2.74</v>
      </c>
      <c r="E2637">
        <v>0.01</v>
      </c>
      <c r="F2637">
        <v>2.73</v>
      </c>
      <c r="G2637">
        <v>2.74</v>
      </c>
      <c r="H2637">
        <v>488647</v>
      </c>
      <c r="I2637">
        <v>5956</v>
      </c>
      <c r="J2637">
        <v>0.37</v>
      </c>
      <c r="K2637">
        <v>2.12</v>
      </c>
      <c r="L2637">
        <v>13447.69</v>
      </c>
      <c r="M2637" t="s">
        <v>5193</v>
      </c>
      <c r="N2637" t="s">
        <v>285</v>
      </c>
      <c r="O2637">
        <v>2.72</v>
      </c>
      <c r="P2637">
        <v>2.8</v>
      </c>
      <c r="Q2637">
        <v>2.71</v>
      </c>
      <c r="R2637">
        <v>2.73</v>
      </c>
      <c r="S2637">
        <v>30.78</v>
      </c>
      <c r="T2637">
        <v>1.18</v>
      </c>
      <c r="U2637" t="s">
        <v>339</v>
      </c>
    </row>
    <row r="2638" spans="1:21">
      <c r="A2638" t="str">
        <f>"600104"</f>
        <v>600104</v>
      </c>
      <c r="B2638" t="s">
        <v>5194</v>
      </c>
      <c r="C2638">
        <v>0.19</v>
      </c>
      <c r="D2638">
        <v>20.68</v>
      </c>
      <c r="E2638">
        <v>0.04</v>
      </c>
      <c r="F2638">
        <v>20.68</v>
      </c>
      <c r="G2638">
        <v>20.7</v>
      </c>
      <c r="H2638">
        <v>514023</v>
      </c>
      <c r="I2638">
        <v>9952</v>
      </c>
      <c r="J2638">
        <v>0</v>
      </c>
      <c r="K2638">
        <v>0.44</v>
      </c>
      <c r="L2638">
        <v>105816.14</v>
      </c>
      <c r="M2638" t="s">
        <v>5195</v>
      </c>
      <c r="N2638" t="s">
        <v>385</v>
      </c>
      <c r="O2638">
        <v>20.55</v>
      </c>
      <c r="P2638">
        <v>20.82</v>
      </c>
      <c r="Q2638">
        <v>20.3</v>
      </c>
      <c r="R2638">
        <v>20.64</v>
      </c>
      <c r="S2638">
        <v>8.9</v>
      </c>
      <c r="T2638">
        <v>0.94</v>
      </c>
      <c r="U2638" t="s">
        <v>848</v>
      </c>
    </row>
    <row r="2639" spans="1:21">
      <c r="A2639" t="str">
        <f>"600105"</f>
        <v>600105</v>
      </c>
      <c r="B2639" t="s">
        <v>5196</v>
      </c>
      <c r="C2639">
        <v>7.69</v>
      </c>
      <c r="D2639">
        <v>6.16</v>
      </c>
      <c r="E2639">
        <v>0.44</v>
      </c>
      <c r="F2639">
        <v>6.15</v>
      </c>
      <c r="G2639">
        <v>6.16</v>
      </c>
      <c r="H2639">
        <v>1459808</v>
      </c>
      <c r="I2639">
        <v>12482</v>
      </c>
      <c r="J2639">
        <v>0.98</v>
      </c>
      <c r="K2639">
        <v>10.57</v>
      </c>
      <c r="L2639">
        <v>87668.03</v>
      </c>
      <c r="M2639" t="s">
        <v>2043</v>
      </c>
      <c r="N2639" t="s">
        <v>153</v>
      </c>
      <c r="O2639">
        <v>5.86</v>
      </c>
      <c r="P2639">
        <v>6.25</v>
      </c>
      <c r="Q2639">
        <v>5.68</v>
      </c>
      <c r="R2639">
        <v>5.72</v>
      </c>
      <c r="S2639">
        <v>45.29</v>
      </c>
      <c r="T2639">
        <v>1.05</v>
      </c>
      <c r="U2639" t="s">
        <v>102</v>
      </c>
    </row>
    <row r="2640" spans="1:21">
      <c r="A2640" t="str">
        <f>"600106"</f>
        <v>600106</v>
      </c>
      <c r="B2640" t="s">
        <v>5197</v>
      </c>
      <c r="C2640">
        <v>0.39</v>
      </c>
      <c r="D2640">
        <v>2.58</v>
      </c>
      <c r="E2640">
        <v>0.01</v>
      </c>
      <c r="F2640">
        <v>2.57</v>
      </c>
      <c r="G2640">
        <v>2.58</v>
      </c>
      <c r="H2640">
        <v>95431</v>
      </c>
      <c r="I2640">
        <v>380</v>
      </c>
      <c r="J2640">
        <v>0</v>
      </c>
      <c r="K2640">
        <v>0.72</v>
      </c>
      <c r="L2640">
        <v>2454.82</v>
      </c>
      <c r="M2640" t="s">
        <v>5198</v>
      </c>
      <c r="N2640" t="s">
        <v>280</v>
      </c>
      <c r="O2640">
        <v>2.57</v>
      </c>
      <c r="P2640">
        <v>2.59</v>
      </c>
      <c r="Q2640">
        <v>2.56</v>
      </c>
      <c r="R2640">
        <v>2.57</v>
      </c>
      <c r="S2640">
        <v>11.22</v>
      </c>
      <c r="T2640">
        <v>1.68</v>
      </c>
      <c r="U2640" t="s">
        <v>314</v>
      </c>
    </row>
    <row r="2641" spans="1:21">
      <c r="A2641" t="str">
        <f>"600107"</f>
        <v>600107</v>
      </c>
      <c r="B2641" t="s">
        <v>5199</v>
      </c>
      <c r="C2641">
        <v>-1.85</v>
      </c>
      <c r="D2641">
        <v>6.35</v>
      </c>
      <c r="E2641">
        <v>-0.12</v>
      </c>
      <c r="F2641">
        <v>6.35</v>
      </c>
      <c r="G2641">
        <v>6.36</v>
      </c>
      <c r="H2641">
        <v>113974</v>
      </c>
      <c r="I2641">
        <v>1109</v>
      </c>
      <c r="J2641">
        <v>-0.15</v>
      </c>
      <c r="K2641">
        <v>3.17</v>
      </c>
      <c r="L2641">
        <v>7265.36</v>
      </c>
      <c r="M2641" t="s">
        <v>32</v>
      </c>
      <c r="N2641" t="s">
        <v>1061</v>
      </c>
      <c r="O2641">
        <v>6.59</v>
      </c>
      <c r="P2641">
        <v>6.64</v>
      </c>
      <c r="Q2641">
        <v>6.24</v>
      </c>
      <c r="R2641">
        <v>6.47</v>
      </c>
      <c r="S2641">
        <v>216.75</v>
      </c>
      <c r="T2641">
        <v>1.32</v>
      </c>
      <c r="U2641" t="s">
        <v>267</v>
      </c>
    </row>
    <row r="2642" spans="1:21">
      <c r="A2642" t="str">
        <f>"600108"</f>
        <v>600108</v>
      </c>
      <c r="B2642" t="s">
        <v>5200</v>
      </c>
      <c r="C2642">
        <v>0</v>
      </c>
      <c r="D2642">
        <v>3.49</v>
      </c>
      <c r="E2642">
        <v>0</v>
      </c>
      <c r="F2642">
        <v>3.48</v>
      </c>
      <c r="G2642">
        <v>3.49</v>
      </c>
      <c r="H2642">
        <v>516624</v>
      </c>
      <c r="I2642">
        <v>23409</v>
      </c>
      <c r="J2642">
        <v>-0.28</v>
      </c>
      <c r="K2642">
        <v>2.65</v>
      </c>
      <c r="L2642">
        <v>17985.81</v>
      </c>
      <c r="M2642" t="s">
        <v>3860</v>
      </c>
      <c r="N2642" t="s">
        <v>147</v>
      </c>
      <c r="O2642">
        <v>3.5</v>
      </c>
      <c r="P2642">
        <v>3.53</v>
      </c>
      <c r="Q2642">
        <v>3.43</v>
      </c>
      <c r="R2642">
        <v>3.49</v>
      </c>
      <c r="S2642">
        <v>103.5</v>
      </c>
      <c r="T2642">
        <v>0.73</v>
      </c>
      <c r="U2642" t="s">
        <v>391</v>
      </c>
    </row>
    <row r="2643" spans="1:21">
      <c r="A2643" t="str">
        <f>"600109"</f>
        <v>600109</v>
      </c>
      <c r="B2643" t="s">
        <v>5201</v>
      </c>
      <c r="C2643">
        <v>1.71</v>
      </c>
      <c r="D2643">
        <v>10.7</v>
      </c>
      <c r="E2643">
        <v>0.18</v>
      </c>
      <c r="F2643">
        <v>10.7</v>
      </c>
      <c r="G2643">
        <v>10.71</v>
      </c>
      <c r="H2643">
        <v>267065</v>
      </c>
      <c r="I2643">
        <v>1984</v>
      </c>
      <c r="J2643">
        <v>0</v>
      </c>
      <c r="K2643">
        <v>0.88</v>
      </c>
      <c r="L2643">
        <v>28413.81</v>
      </c>
      <c r="M2643" t="s">
        <v>5202</v>
      </c>
      <c r="N2643" t="s">
        <v>213</v>
      </c>
      <c r="O2643">
        <v>10.56</v>
      </c>
      <c r="P2643">
        <v>10.75</v>
      </c>
      <c r="Q2643">
        <v>10.49</v>
      </c>
      <c r="R2643">
        <v>10.52</v>
      </c>
      <c r="S2643">
        <v>15.78</v>
      </c>
      <c r="T2643">
        <v>1.7</v>
      </c>
      <c r="U2643" t="s">
        <v>196</v>
      </c>
    </row>
    <row r="2644" spans="1:21">
      <c r="A2644" t="str">
        <f>"600110"</f>
        <v>600110</v>
      </c>
      <c r="B2644" t="s">
        <v>5203</v>
      </c>
      <c r="C2644">
        <v>4.53</v>
      </c>
      <c r="D2644">
        <v>19.38</v>
      </c>
      <c r="E2644">
        <v>0.84</v>
      </c>
      <c r="F2644">
        <v>19.37</v>
      </c>
      <c r="G2644">
        <v>19.38</v>
      </c>
      <c r="H2644">
        <v>845297</v>
      </c>
      <c r="I2644">
        <v>3970</v>
      </c>
      <c r="J2644">
        <v>0</v>
      </c>
      <c r="K2644">
        <v>6.39</v>
      </c>
      <c r="L2644">
        <v>165062.94</v>
      </c>
      <c r="M2644" t="s">
        <v>5204</v>
      </c>
      <c r="N2644" t="s">
        <v>47</v>
      </c>
      <c r="O2644">
        <v>18.4</v>
      </c>
      <c r="P2644">
        <v>20.05</v>
      </c>
      <c r="Q2644">
        <v>18.4</v>
      </c>
      <c r="R2644">
        <v>18.54</v>
      </c>
      <c r="S2644">
        <v>63.15</v>
      </c>
      <c r="T2644">
        <v>0.97</v>
      </c>
      <c r="U2644" t="s">
        <v>92</v>
      </c>
    </row>
    <row r="2645" spans="1:21">
      <c r="A2645" t="str">
        <f>"600111"</f>
        <v>600111</v>
      </c>
      <c r="B2645" t="s">
        <v>5205</v>
      </c>
      <c r="C2645">
        <v>-1.58</v>
      </c>
      <c r="D2645">
        <v>47.49</v>
      </c>
      <c r="E2645">
        <v>-0.76</v>
      </c>
      <c r="F2645">
        <v>47.48</v>
      </c>
      <c r="G2645">
        <v>47.49</v>
      </c>
      <c r="H2645">
        <v>990568</v>
      </c>
      <c r="I2645">
        <v>10418</v>
      </c>
      <c r="J2645">
        <v>0.06</v>
      </c>
      <c r="K2645">
        <v>2.73</v>
      </c>
      <c r="L2645">
        <v>471460.97</v>
      </c>
      <c r="M2645" t="s">
        <v>5206</v>
      </c>
      <c r="N2645" t="s">
        <v>523</v>
      </c>
      <c r="O2645">
        <v>47.92</v>
      </c>
      <c r="P2645">
        <v>48.48</v>
      </c>
      <c r="Q2645">
        <v>47.02</v>
      </c>
      <c r="R2645">
        <v>48.25</v>
      </c>
      <c r="S2645">
        <v>41.09</v>
      </c>
      <c r="T2645">
        <v>0.82</v>
      </c>
      <c r="U2645" t="s">
        <v>275</v>
      </c>
    </row>
    <row r="2646" spans="1:21">
      <c r="A2646" t="str">
        <f>"600112"</f>
        <v>600112</v>
      </c>
      <c r="B2646" t="s">
        <v>5207</v>
      </c>
      <c r="C2646">
        <v>0.97</v>
      </c>
      <c r="D2646">
        <v>4.16</v>
      </c>
      <c r="E2646">
        <v>0.04</v>
      </c>
      <c r="F2646">
        <v>4.15</v>
      </c>
      <c r="G2646">
        <v>4.16</v>
      </c>
      <c r="H2646">
        <v>210796</v>
      </c>
      <c r="I2646">
        <v>2287</v>
      </c>
      <c r="J2646">
        <v>0</v>
      </c>
      <c r="K2646">
        <v>4.14</v>
      </c>
      <c r="L2646">
        <v>8745.87</v>
      </c>
      <c r="M2646" t="s">
        <v>5208</v>
      </c>
      <c r="N2646" t="s">
        <v>47</v>
      </c>
      <c r="O2646">
        <v>4.08</v>
      </c>
      <c r="P2646">
        <v>4.3</v>
      </c>
      <c r="Q2646">
        <v>4.02</v>
      </c>
      <c r="R2646">
        <v>4.12</v>
      </c>
      <c r="S2646" t="s">
        <v>40</v>
      </c>
      <c r="T2646">
        <v>0.77</v>
      </c>
      <c r="U2646" t="s">
        <v>368</v>
      </c>
    </row>
    <row r="2647" spans="1:21">
      <c r="A2647" t="str">
        <f>"600113"</f>
        <v>600113</v>
      </c>
      <c r="B2647" t="s">
        <v>5209</v>
      </c>
      <c r="C2647">
        <v>1.78</v>
      </c>
      <c r="D2647">
        <v>6.28</v>
      </c>
      <c r="E2647">
        <v>0.11</v>
      </c>
      <c r="F2647">
        <v>6.28</v>
      </c>
      <c r="G2647">
        <v>6.29</v>
      </c>
      <c r="H2647">
        <v>45470</v>
      </c>
      <c r="I2647">
        <v>864</v>
      </c>
      <c r="J2647">
        <v>0.16</v>
      </c>
      <c r="K2647">
        <v>1.11</v>
      </c>
      <c r="L2647">
        <v>2840.12</v>
      </c>
      <c r="M2647" t="s">
        <v>5210</v>
      </c>
      <c r="N2647" t="s">
        <v>36</v>
      </c>
      <c r="O2647">
        <v>6.2</v>
      </c>
      <c r="P2647">
        <v>6.31</v>
      </c>
      <c r="Q2647">
        <v>6.16</v>
      </c>
      <c r="R2647">
        <v>6.17</v>
      </c>
      <c r="S2647">
        <v>18.97</v>
      </c>
      <c r="T2647">
        <v>0.83</v>
      </c>
      <c r="U2647" t="s">
        <v>200</v>
      </c>
    </row>
    <row r="2648" spans="1:21">
      <c r="A2648" t="str">
        <f>"600114"</f>
        <v>600114</v>
      </c>
      <c r="B2648" t="s">
        <v>5211</v>
      </c>
      <c r="C2648">
        <v>-3.73</v>
      </c>
      <c r="D2648">
        <v>11.88</v>
      </c>
      <c r="E2648">
        <v>-0.46</v>
      </c>
      <c r="F2648">
        <v>11.88</v>
      </c>
      <c r="G2648">
        <v>11.89</v>
      </c>
      <c r="H2648">
        <v>183865</v>
      </c>
      <c r="I2648">
        <v>2067</v>
      </c>
      <c r="J2648">
        <v>-0.07</v>
      </c>
      <c r="K2648">
        <v>2.98</v>
      </c>
      <c r="L2648">
        <v>22099.85</v>
      </c>
      <c r="M2648" t="s">
        <v>5212</v>
      </c>
      <c r="N2648" t="s">
        <v>347</v>
      </c>
      <c r="O2648">
        <v>12.16</v>
      </c>
      <c r="P2648">
        <v>12.48</v>
      </c>
      <c r="Q2648">
        <v>11.85</v>
      </c>
      <c r="R2648">
        <v>12.34</v>
      </c>
      <c r="S2648">
        <v>64.88</v>
      </c>
      <c r="T2648">
        <v>0.82</v>
      </c>
      <c r="U2648" t="s">
        <v>200</v>
      </c>
    </row>
    <row r="2649" spans="1:21">
      <c r="A2649" t="str">
        <f>"600115"</f>
        <v>600115</v>
      </c>
      <c r="B2649" t="s">
        <v>5213</v>
      </c>
      <c r="C2649">
        <v>0.21</v>
      </c>
      <c r="D2649">
        <v>4.83</v>
      </c>
      <c r="E2649">
        <v>0.01</v>
      </c>
      <c r="F2649">
        <v>4.82</v>
      </c>
      <c r="G2649">
        <v>4.83</v>
      </c>
      <c r="H2649">
        <v>161043</v>
      </c>
      <c r="I2649">
        <v>3038</v>
      </c>
      <c r="J2649">
        <v>0</v>
      </c>
      <c r="K2649">
        <v>0.16</v>
      </c>
      <c r="L2649">
        <v>7708.44</v>
      </c>
      <c r="M2649" t="s">
        <v>5214</v>
      </c>
      <c r="N2649" t="s">
        <v>180</v>
      </c>
      <c r="O2649">
        <v>4.8</v>
      </c>
      <c r="P2649">
        <v>4.83</v>
      </c>
      <c r="Q2649">
        <v>4.75</v>
      </c>
      <c r="R2649">
        <v>4.82</v>
      </c>
      <c r="S2649" t="s">
        <v>40</v>
      </c>
      <c r="T2649">
        <v>0.57</v>
      </c>
      <c r="U2649" t="s">
        <v>848</v>
      </c>
    </row>
    <row r="2650" spans="1:21">
      <c r="A2650" t="str">
        <f>"600116"</f>
        <v>600116</v>
      </c>
      <c r="B2650" t="s">
        <v>5215</v>
      </c>
      <c r="C2650">
        <v>1.3</v>
      </c>
      <c r="D2650">
        <v>10.13</v>
      </c>
      <c r="E2650">
        <v>0.13</v>
      </c>
      <c r="F2650">
        <v>10.13</v>
      </c>
      <c r="G2650">
        <v>10.14</v>
      </c>
      <c r="H2650">
        <v>238888</v>
      </c>
      <c r="I2650">
        <v>6426</v>
      </c>
      <c r="J2650">
        <v>-0.09</v>
      </c>
      <c r="K2650">
        <v>1.76</v>
      </c>
      <c r="L2650">
        <v>24036.85</v>
      </c>
      <c r="M2650" t="s">
        <v>5216</v>
      </c>
      <c r="N2650" t="s">
        <v>472</v>
      </c>
      <c r="O2650">
        <v>10.01</v>
      </c>
      <c r="P2650">
        <v>10.17</v>
      </c>
      <c r="Q2650">
        <v>9.87</v>
      </c>
      <c r="R2650">
        <v>10</v>
      </c>
      <c r="S2650">
        <v>17.91</v>
      </c>
      <c r="T2650">
        <v>0.47</v>
      </c>
      <c r="U2650" t="s">
        <v>314</v>
      </c>
    </row>
    <row r="2651" spans="1:21">
      <c r="A2651" t="str">
        <f>"600117"</f>
        <v>600117</v>
      </c>
      <c r="B2651" t="s">
        <v>5217</v>
      </c>
      <c r="C2651">
        <v>2.34</v>
      </c>
      <c r="D2651">
        <v>3.93</v>
      </c>
      <c r="E2651">
        <v>0.09</v>
      </c>
      <c r="F2651">
        <v>3.93</v>
      </c>
      <c r="G2651">
        <v>3.94</v>
      </c>
      <c r="H2651">
        <v>161428</v>
      </c>
      <c r="I2651">
        <v>1231</v>
      </c>
      <c r="J2651">
        <v>0.51</v>
      </c>
      <c r="K2651">
        <v>1.54</v>
      </c>
      <c r="L2651">
        <v>6190.34</v>
      </c>
      <c r="M2651" t="s">
        <v>5218</v>
      </c>
      <c r="N2651" t="s">
        <v>628</v>
      </c>
      <c r="O2651">
        <v>3.79</v>
      </c>
      <c r="P2651">
        <v>3.94</v>
      </c>
      <c r="Q2651">
        <v>3.74</v>
      </c>
      <c r="R2651">
        <v>3.84</v>
      </c>
      <c r="S2651" t="s">
        <v>40</v>
      </c>
      <c r="T2651">
        <v>1.62</v>
      </c>
      <c r="U2651" t="s">
        <v>242</v>
      </c>
    </row>
    <row r="2652" spans="1:21">
      <c r="A2652" t="str">
        <f>"600118"</f>
        <v>600118</v>
      </c>
      <c r="B2652" t="s">
        <v>5219</v>
      </c>
      <c r="C2652">
        <v>-0.49</v>
      </c>
      <c r="D2652">
        <v>26.53</v>
      </c>
      <c r="E2652">
        <v>-0.13</v>
      </c>
      <c r="F2652">
        <v>26.53</v>
      </c>
      <c r="G2652">
        <v>26.54</v>
      </c>
      <c r="H2652">
        <v>72547</v>
      </c>
      <c r="I2652">
        <v>555</v>
      </c>
      <c r="J2652">
        <v>0.08</v>
      </c>
      <c r="K2652">
        <v>0.61</v>
      </c>
      <c r="L2652">
        <v>19221.72</v>
      </c>
      <c r="M2652" t="s">
        <v>5220</v>
      </c>
      <c r="N2652" t="s">
        <v>611</v>
      </c>
      <c r="O2652">
        <v>26.5</v>
      </c>
      <c r="P2652">
        <v>26.68</v>
      </c>
      <c r="Q2652">
        <v>26.34</v>
      </c>
      <c r="R2652">
        <v>26.66</v>
      </c>
      <c r="S2652">
        <v>110</v>
      </c>
      <c r="T2652">
        <v>0.65</v>
      </c>
      <c r="U2652" t="s">
        <v>44</v>
      </c>
    </row>
    <row r="2653" spans="1:21">
      <c r="A2653" t="str">
        <f>"600119"</f>
        <v>600119</v>
      </c>
      <c r="B2653" t="s">
        <v>5221</v>
      </c>
      <c r="C2653">
        <v>0.14</v>
      </c>
      <c r="D2653">
        <v>7.14</v>
      </c>
      <c r="E2653">
        <v>0.01</v>
      </c>
      <c r="F2653">
        <v>7.14</v>
      </c>
      <c r="G2653">
        <v>7.16</v>
      </c>
      <c r="H2653">
        <v>6654</v>
      </c>
      <c r="I2653">
        <v>233</v>
      </c>
      <c r="J2653">
        <v>-0.27</v>
      </c>
      <c r="K2653">
        <v>0.22</v>
      </c>
      <c r="L2653">
        <v>475.73</v>
      </c>
      <c r="M2653" t="s">
        <v>5222</v>
      </c>
      <c r="N2653" t="s">
        <v>1049</v>
      </c>
      <c r="O2653">
        <v>7.19</v>
      </c>
      <c r="P2653">
        <v>7.19</v>
      </c>
      <c r="Q2653">
        <v>7.08</v>
      </c>
      <c r="R2653">
        <v>7.13</v>
      </c>
      <c r="S2653">
        <v>249.58</v>
      </c>
      <c r="T2653">
        <v>0.47</v>
      </c>
      <c r="U2653" t="s">
        <v>848</v>
      </c>
    </row>
    <row r="2654" spans="1:21">
      <c r="A2654" t="str">
        <f>"600120"</f>
        <v>600120</v>
      </c>
      <c r="B2654" t="s">
        <v>5223</v>
      </c>
      <c r="C2654">
        <v>0.7</v>
      </c>
      <c r="D2654">
        <v>4.33</v>
      </c>
      <c r="E2654">
        <v>0.03</v>
      </c>
      <c r="F2654">
        <v>4.32</v>
      </c>
      <c r="G2654">
        <v>4.33</v>
      </c>
      <c r="H2654">
        <v>137307</v>
      </c>
      <c r="I2654">
        <v>1453</v>
      </c>
      <c r="J2654">
        <v>0</v>
      </c>
      <c r="K2654">
        <v>0.47</v>
      </c>
      <c r="L2654">
        <v>5939.87</v>
      </c>
      <c r="M2654" t="s">
        <v>5224</v>
      </c>
      <c r="N2654" t="s">
        <v>121</v>
      </c>
      <c r="O2654">
        <v>4.31</v>
      </c>
      <c r="P2654">
        <v>4.35</v>
      </c>
      <c r="Q2654">
        <v>4.29</v>
      </c>
      <c r="R2654">
        <v>4.3</v>
      </c>
      <c r="S2654">
        <v>19.19</v>
      </c>
      <c r="T2654">
        <v>0.65</v>
      </c>
      <c r="U2654" t="s">
        <v>200</v>
      </c>
    </row>
    <row r="2655" spans="1:21">
      <c r="A2655" t="str">
        <f>"600121"</f>
        <v>600121</v>
      </c>
      <c r="B2655" t="s">
        <v>5225</v>
      </c>
      <c r="C2655">
        <v>-0.61</v>
      </c>
      <c r="D2655">
        <v>4.88</v>
      </c>
      <c r="E2655">
        <v>-0.03</v>
      </c>
      <c r="F2655">
        <v>4.87</v>
      </c>
      <c r="G2655">
        <v>4.88</v>
      </c>
      <c r="H2655">
        <v>228432</v>
      </c>
      <c r="I2655">
        <v>3339</v>
      </c>
      <c r="J2655">
        <v>0.21</v>
      </c>
      <c r="K2655">
        <v>1.87</v>
      </c>
      <c r="L2655">
        <v>10984.33</v>
      </c>
      <c r="M2655" t="s">
        <v>5226</v>
      </c>
      <c r="N2655" t="s">
        <v>390</v>
      </c>
      <c r="O2655">
        <v>4.86</v>
      </c>
      <c r="P2655">
        <v>4.88</v>
      </c>
      <c r="Q2655">
        <v>4.72</v>
      </c>
      <c r="R2655">
        <v>4.91</v>
      </c>
      <c r="S2655" t="s">
        <v>40</v>
      </c>
      <c r="T2655">
        <v>1.25</v>
      </c>
      <c r="U2655" t="s">
        <v>224</v>
      </c>
    </row>
    <row r="2656" spans="1:21">
      <c r="A2656" t="str">
        <f>"600122"</f>
        <v>600122</v>
      </c>
      <c r="B2656" t="s">
        <v>5227</v>
      </c>
      <c r="C2656">
        <v>0</v>
      </c>
      <c r="D2656">
        <v>1.58</v>
      </c>
      <c r="E2656">
        <v>0</v>
      </c>
      <c r="F2656">
        <v>1.57</v>
      </c>
      <c r="G2656">
        <v>1.58</v>
      </c>
      <c r="H2656">
        <v>218809</v>
      </c>
      <c r="I2656">
        <v>1678</v>
      </c>
      <c r="J2656">
        <v>0</v>
      </c>
      <c r="K2656">
        <v>1.89</v>
      </c>
      <c r="L2656">
        <v>3397.62</v>
      </c>
      <c r="M2656" t="s">
        <v>5228</v>
      </c>
      <c r="N2656" t="s">
        <v>66</v>
      </c>
      <c r="O2656">
        <v>1.56</v>
      </c>
      <c r="P2656">
        <v>1.59</v>
      </c>
      <c r="Q2656">
        <v>1.51</v>
      </c>
      <c r="R2656">
        <v>1.58</v>
      </c>
      <c r="S2656" t="s">
        <v>40</v>
      </c>
      <c r="T2656">
        <v>1.28</v>
      </c>
      <c r="U2656" t="s">
        <v>102</v>
      </c>
    </row>
    <row r="2657" spans="1:21">
      <c r="A2657" t="str">
        <f>"600123"</f>
        <v>600123</v>
      </c>
      <c r="B2657" t="s">
        <v>5229</v>
      </c>
      <c r="C2657">
        <v>3.76</v>
      </c>
      <c r="D2657">
        <v>9.38</v>
      </c>
      <c r="E2657">
        <v>0.34</v>
      </c>
      <c r="F2657">
        <v>9.37</v>
      </c>
      <c r="G2657">
        <v>9.38</v>
      </c>
      <c r="H2657">
        <v>433247</v>
      </c>
      <c r="I2657">
        <v>7311</v>
      </c>
      <c r="J2657">
        <v>0</v>
      </c>
      <c r="K2657">
        <v>3.79</v>
      </c>
      <c r="L2657">
        <v>39543</v>
      </c>
      <c r="M2657" t="s">
        <v>5230</v>
      </c>
      <c r="N2657" t="s">
        <v>390</v>
      </c>
      <c r="O2657">
        <v>8.95</v>
      </c>
      <c r="P2657">
        <v>9.41</v>
      </c>
      <c r="Q2657">
        <v>8.74</v>
      </c>
      <c r="R2657">
        <v>9.04</v>
      </c>
      <c r="S2657">
        <v>5.71</v>
      </c>
      <c r="T2657">
        <v>1.54</v>
      </c>
      <c r="U2657" t="s">
        <v>232</v>
      </c>
    </row>
    <row r="2658" spans="1:21">
      <c r="A2658" t="str">
        <f>"600125"</f>
        <v>600125</v>
      </c>
      <c r="B2658" t="s">
        <v>5231</v>
      </c>
      <c r="C2658">
        <v>0.83</v>
      </c>
      <c r="D2658">
        <v>4.88</v>
      </c>
      <c r="E2658">
        <v>0.04</v>
      </c>
      <c r="F2658">
        <v>4.88</v>
      </c>
      <c r="G2658">
        <v>4.89</v>
      </c>
      <c r="H2658">
        <v>82614</v>
      </c>
      <c r="I2658">
        <v>750</v>
      </c>
      <c r="J2658">
        <v>0</v>
      </c>
      <c r="K2658">
        <v>0.63</v>
      </c>
      <c r="L2658">
        <v>4010.37</v>
      </c>
      <c r="M2658" t="s">
        <v>5232</v>
      </c>
      <c r="N2658" t="s">
        <v>400</v>
      </c>
      <c r="O2658">
        <v>4.82</v>
      </c>
      <c r="P2658">
        <v>4.9</v>
      </c>
      <c r="Q2658">
        <v>4.81</v>
      </c>
      <c r="R2658">
        <v>4.84</v>
      </c>
      <c r="S2658">
        <v>14.58</v>
      </c>
      <c r="T2658">
        <v>1.33</v>
      </c>
      <c r="U2658" t="s">
        <v>141</v>
      </c>
    </row>
    <row r="2659" spans="1:21">
      <c r="A2659" t="str">
        <f>"600126"</f>
        <v>600126</v>
      </c>
      <c r="B2659" t="s">
        <v>5233</v>
      </c>
      <c r="C2659">
        <v>0.2</v>
      </c>
      <c r="D2659">
        <v>5.07</v>
      </c>
      <c r="E2659">
        <v>0.01</v>
      </c>
      <c r="F2659">
        <v>5.07</v>
      </c>
      <c r="G2659">
        <v>5.08</v>
      </c>
      <c r="H2659">
        <v>182738</v>
      </c>
      <c r="I2659">
        <v>2848</v>
      </c>
      <c r="J2659">
        <v>0</v>
      </c>
      <c r="K2659">
        <v>0.54</v>
      </c>
      <c r="L2659">
        <v>9206.14</v>
      </c>
      <c r="M2659" t="s">
        <v>5234</v>
      </c>
      <c r="N2659" t="s">
        <v>551</v>
      </c>
      <c r="O2659">
        <v>5.08</v>
      </c>
      <c r="P2659">
        <v>5.09</v>
      </c>
      <c r="Q2659">
        <v>5.01</v>
      </c>
      <c r="R2659">
        <v>5.06</v>
      </c>
      <c r="S2659">
        <v>7.93</v>
      </c>
      <c r="T2659">
        <v>0.92</v>
      </c>
      <c r="U2659" t="s">
        <v>200</v>
      </c>
    </row>
    <row r="2660" spans="1:21">
      <c r="A2660" t="str">
        <f>"600127"</f>
        <v>600127</v>
      </c>
      <c r="B2660" t="s">
        <v>5235</v>
      </c>
      <c r="C2660">
        <v>0.47</v>
      </c>
      <c r="D2660">
        <v>8.52</v>
      </c>
      <c r="E2660">
        <v>0.04</v>
      </c>
      <c r="F2660">
        <v>8.52</v>
      </c>
      <c r="G2660">
        <v>8.53</v>
      </c>
      <c r="H2660">
        <v>172162</v>
      </c>
      <c r="I2660">
        <v>3264</v>
      </c>
      <c r="J2660">
        <v>0.24</v>
      </c>
      <c r="K2660">
        <v>2.68</v>
      </c>
      <c r="L2660">
        <v>14573.04</v>
      </c>
      <c r="M2660" t="s">
        <v>5236</v>
      </c>
      <c r="N2660" t="s">
        <v>147</v>
      </c>
      <c r="O2660">
        <v>8.47</v>
      </c>
      <c r="P2660">
        <v>8.54</v>
      </c>
      <c r="Q2660">
        <v>8.4</v>
      </c>
      <c r="R2660">
        <v>8.48</v>
      </c>
      <c r="S2660">
        <v>350.39</v>
      </c>
      <c r="T2660">
        <v>0.58</v>
      </c>
      <c r="U2660" t="s">
        <v>204</v>
      </c>
    </row>
    <row r="2661" spans="1:21">
      <c r="A2661" t="str">
        <f>"600128"</f>
        <v>600128</v>
      </c>
      <c r="B2661" t="s">
        <v>5237</v>
      </c>
      <c r="C2661">
        <v>1.38</v>
      </c>
      <c r="D2661">
        <v>6.6</v>
      </c>
      <c r="E2661">
        <v>0.09</v>
      </c>
      <c r="F2661">
        <v>6.59</v>
      </c>
      <c r="G2661">
        <v>6.6</v>
      </c>
      <c r="H2661">
        <v>18627</v>
      </c>
      <c r="I2661">
        <v>266</v>
      </c>
      <c r="J2661">
        <v>0.15</v>
      </c>
      <c r="K2661">
        <v>0.75</v>
      </c>
      <c r="L2661">
        <v>1222.82</v>
      </c>
      <c r="M2661" t="s">
        <v>5238</v>
      </c>
      <c r="N2661" t="s">
        <v>189</v>
      </c>
      <c r="O2661">
        <v>6.51</v>
      </c>
      <c r="P2661">
        <v>6.62</v>
      </c>
      <c r="Q2661">
        <v>6.51</v>
      </c>
      <c r="R2661">
        <v>6.51</v>
      </c>
      <c r="S2661">
        <v>60.83</v>
      </c>
      <c r="T2661">
        <v>0.95</v>
      </c>
      <c r="U2661" t="s">
        <v>102</v>
      </c>
    </row>
    <row r="2662" spans="1:21">
      <c r="A2662" t="str">
        <f>"600129"</f>
        <v>600129</v>
      </c>
      <c r="B2662" t="s">
        <v>5239</v>
      </c>
      <c r="C2662">
        <v>-0.19</v>
      </c>
      <c r="D2662">
        <v>15.6</v>
      </c>
      <c r="E2662">
        <v>-0.03</v>
      </c>
      <c r="F2662">
        <v>15.59</v>
      </c>
      <c r="G2662">
        <v>15.6</v>
      </c>
      <c r="H2662">
        <v>36688</v>
      </c>
      <c r="I2662">
        <v>577</v>
      </c>
      <c r="J2662">
        <v>-0.05</v>
      </c>
      <c r="K2662">
        <v>0.66</v>
      </c>
      <c r="L2662">
        <v>5698.25</v>
      </c>
      <c r="M2662" t="s">
        <v>5240</v>
      </c>
      <c r="N2662" t="s">
        <v>270</v>
      </c>
      <c r="O2662">
        <v>15.53</v>
      </c>
      <c r="P2662">
        <v>15.63</v>
      </c>
      <c r="Q2662">
        <v>15.4</v>
      </c>
      <c r="R2662">
        <v>15.63</v>
      </c>
      <c r="S2662">
        <v>26.27</v>
      </c>
      <c r="T2662">
        <v>0.65</v>
      </c>
      <c r="U2662" t="s">
        <v>314</v>
      </c>
    </row>
    <row r="2663" spans="1:21">
      <c r="A2663" t="str">
        <f>"600130"</f>
        <v>600130</v>
      </c>
      <c r="B2663" t="s">
        <v>5241</v>
      </c>
      <c r="C2663">
        <v>0.52</v>
      </c>
      <c r="D2663">
        <v>3.85</v>
      </c>
      <c r="E2663">
        <v>0.02</v>
      </c>
      <c r="F2663">
        <v>3.85</v>
      </c>
      <c r="G2663">
        <v>3.86</v>
      </c>
      <c r="H2663">
        <v>100871</v>
      </c>
      <c r="I2663">
        <v>1798</v>
      </c>
      <c r="J2663">
        <v>0</v>
      </c>
      <c r="K2663">
        <v>1.31</v>
      </c>
      <c r="L2663">
        <v>3857.33</v>
      </c>
      <c r="M2663" t="s">
        <v>4633</v>
      </c>
      <c r="N2663" t="s">
        <v>153</v>
      </c>
      <c r="O2663">
        <v>3.82</v>
      </c>
      <c r="P2663">
        <v>3.9</v>
      </c>
      <c r="Q2663">
        <v>3.76</v>
      </c>
      <c r="R2663">
        <v>3.83</v>
      </c>
      <c r="S2663">
        <v>80.2</v>
      </c>
      <c r="T2663">
        <v>0.88</v>
      </c>
      <c r="U2663" t="s">
        <v>200</v>
      </c>
    </row>
    <row r="2664" spans="1:21">
      <c r="A2664" t="str">
        <f>"600131"</f>
        <v>600131</v>
      </c>
      <c r="B2664" t="s">
        <v>5242</v>
      </c>
      <c r="C2664">
        <v>-0.45</v>
      </c>
      <c r="D2664">
        <v>17.72</v>
      </c>
      <c r="E2664">
        <v>-0.08</v>
      </c>
      <c r="F2664">
        <v>17.72</v>
      </c>
      <c r="G2664">
        <v>17.73</v>
      </c>
      <c r="H2664">
        <v>106288</v>
      </c>
      <c r="I2664">
        <v>1492</v>
      </c>
      <c r="J2664">
        <v>0.23</v>
      </c>
      <c r="K2664">
        <v>1.97</v>
      </c>
      <c r="L2664">
        <v>18875.61</v>
      </c>
      <c r="M2664" t="s">
        <v>5243</v>
      </c>
      <c r="N2664" t="s">
        <v>153</v>
      </c>
      <c r="O2664">
        <v>17.82</v>
      </c>
      <c r="P2664">
        <v>18</v>
      </c>
      <c r="Q2664">
        <v>17.56</v>
      </c>
      <c r="R2664">
        <v>17.8</v>
      </c>
      <c r="S2664">
        <v>42.81</v>
      </c>
      <c r="T2664">
        <v>0.32</v>
      </c>
      <c r="U2664" t="s">
        <v>196</v>
      </c>
    </row>
    <row r="2665" spans="1:21">
      <c r="A2665" t="str">
        <f>"600132"</f>
        <v>600132</v>
      </c>
      <c r="B2665" t="s">
        <v>5244</v>
      </c>
      <c r="C2665">
        <v>1.55</v>
      </c>
      <c r="D2665">
        <v>164</v>
      </c>
      <c r="E2665">
        <v>2.5</v>
      </c>
      <c r="F2665">
        <v>163.96</v>
      </c>
      <c r="G2665">
        <v>164</v>
      </c>
      <c r="H2665">
        <v>19477</v>
      </c>
      <c r="I2665">
        <v>223</v>
      </c>
      <c r="J2665">
        <v>0</v>
      </c>
      <c r="K2665">
        <v>0.4</v>
      </c>
      <c r="L2665">
        <v>31753.79</v>
      </c>
      <c r="M2665" t="s">
        <v>5245</v>
      </c>
      <c r="N2665" t="s">
        <v>671</v>
      </c>
      <c r="O2665">
        <v>160.69</v>
      </c>
      <c r="P2665">
        <v>164.64</v>
      </c>
      <c r="Q2665">
        <v>159.8</v>
      </c>
      <c r="R2665">
        <v>161.5</v>
      </c>
      <c r="S2665">
        <v>57.03</v>
      </c>
      <c r="T2665">
        <v>0.68</v>
      </c>
      <c r="U2665" t="s">
        <v>314</v>
      </c>
    </row>
    <row r="2666" spans="1:21">
      <c r="A2666" t="str">
        <f>"600133"</f>
        <v>600133</v>
      </c>
      <c r="B2666" t="s">
        <v>5246</v>
      </c>
      <c r="C2666">
        <v>0.76</v>
      </c>
      <c r="D2666">
        <v>5.27</v>
      </c>
      <c r="E2666">
        <v>0.04</v>
      </c>
      <c r="F2666">
        <v>5.26</v>
      </c>
      <c r="G2666">
        <v>5.27</v>
      </c>
      <c r="H2666">
        <v>75626</v>
      </c>
      <c r="I2666">
        <v>745</v>
      </c>
      <c r="J2666">
        <v>0</v>
      </c>
      <c r="K2666">
        <v>0.95</v>
      </c>
      <c r="L2666">
        <v>3940.71</v>
      </c>
      <c r="M2666" t="s">
        <v>5247</v>
      </c>
      <c r="N2666" t="s">
        <v>520</v>
      </c>
      <c r="O2666">
        <v>5.23</v>
      </c>
      <c r="P2666">
        <v>5.27</v>
      </c>
      <c r="Q2666">
        <v>5.16</v>
      </c>
      <c r="R2666">
        <v>5.23</v>
      </c>
      <c r="S2666">
        <v>11.74</v>
      </c>
      <c r="T2666">
        <v>1.21</v>
      </c>
      <c r="U2666" t="s">
        <v>267</v>
      </c>
    </row>
    <row r="2667" spans="1:21">
      <c r="A2667" t="str">
        <f>"600135"</f>
        <v>600135</v>
      </c>
      <c r="B2667" t="s">
        <v>5248</v>
      </c>
      <c r="C2667">
        <v>1.9</v>
      </c>
      <c r="D2667">
        <v>7.5</v>
      </c>
      <c r="E2667">
        <v>0.14</v>
      </c>
      <c r="F2667">
        <v>7.49</v>
      </c>
      <c r="G2667">
        <v>7.5</v>
      </c>
      <c r="H2667">
        <v>53935</v>
      </c>
      <c r="I2667">
        <v>740</v>
      </c>
      <c r="J2667">
        <v>-0.12</v>
      </c>
      <c r="K2667">
        <v>1.26</v>
      </c>
      <c r="L2667">
        <v>4005.01</v>
      </c>
      <c r="M2667" t="s">
        <v>3537</v>
      </c>
      <c r="N2667" t="s">
        <v>309</v>
      </c>
      <c r="O2667">
        <v>7.38</v>
      </c>
      <c r="P2667">
        <v>7.54</v>
      </c>
      <c r="Q2667">
        <v>7.32</v>
      </c>
      <c r="R2667">
        <v>7.36</v>
      </c>
      <c r="S2667">
        <v>57.49</v>
      </c>
      <c r="T2667">
        <v>0.86</v>
      </c>
      <c r="U2667" t="s">
        <v>207</v>
      </c>
    </row>
    <row r="2668" spans="1:21">
      <c r="A2668" t="str">
        <f>"600136"</f>
        <v>600136</v>
      </c>
      <c r="B2668" t="s">
        <v>5249</v>
      </c>
      <c r="C2668">
        <v>0.91</v>
      </c>
      <c r="D2668">
        <v>6.66</v>
      </c>
      <c r="E2668">
        <v>0.06</v>
      </c>
      <c r="F2668">
        <v>6.66</v>
      </c>
      <c r="G2668">
        <v>6.67</v>
      </c>
      <c r="H2668">
        <v>47911</v>
      </c>
      <c r="I2668">
        <v>362</v>
      </c>
      <c r="J2668">
        <v>-0.14</v>
      </c>
      <c r="K2668">
        <v>0.98</v>
      </c>
      <c r="L2668">
        <v>3185.14</v>
      </c>
      <c r="M2668" t="s">
        <v>5250</v>
      </c>
      <c r="N2668" t="s">
        <v>199</v>
      </c>
      <c r="O2668">
        <v>6.56</v>
      </c>
      <c r="P2668">
        <v>6.71</v>
      </c>
      <c r="Q2668">
        <v>6.56</v>
      </c>
      <c r="R2668">
        <v>6.6</v>
      </c>
      <c r="S2668">
        <v>1947.69</v>
      </c>
      <c r="T2668">
        <v>0.8</v>
      </c>
      <c r="U2668" t="s">
        <v>267</v>
      </c>
    </row>
    <row r="2669" spans="1:21">
      <c r="A2669" t="str">
        <f>"600137"</f>
        <v>600137</v>
      </c>
      <c r="B2669" t="s">
        <v>5251</v>
      </c>
      <c r="C2669">
        <v>2.89</v>
      </c>
      <c r="D2669">
        <v>15.29</v>
      </c>
      <c r="E2669">
        <v>0.43</v>
      </c>
      <c r="F2669">
        <v>15.28</v>
      </c>
      <c r="G2669">
        <v>15.29</v>
      </c>
      <c r="H2669">
        <v>15631</v>
      </c>
      <c r="I2669">
        <v>391</v>
      </c>
      <c r="J2669">
        <v>0.13</v>
      </c>
      <c r="K2669">
        <v>1.61</v>
      </c>
      <c r="L2669">
        <v>2372.66</v>
      </c>
      <c r="M2669" t="s">
        <v>5252</v>
      </c>
      <c r="N2669" t="s">
        <v>1061</v>
      </c>
      <c r="O2669">
        <v>14.85</v>
      </c>
      <c r="P2669">
        <v>15.5</v>
      </c>
      <c r="Q2669">
        <v>14.8</v>
      </c>
      <c r="R2669">
        <v>14.86</v>
      </c>
      <c r="S2669">
        <v>69.12</v>
      </c>
      <c r="T2669">
        <v>1.92</v>
      </c>
      <c r="U2669" t="s">
        <v>196</v>
      </c>
    </row>
    <row r="2670" spans="1:21">
      <c r="A2670" t="str">
        <f>"600138"</f>
        <v>600138</v>
      </c>
      <c r="B2670" t="s">
        <v>5253</v>
      </c>
      <c r="C2670">
        <v>0.78</v>
      </c>
      <c r="D2670">
        <v>10.3</v>
      </c>
      <c r="E2670">
        <v>0.08</v>
      </c>
      <c r="F2670">
        <v>10.3</v>
      </c>
      <c r="G2670">
        <v>10.31</v>
      </c>
      <c r="H2670">
        <v>71073</v>
      </c>
      <c r="I2670">
        <v>781</v>
      </c>
      <c r="J2670">
        <v>-0.09</v>
      </c>
      <c r="K2670">
        <v>0.98</v>
      </c>
      <c r="L2670">
        <v>7310.22</v>
      </c>
      <c r="M2670" t="s">
        <v>5254</v>
      </c>
      <c r="N2670" t="s">
        <v>489</v>
      </c>
      <c r="O2670">
        <v>10.23</v>
      </c>
      <c r="P2670">
        <v>10.36</v>
      </c>
      <c r="Q2670">
        <v>10.19</v>
      </c>
      <c r="R2670">
        <v>10.22</v>
      </c>
      <c r="S2670">
        <v>150.07</v>
      </c>
      <c r="T2670">
        <v>0.62</v>
      </c>
      <c r="U2670" t="s">
        <v>44</v>
      </c>
    </row>
    <row r="2671" spans="1:21">
      <c r="A2671" t="str">
        <f>"600139"</f>
        <v>600139</v>
      </c>
      <c r="B2671" t="s">
        <v>5255</v>
      </c>
      <c r="C2671">
        <v>0</v>
      </c>
      <c r="D2671">
        <v>2.21</v>
      </c>
      <c r="E2671">
        <v>0</v>
      </c>
      <c r="F2671">
        <v>2.21</v>
      </c>
      <c r="G2671">
        <v>2.22</v>
      </c>
      <c r="H2671">
        <v>79849</v>
      </c>
      <c r="I2671">
        <v>883</v>
      </c>
      <c r="J2671">
        <v>-0.44</v>
      </c>
      <c r="K2671">
        <v>1.21</v>
      </c>
      <c r="L2671">
        <v>1765.32</v>
      </c>
      <c r="M2671" t="s">
        <v>5256</v>
      </c>
      <c r="N2671" t="s">
        <v>99</v>
      </c>
      <c r="O2671">
        <v>2.21</v>
      </c>
      <c r="P2671">
        <v>2.23</v>
      </c>
      <c r="Q2671">
        <v>2.19</v>
      </c>
      <c r="R2671">
        <v>2.21</v>
      </c>
      <c r="S2671" t="s">
        <v>40</v>
      </c>
      <c r="T2671">
        <v>0.63</v>
      </c>
      <c r="U2671" t="s">
        <v>196</v>
      </c>
    </row>
    <row r="2672" spans="1:21">
      <c r="A2672" t="str">
        <f>"600141"</f>
        <v>600141</v>
      </c>
      <c r="B2672" t="s">
        <v>5257</v>
      </c>
      <c r="C2672">
        <v>-0.87</v>
      </c>
      <c r="D2672">
        <v>40.04</v>
      </c>
      <c r="E2672">
        <v>-0.35</v>
      </c>
      <c r="F2672">
        <v>40.04</v>
      </c>
      <c r="G2672">
        <v>40.05</v>
      </c>
      <c r="H2672">
        <v>252323</v>
      </c>
      <c r="I2672">
        <v>1976</v>
      </c>
      <c r="J2672">
        <v>-0.09</v>
      </c>
      <c r="K2672">
        <v>2.59</v>
      </c>
      <c r="L2672">
        <v>101163.05</v>
      </c>
      <c r="M2672" t="s">
        <v>5258</v>
      </c>
      <c r="N2672" t="s">
        <v>309</v>
      </c>
      <c r="O2672">
        <v>40.79</v>
      </c>
      <c r="P2672">
        <v>40.89</v>
      </c>
      <c r="Q2672">
        <v>39.46</v>
      </c>
      <c r="R2672">
        <v>40.39</v>
      </c>
      <c r="S2672">
        <v>13.42</v>
      </c>
      <c r="T2672">
        <v>0.59</v>
      </c>
      <c r="U2672" t="s">
        <v>267</v>
      </c>
    </row>
    <row r="2673" spans="1:21">
      <c r="A2673" t="str">
        <f>"600143"</f>
        <v>600143</v>
      </c>
      <c r="B2673" t="s">
        <v>5259</v>
      </c>
      <c r="C2673">
        <v>0.61</v>
      </c>
      <c r="D2673">
        <v>13.12</v>
      </c>
      <c r="E2673">
        <v>0.08</v>
      </c>
      <c r="F2673">
        <v>13.12</v>
      </c>
      <c r="G2673">
        <v>13.13</v>
      </c>
      <c r="H2673">
        <v>400828</v>
      </c>
      <c r="I2673">
        <v>3204</v>
      </c>
      <c r="J2673">
        <v>0.08</v>
      </c>
      <c r="K2673">
        <v>1.56</v>
      </c>
      <c r="L2673">
        <v>52090.04</v>
      </c>
      <c r="M2673" t="s">
        <v>5260</v>
      </c>
      <c r="N2673" t="s">
        <v>839</v>
      </c>
      <c r="O2673">
        <v>13.03</v>
      </c>
      <c r="P2673">
        <v>13.25</v>
      </c>
      <c r="Q2673">
        <v>12.72</v>
      </c>
      <c r="R2673">
        <v>13.04</v>
      </c>
      <c r="S2673">
        <v>14.63</v>
      </c>
      <c r="T2673">
        <v>0.98</v>
      </c>
      <c r="U2673" t="s">
        <v>183</v>
      </c>
    </row>
    <row r="2674" spans="1:21">
      <c r="A2674" t="str">
        <f>"600145"</f>
        <v>600145</v>
      </c>
      <c r="B2674" t="s">
        <v>5261</v>
      </c>
      <c r="C2674">
        <v>5</v>
      </c>
      <c r="D2674">
        <v>1.47</v>
      </c>
      <c r="E2674">
        <v>0.07</v>
      </c>
      <c r="F2674">
        <v>1.47</v>
      </c>
      <c r="G2674" t="s">
        <v>40</v>
      </c>
      <c r="H2674">
        <v>82222</v>
      </c>
      <c r="I2674">
        <v>21</v>
      </c>
      <c r="J2674">
        <v>0</v>
      </c>
      <c r="K2674">
        <v>0.55</v>
      </c>
      <c r="L2674">
        <v>1208.66</v>
      </c>
      <c r="M2674" t="s">
        <v>5262</v>
      </c>
      <c r="N2674" t="s">
        <v>134</v>
      </c>
      <c r="O2674">
        <v>1.47</v>
      </c>
      <c r="P2674">
        <v>1.47</v>
      </c>
      <c r="Q2674">
        <v>1.47</v>
      </c>
      <c r="R2674">
        <v>1.4</v>
      </c>
      <c r="S2674">
        <v>586.3</v>
      </c>
      <c r="T2674">
        <v>0.13</v>
      </c>
      <c r="U2674" t="s">
        <v>210</v>
      </c>
    </row>
    <row r="2675" spans="1:21">
      <c r="A2675" t="str">
        <f>"600146"</f>
        <v>600146</v>
      </c>
      <c r="B2675" t="s">
        <v>5263</v>
      </c>
      <c r="C2675">
        <v>0.42</v>
      </c>
      <c r="D2675">
        <v>2.4</v>
      </c>
      <c r="E2675">
        <v>0.01</v>
      </c>
      <c r="F2675">
        <v>2.39</v>
      </c>
      <c r="G2675">
        <v>2.4</v>
      </c>
      <c r="H2675">
        <v>195046</v>
      </c>
      <c r="I2675">
        <v>1498</v>
      </c>
      <c r="J2675">
        <v>-0.4</v>
      </c>
      <c r="K2675">
        <v>4.15</v>
      </c>
      <c r="L2675">
        <v>4674.74</v>
      </c>
      <c r="M2675" t="s">
        <v>5264</v>
      </c>
      <c r="N2675" t="s">
        <v>1061</v>
      </c>
      <c r="O2675">
        <v>2.37</v>
      </c>
      <c r="P2675">
        <v>2.46</v>
      </c>
      <c r="Q2675">
        <v>2.32</v>
      </c>
      <c r="R2675">
        <v>2.39</v>
      </c>
      <c r="S2675" t="s">
        <v>40</v>
      </c>
      <c r="T2675">
        <v>0.82</v>
      </c>
      <c r="U2675" t="s">
        <v>401</v>
      </c>
    </row>
    <row r="2676" spans="1:21">
      <c r="A2676" t="str">
        <f>"600148"</f>
        <v>600148</v>
      </c>
      <c r="B2676" t="s">
        <v>5265</v>
      </c>
      <c r="C2676">
        <v>3.4</v>
      </c>
      <c r="D2676">
        <v>13.09</v>
      </c>
      <c r="E2676">
        <v>0.43</v>
      </c>
      <c r="F2676">
        <v>13.08</v>
      </c>
      <c r="G2676">
        <v>13.09</v>
      </c>
      <c r="H2676">
        <v>23547</v>
      </c>
      <c r="I2676">
        <v>399</v>
      </c>
      <c r="J2676">
        <v>0.08</v>
      </c>
      <c r="K2676">
        <v>1.66</v>
      </c>
      <c r="L2676">
        <v>3059.16</v>
      </c>
      <c r="M2676" t="s">
        <v>5266</v>
      </c>
      <c r="N2676" t="s">
        <v>91</v>
      </c>
      <c r="O2676">
        <v>12.61</v>
      </c>
      <c r="P2676">
        <v>13.18</v>
      </c>
      <c r="Q2676">
        <v>12.55</v>
      </c>
      <c r="R2676">
        <v>12.66</v>
      </c>
      <c r="S2676">
        <v>42.55</v>
      </c>
      <c r="T2676">
        <v>2</v>
      </c>
      <c r="U2676" t="s">
        <v>92</v>
      </c>
    </row>
    <row r="2677" spans="1:21">
      <c r="A2677" t="str">
        <f>"600149"</f>
        <v>600149</v>
      </c>
      <c r="B2677" t="s">
        <v>5267</v>
      </c>
      <c r="C2677">
        <v>0.42</v>
      </c>
      <c r="D2677">
        <v>4.75</v>
      </c>
      <c r="E2677">
        <v>0.02</v>
      </c>
      <c r="F2677">
        <v>4.75</v>
      </c>
      <c r="G2677">
        <v>4.76</v>
      </c>
      <c r="H2677">
        <v>40708</v>
      </c>
      <c r="I2677">
        <v>862</v>
      </c>
      <c r="J2677">
        <v>-0.62</v>
      </c>
      <c r="K2677">
        <v>1.07</v>
      </c>
      <c r="L2677">
        <v>1931.17</v>
      </c>
      <c r="M2677" t="s">
        <v>3182</v>
      </c>
      <c r="N2677" t="s">
        <v>99</v>
      </c>
      <c r="O2677">
        <v>4.72</v>
      </c>
      <c r="P2677">
        <v>4.81</v>
      </c>
      <c r="Q2677">
        <v>4.67</v>
      </c>
      <c r="R2677">
        <v>4.73</v>
      </c>
      <c r="S2677" t="s">
        <v>40</v>
      </c>
      <c r="T2677">
        <v>1.28</v>
      </c>
      <c r="U2677" t="s">
        <v>207</v>
      </c>
    </row>
    <row r="2678" spans="1:21">
      <c r="A2678" t="str">
        <f>"600150"</f>
        <v>600150</v>
      </c>
      <c r="B2678" t="s">
        <v>5268</v>
      </c>
      <c r="C2678">
        <v>0.75</v>
      </c>
      <c r="D2678">
        <v>22.88</v>
      </c>
      <c r="E2678">
        <v>0.17</v>
      </c>
      <c r="F2678">
        <v>22.87</v>
      </c>
      <c r="G2678">
        <v>22.88</v>
      </c>
      <c r="H2678">
        <v>571994</v>
      </c>
      <c r="I2678">
        <v>5560</v>
      </c>
      <c r="J2678">
        <v>0.09</v>
      </c>
      <c r="K2678">
        <v>2.34</v>
      </c>
      <c r="L2678">
        <v>130924.34</v>
      </c>
      <c r="M2678" t="s">
        <v>5269</v>
      </c>
      <c r="N2678" t="s">
        <v>3063</v>
      </c>
      <c r="O2678">
        <v>22.56</v>
      </c>
      <c r="P2678">
        <v>23.3</v>
      </c>
      <c r="Q2678">
        <v>22.45</v>
      </c>
      <c r="R2678">
        <v>22.71</v>
      </c>
      <c r="S2678">
        <v>186.94</v>
      </c>
      <c r="T2678">
        <v>0.74</v>
      </c>
      <c r="U2678" t="s">
        <v>848</v>
      </c>
    </row>
    <row r="2679" spans="1:21">
      <c r="A2679" t="str">
        <f>"600151"</f>
        <v>600151</v>
      </c>
      <c r="B2679" t="s">
        <v>5270</v>
      </c>
      <c r="C2679">
        <v>-0.16</v>
      </c>
      <c r="D2679">
        <v>12.56</v>
      </c>
      <c r="E2679">
        <v>-0.02</v>
      </c>
      <c r="F2679">
        <v>12.55</v>
      </c>
      <c r="G2679">
        <v>12.56</v>
      </c>
      <c r="H2679">
        <v>211538</v>
      </c>
      <c r="I2679">
        <v>4742</v>
      </c>
      <c r="J2679">
        <v>0.56</v>
      </c>
      <c r="K2679">
        <v>1.47</v>
      </c>
      <c r="L2679">
        <v>26280.6</v>
      </c>
      <c r="M2679" t="s">
        <v>5271</v>
      </c>
      <c r="N2679" t="s">
        <v>91</v>
      </c>
      <c r="O2679">
        <v>12.6</v>
      </c>
      <c r="P2679">
        <v>12.64</v>
      </c>
      <c r="Q2679">
        <v>12.24</v>
      </c>
      <c r="R2679">
        <v>12.58</v>
      </c>
      <c r="S2679" t="s">
        <v>40</v>
      </c>
      <c r="T2679">
        <v>0.44</v>
      </c>
      <c r="U2679" t="s">
        <v>848</v>
      </c>
    </row>
    <row r="2680" spans="1:21">
      <c r="A2680" t="str">
        <f>"600152"</f>
        <v>600152</v>
      </c>
      <c r="B2680" t="s">
        <v>5272</v>
      </c>
      <c r="C2680">
        <v>10.04</v>
      </c>
      <c r="D2680">
        <v>8</v>
      </c>
      <c r="E2680">
        <v>0.73</v>
      </c>
      <c r="F2680">
        <v>8</v>
      </c>
      <c r="G2680" t="s">
        <v>40</v>
      </c>
      <c r="H2680">
        <v>158694</v>
      </c>
      <c r="I2680">
        <v>332</v>
      </c>
      <c r="J2680">
        <v>0</v>
      </c>
      <c r="K2680">
        <v>3.86</v>
      </c>
      <c r="L2680">
        <v>12297.46</v>
      </c>
      <c r="M2680" t="s">
        <v>5273</v>
      </c>
      <c r="N2680" t="s">
        <v>47</v>
      </c>
      <c r="O2680">
        <v>7.2</v>
      </c>
      <c r="P2680">
        <v>8</v>
      </c>
      <c r="Q2680">
        <v>7.17</v>
      </c>
      <c r="R2680">
        <v>7.27</v>
      </c>
      <c r="S2680" t="s">
        <v>40</v>
      </c>
      <c r="T2680">
        <v>2.78</v>
      </c>
      <c r="U2680" t="s">
        <v>200</v>
      </c>
    </row>
    <row r="2681" spans="1:21">
      <c r="A2681" t="str">
        <f>"600153"</f>
        <v>600153</v>
      </c>
      <c r="B2681" t="s">
        <v>5274</v>
      </c>
      <c r="C2681">
        <v>3.97</v>
      </c>
      <c r="D2681">
        <v>8.39</v>
      </c>
      <c r="E2681">
        <v>0.32</v>
      </c>
      <c r="F2681">
        <v>8.39</v>
      </c>
      <c r="G2681">
        <v>8.4</v>
      </c>
      <c r="H2681">
        <v>313815</v>
      </c>
      <c r="I2681">
        <v>2206</v>
      </c>
      <c r="J2681">
        <v>-0.23</v>
      </c>
      <c r="K2681">
        <v>1.11</v>
      </c>
      <c r="L2681">
        <v>26142.07</v>
      </c>
      <c r="M2681" t="s">
        <v>5275</v>
      </c>
      <c r="N2681" t="s">
        <v>189</v>
      </c>
      <c r="O2681">
        <v>8.04</v>
      </c>
      <c r="P2681">
        <v>8.46</v>
      </c>
      <c r="Q2681">
        <v>8.03</v>
      </c>
      <c r="R2681">
        <v>8.07</v>
      </c>
      <c r="S2681">
        <v>5.32</v>
      </c>
      <c r="T2681">
        <v>1.33</v>
      </c>
      <c r="U2681" t="s">
        <v>339</v>
      </c>
    </row>
    <row r="2682" spans="1:21">
      <c r="A2682" t="str">
        <f>"600155"</f>
        <v>600155</v>
      </c>
      <c r="B2682" t="s">
        <v>5276</v>
      </c>
      <c r="C2682">
        <v>1.95</v>
      </c>
      <c r="D2682">
        <v>9.42</v>
      </c>
      <c r="E2682">
        <v>0.18</v>
      </c>
      <c r="F2682">
        <v>9.42</v>
      </c>
      <c r="G2682">
        <v>9.43</v>
      </c>
      <c r="H2682">
        <v>95628</v>
      </c>
      <c r="I2682">
        <v>1420</v>
      </c>
      <c r="J2682">
        <v>-0.1</v>
      </c>
      <c r="K2682">
        <v>0.55</v>
      </c>
      <c r="L2682">
        <v>8968.86</v>
      </c>
      <c r="M2682" t="s">
        <v>5277</v>
      </c>
      <c r="N2682" t="s">
        <v>213</v>
      </c>
      <c r="O2682">
        <v>9.24</v>
      </c>
      <c r="P2682">
        <v>9.49</v>
      </c>
      <c r="Q2682">
        <v>9.24</v>
      </c>
      <c r="R2682">
        <v>9.24</v>
      </c>
      <c r="S2682">
        <v>23.37</v>
      </c>
      <c r="T2682">
        <v>1.32</v>
      </c>
      <c r="U2682" t="s">
        <v>44</v>
      </c>
    </row>
    <row r="2683" spans="1:21">
      <c r="A2683" t="str">
        <f>"600156"</f>
        <v>600156</v>
      </c>
      <c r="B2683" t="s">
        <v>5278</v>
      </c>
      <c r="C2683">
        <v>1.02</v>
      </c>
      <c r="D2683">
        <v>3.95</v>
      </c>
      <c r="E2683">
        <v>0.04</v>
      </c>
      <c r="F2683">
        <v>3.94</v>
      </c>
      <c r="G2683">
        <v>3.95</v>
      </c>
      <c r="H2683">
        <v>20951</v>
      </c>
      <c r="I2683">
        <v>182</v>
      </c>
      <c r="J2683">
        <v>0</v>
      </c>
      <c r="K2683">
        <v>0.52</v>
      </c>
      <c r="L2683">
        <v>824.27</v>
      </c>
      <c r="M2683" t="s">
        <v>2669</v>
      </c>
      <c r="N2683" t="s">
        <v>664</v>
      </c>
      <c r="O2683">
        <v>3.9</v>
      </c>
      <c r="P2683">
        <v>3.99</v>
      </c>
      <c r="Q2683">
        <v>3.85</v>
      </c>
      <c r="R2683">
        <v>3.91</v>
      </c>
      <c r="S2683" t="s">
        <v>40</v>
      </c>
      <c r="T2683">
        <v>0.79</v>
      </c>
      <c r="U2683" t="s">
        <v>204</v>
      </c>
    </row>
    <row r="2684" spans="1:21">
      <c r="A2684" t="str">
        <f>"600157"</f>
        <v>600157</v>
      </c>
      <c r="B2684" t="s">
        <v>5279</v>
      </c>
      <c r="C2684">
        <v>-0.55</v>
      </c>
      <c r="D2684">
        <v>1.81</v>
      </c>
      <c r="E2684">
        <v>-0.01</v>
      </c>
      <c r="F2684">
        <v>1.81</v>
      </c>
      <c r="G2684">
        <v>1.82</v>
      </c>
      <c r="H2684">
        <v>2080901</v>
      </c>
      <c r="I2684">
        <v>44415</v>
      </c>
      <c r="J2684">
        <v>-0.54</v>
      </c>
      <c r="K2684">
        <v>0.94</v>
      </c>
      <c r="L2684">
        <v>37481.13</v>
      </c>
      <c r="M2684" t="s">
        <v>5280</v>
      </c>
      <c r="N2684" t="s">
        <v>83</v>
      </c>
      <c r="O2684">
        <v>1.81</v>
      </c>
      <c r="P2684">
        <v>1.82</v>
      </c>
      <c r="Q2684">
        <v>1.78</v>
      </c>
      <c r="R2684">
        <v>1.82</v>
      </c>
      <c r="S2684">
        <v>42.13</v>
      </c>
      <c r="T2684">
        <v>0.63</v>
      </c>
      <c r="U2684" t="s">
        <v>232</v>
      </c>
    </row>
    <row r="2685" spans="1:21">
      <c r="A2685" t="str">
        <f>"600158"</f>
        <v>600158</v>
      </c>
      <c r="B2685" t="s">
        <v>5281</v>
      </c>
      <c r="C2685">
        <v>-0.08</v>
      </c>
      <c r="D2685">
        <v>12.45</v>
      </c>
      <c r="E2685">
        <v>-0.01</v>
      </c>
      <c r="F2685">
        <v>12.44</v>
      </c>
      <c r="G2685">
        <v>12.45</v>
      </c>
      <c r="H2685">
        <v>116152</v>
      </c>
      <c r="I2685">
        <v>2824</v>
      </c>
      <c r="J2685">
        <v>0.08</v>
      </c>
      <c r="K2685">
        <v>1.72</v>
      </c>
      <c r="L2685">
        <v>14473.36</v>
      </c>
      <c r="M2685" t="s">
        <v>4101</v>
      </c>
      <c r="N2685" t="s">
        <v>63</v>
      </c>
      <c r="O2685">
        <v>12.4</v>
      </c>
      <c r="P2685">
        <v>12.55</v>
      </c>
      <c r="Q2685">
        <v>12.39</v>
      </c>
      <c r="R2685">
        <v>12.46</v>
      </c>
      <c r="S2685" t="s">
        <v>40</v>
      </c>
      <c r="T2685">
        <v>0.64</v>
      </c>
      <c r="U2685" t="s">
        <v>360</v>
      </c>
    </row>
    <row r="2686" spans="1:21">
      <c r="A2686" t="str">
        <f>"600159"</f>
        <v>600159</v>
      </c>
      <c r="B2686" t="s">
        <v>5282</v>
      </c>
      <c r="C2686">
        <v>2.15</v>
      </c>
      <c r="D2686">
        <v>2.38</v>
      </c>
      <c r="E2686">
        <v>0.05</v>
      </c>
      <c r="F2686">
        <v>2.37</v>
      </c>
      <c r="G2686">
        <v>2.38</v>
      </c>
      <c r="H2686">
        <v>85239</v>
      </c>
      <c r="I2686">
        <v>2857</v>
      </c>
      <c r="J2686">
        <v>0.42</v>
      </c>
      <c r="K2686">
        <v>1.03</v>
      </c>
      <c r="L2686">
        <v>2007.4</v>
      </c>
      <c r="M2686" t="s">
        <v>5283</v>
      </c>
      <c r="N2686" t="s">
        <v>36</v>
      </c>
      <c r="O2686">
        <v>2.33</v>
      </c>
      <c r="P2686">
        <v>2.43</v>
      </c>
      <c r="Q2686">
        <v>2.3</v>
      </c>
      <c r="R2686">
        <v>2.33</v>
      </c>
      <c r="S2686">
        <v>16.62</v>
      </c>
      <c r="T2686">
        <v>1.8</v>
      </c>
      <c r="U2686" t="s">
        <v>44</v>
      </c>
    </row>
    <row r="2687" spans="1:21">
      <c r="A2687" t="str">
        <f>"600160"</f>
        <v>600160</v>
      </c>
      <c r="B2687" t="s">
        <v>5284</v>
      </c>
      <c r="C2687">
        <v>1.62</v>
      </c>
      <c r="D2687">
        <v>12.55</v>
      </c>
      <c r="E2687">
        <v>0.2</v>
      </c>
      <c r="F2687">
        <v>12.55</v>
      </c>
      <c r="G2687">
        <v>12.56</v>
      </c>
      <c r="H2687">
        <v>402036</v>
      </c>
      <c r="I2687">
        <v>4669</v>
      </c>
      <c r="J2687">
        <v>0.08</v>
      </c>
      <c r="K2687">
        <v>1.49</v>
      </c>
      <c r="L2687">
        <v>50394.33</v>
      </c>
      <c r="M2687" t="s">
        <v>5285</v>
      </c>
      <c r="N2687" t="s">
        <v>309</v>
      </c>
      <c r="O2687">
        <v>12.35</v>
      </c>
      <c r="P2687">
        <v>12.89</v>
      </c>
      <c r="Q2687">
        <v>12.15</v>
      </c>
      <c r="R2687">
        <v>12.35</v>
      </c>
      <c r="S2687">
        <v>98.31</v>
      </c>
      <c r="T2687">
        <v>1.38</v>
      </c>
      <c r="U2687" t="s">
        <v>200</v>
      </c>
    </row>
    <row r="2688" spans="1:21">
      <c r="A2688" t="str">
        <f>"600161"</f>
        <v>600161</v>
      </c>
      <c r="B2688" t="s">
        <v>5286</v>
      </c>
      <c r="C2688">
        <v>-0.26</v>
      </c>
      <c r="D2688">
        <v>30.42</v>
      </c>
      <c r="E2688">
        <v>-0.08</v>
      </c>
      <c r="F2688">
        <v>30.41</v>
      </c>
      <c r="G2688">
        <v>30.42</v>
      </c>
      <c r="H2688">
        <v>50648</v>
      </c>
      <c r="I2688">
        <v>1068</v>
      </c>
      <c r="J2688">
        <v>-0.02</v>
      </c>
      <c r="K2688">
        <v>0.37</v>
      </c>
      <c r="L2688">
        <v>15362.38</v>
      </c>
      <c r="M2688" t="s">
        <v>5287</v>
      </c>
      <c r="N2688" t="s">
        <v>231</v>
      </c>
      <c r="O2688">
        <v>30.32</v>
      </c>
      <c r="P2688">
        <v>30.57</v>
      </c>
      <c r="Q2688">
        <v>30.15</v>
      </c>
      <c r="R2688">
        <v>30.5</v>
      </c>
      <c r="S2688">
        <v>56.14</v>
      </c>
      <c r="T2688">
        <v>0.37</v>
      </c>
      <c r="U2688" t="s">
        <v>44</v>
      </c>
    </row>
    <row r="2689" spans="1:21">
      <c r="A2689" t="str">
        <f>"600162"</f>
        <v>600162</v>
      </c>
      <c r="B2689" t="s">
        <v>5288</v>
      </c>
      <c r="C2689">
        <v>2.03</v>
      </c>
      <c r="D2689">
        <v>2.01</v>
      </c>
      <c r="E2689">
        <v>0.04</v>
      </c>
      <c r="F2689">
        <v>2</v>
      </c>
      <c r="G2689">
        <v>2.01</v>
      </c>
      <c r="H2689">
        <v>84831</v>
      </c>
      <c r="I2689">
        <v>1831</v>
      </c>
      <c r="J2689">
        <v>0</v>
      </c>
      <c r="K2689">
        <v>0.25</v>
      </c>
      <c r="L2689">
        <v>1688.22</v>
      </c>
      <c r="M2689" t="s">
        <v>4555</v>
      </c>
      <c r="N2689" t="s">
        <v>27</v>
      </c>
      <c r="O2689">
        <v>1.96</v>
      </c>
      <c r="P2689">
        <v>2.01</v>
      </c>
      <c r="Q2689">
        <v>1.96</v>
      </c>
      <c r="R2689">
        <v>1.97</v>
      </c>
      <c r="S2689">
        <v>23.39</v>
      </c>
      <c r="T2689">
        <v>0.91</v>
      </c>
      <c r="U2689" t="s">
        <v>24</v>
      </c>
    </row>
    <row r="2690" spans="1:21">
      <c r="A2690" t="str">
        <f>"600163"</f>
        <v>600163</v>
      </c>
      <c r="B2690" t="s">
        <v>5289</v>
      </c>
      <c r="C2690">
        <v>-2.13</v>
      </c>
      <c r="D2690">
        <v>8.74</v>
      </c>
      <c r="E2690">
        <v>-0.19</v>
      </c>
      <c r="F2690">
        <v>8.74</v>
      </c>
      <c r="G2690">
        <v>8.75</v>
      </c>
      <c r="H2690">
        <v>491920</v>
      </c>
      <c r="I2690">
        <v>7111</v>
      </c>
      <c r="J2690">
        <v>0.11</v>
      </c>
      <c r="K2690">
        <v>4.26</v>
      </c>
      <c r="L2690">
        <v>42842.83</v>
      </c>
      <c r="M2690" t="s">
        <v>5290</v>
      </c>
      <c r="N2690" t="s">
        <v>114</v>
      </c>
      <c r="O2690">
        <v>8.81</v>
      </c>
      <c r="P2690">
        <v>8.9</v>
      </c>
      <c r="Q2690">
        <v>8.55</v>
      </c>
      <c r="R2690">
        <v>8.93</v>
      </c>
      <c r="S2690">
        <v>31.98</v>
      </c>
      <c r="T2690">
        <v>0.8</v>
      </c>
      <c r="U2690" t="s">
        <v>339</v>
      </c>
    </row>
    <row r="2691" spans="1:21">
      <c r="A2691" t="str">
        <f>"600165"</f>
        <v>600165</v>
      </c>
      <c r="B2691" t="s">
        <v>5291</v>
      </c>
      <c r="C2691">
        <v>0.55</v>
      </c>
      <c r="D2691">
        <v>9.21</v>
      </c>
      <c r="E2691">
        <v>0.05</v>
      </c>
      <c r="F2691">
        <v>9.2</v>
      </c>
      <c r="G2691">
        <v>9.21</v>
      </c>
      <c r="H2691">
        <v>102729</v>
      </c>
      <c r="I2691">
        <v>1286</v>
      </c>
      <c r="J2691">
        <v>-0.1</v>
      </c>
      <c r="K2691">
        <v>1.5</v>
      </c>
      <c r="L2691">
        <v>9447.05</v>
      </c>
      <c r="M2691" t="s">
        <v>5292</v>
      </c>
      <c r="N2691" t="s">
        <v>309</v>
      </c>
      <c r="O2691">
        <v>9.11</v>
      </c>
      <c r="P2691">
        <v>9.35</v>
      </c>
      <c r="Q2691">
        <v>9.06</v>
      </c>
      <c r="R2691">
        <v>9.16</v>
      </c>
      <c r="S2691" t="s">
        <v>40</v>
      </c>
      <c r="T2691">
        <v>0.72</v>
      </c>
      <c r="U2691" t="s">
        <v>401</v>
      </c>
    </row>
    <row r="2692" spans="1:21">
      <c r="A2692" t="str">
        <f>"600166"</f>
        <v>600166</v>
      </c>
      <c r="B2692" t="s">
        <v>5293</v>
      </c>
      <c r="C2692">
        <v>1.41</v>
      </c>
      <c r="D2692">
        <v>3.59</v>
      </c>
      <c r="E2692">
        <v>0.05</v>
      </c>
      <c r="F2692">
        <v>3.58</v>
      </c>
      <c r="G2692">
        <v>3.59</v>
      </c>
      <c r="H2692">
        <v>986123</v>
      </c>
      <c r="I2692">
        <v>12669</v>
      </c>
      <c r="J2692">
        <v>0.28</v>
      </c>
      <c r="K2692">
        <v>1.5</v>
      </c>
      <c r="L2692">
        <v>35079.25</v>
      </c>
      <c r="M2692" t="s">
        <v>5294</v>
      </c>
      <c r="N2692" t="s">
        <v>385</v>
      </c>
      <c r="O2692">
        <v>3.54</v>
      </c>
      <c r="P2692">
        <v>3.65</v>
      </c>
      <c r="Q2692">
        <v>3.46</v>
      </c>
      <c r="R2692">
        <v>3.54</v>
      </c>
      <c r="S2692">
        <v>60.46</v>
      </c>
      <c r="T2692">
        <v>1.25</v>
      </c>
      <c r="U2692" t="s">
        <v>44</v>
      </c>
    </row>
    <row r="2693" spans="1:21">
      <c r="A2693" t="str">
        <f>"600167"</f>
        <v>600167</v>
      </c>
      <c r="B2693" t="s">
        <v>5295</v>
      </c>
      <c r="C2693">
        <v>-0.24</v>
      </c>
      <c r="D2693">
        <v>8.2</v>
      </c>
      <c r="E2693">
        <v>-0.02</v>
      </c>
      <c r="F2693">
        <v>8.2</v>
      </c>
      <c r="G2693">
        <v>8.21</v>
      </c>
      <c r="H2693">
        <v>37327</v>
      </c>
      <c r="I2693">
        <v>638</v>
      </c>
      <c r="J2693">
        <v>-0.11</v>
      </c>
      <c r="K2693">
        <v>0.16</v>
      </c>
      <c r="L2693">
        <v>3053.96</v>
      </c>
      <c r="M2693" t="s">
        <v>2063</v>
      </c>
      <c r="N2693" t="s">
        <v>238</v>
      </c>
      <c r="O2693">
        <v>8.23</v>
      </c>
      <c r="P2693">
        <v>8.24</v>
      </c>
      <c r="Q2693">
        <v>8.12</v>
      </c>
      <c r="R2693">
        <v>8.22</v>
      </c>
      <c r="S2693">
        <v>19.27</v>
      </c>
      <c r="T2693">
        <v>0.7</v>
      </c>
      <c r="U2693" t="s">
        <v>141</v>
      </c>
    </row>
    <row r="2694" spans="1:21">
      <c r="A2694" t="str">
        <f>"600168"</f>
        <v>600168</v>
      </c>
      <c r="B2694" t="s">
        <v>5296</v>
      </c>
      <c r="C2694">
        <v>-0.16</v>
      </c>
      <c r="D2694">
        <v>6.42</v>
      </c>
      <c r="E2694">
        <v>-0.01</v>
      </c>
      <c r="F2694">
        <v>6.41</v>
      </c>
      <c r="G2694">
        <v>6.42</v>
      </c>
      <c r="H2694">
        <v>18384</v>
      </c>
      <c r="I2694">
        <v>215</v>
      </c>
      <c r="J2694">
        <v>0</v>
      </c>
      <c r="K2694">
        <v>0.26</v>
      </c>
      <c r="L2694">
        <v>1177.74</v>
      </c>
      <c r="M2694" t="s">
        <v>5297</v>
      </c>
      <c r="N2694" t="s">
        <v>465</v>
      </c>
      <c r="O2694">
        <v>6.43</v>
      </c>
      <c r="P2694">
        <v>6.44</v>
      </c>
      <c r="Q2694">
        <v>6.38</v>
      </c>
      <c r="R2694">
        <v>6.43</v>
      </c>
      <c r="S2694">
        <v>16.17</v>
      </c>
      <c r="T2694">
        <v>0.97</v>
      </c>
      <c r="U2694" t="s">
        <v>267</v>
      </c>
    </row>
    <row r="2695" spans="1:21">
      <c r="A2695" t="str">
        <f>"600169"</f>
        <v>600169</v>
      </c>
      <c r="B2695" t="s">
        <v>5298</v>
      </c>
      <c r="C2695">
        <v>3.53</v>
      </c>
      <c r="D2695">
        <v>2.93</v>
      </c>
      <c r="E2695">
        <v>0.1</v>
      </c>
      <c r="F2695">
        <v>2.93</v>
      </c>
      <c r="G2695">
        <v>2.94</v>
      </c>
      <c r="H2695">
        <v>642526</v>
      </c>
      <c r="I2695">
        <v>8035</v>
      </c>
      <c r="J2695">
        <v>-0.33</v>
      </c>
      <c r="K2695">
        <v>2.51</v>
      </c>
      <c r="L2695">
        <v>18475.15</v>
      </c>
      <c r="M2695" t="s">
        <v>5299</v>
      </c>
      <c r="N2695" t="s">
        <v>203</v>
      </c>
      <c r="O2695">
        <v>2.8</v>
      </c>
      <c r="P2695">
        <v>2.94</v>
      </c>
      <c r="Q2695">
        <v>2.76</v>
      </c>
      <c r="R2695">
        <v>2.83</v>
      </c>
      <c r="S2695">
        <v>33.61</v>
      </c>
      <c r="T2695">
        <v>1.72</v>
      </c>
      <c r="U2695" t="s">
        <v>232</v>
      </c>
    </row>
    <row r="2696" spans="1:21">
      <c r="A2696" t="str">
        <f>"600170"</f>
        <v>600170</v>
      </c>
      <c r="B2696" t="s">
        <v>5300</v>
      </c>
      <c r="C2696">
        <v>0</v>
      </c>
      <c r="D2696">
        <v>3.09</v>
      </c>
      <c r="E2696">
        <v>0</v>
      </c>
      <c r="F2696">
        <v>3.08</v>
      </c>
      <c r="G2696">
        <v>3.09</v>
      </c>
      <c r="H2696">
        <v>790221</v>
      </c>
      <c r="I2696">
        <v>8101</v>
      </c>
      <c r="J2696">
        <v>0</v>
      </c>
      <c r="K2696">
        <v>0.89</v>
      </c>
      <c r="L2696">
        <v>24281.73</v>
      </c>
      <c r="M2696" t="s">
        <v>5301</v>
      </c>
      <c r="N2696" t="s">
        <v>50</v>
      </c>
      <c r="O2696">
        <v>3.1</v>
      </c>
      <c r="P2696">
        <v>3.1</v>
      </c>
      <c r="Q2696">
        <v>3.06</v>
      </c>
      <c r="R2696">
        <v>3.09</v>
      </c>
      <c r="S2696">
        <v>6.97</v>
      </c>
      <c r="T2696">
        <v>1.31</v>
      </c>
      <c r="U2696" t="s">
        <v>848</v>
      </c>
    </row>
    <row r="2697" spans="1:21">
      <c r="A2697" t="str">
        <f>"600171"</f>
        <v>600171</v>
      </c>
      <c r="B2697" t="s">
        <v>5302</v>
      </c>
      <c r="C2697">
        <v>2.1</v>
      </c>
      <c r="D2697">
        <v>27.77</v>
      </c>
      <c r="E2697">
        <v>0.57</v>
      </c>
      <c r="F2697">
        <v>27.77</v>
      </c>
      <c r="G2697">
        <v>27.78</v>
      </c>
      <c r="H2697">
        <v>325051</v>
      </c>
      <c r="I2697">
        <v>2665</v>
      </c>
      <c r="J2697">
        <v>0</v>
      </c>
      <c r="K2697">
        <v>4.64</v>
      </c>
      <c r="L2697">
        <v>90465.09</v>
      </c>
      <c r="M2697" t="s">
        <v>5303</v>
      </c>
      <c r="N2697" t="s">
        <v>1246</v>
      </c>
      <c r="O2697">
        <v>27.4</v>
      </c>
      <c r="P2697">
        <v>28.14</v>
      </c>
      <c r="Q2697">
        <v>27.11</v>
      </c>
      <c r="R2697">
        <v>27.2</v>
      </c>
      <c r="S2697">
        <v>29.27</v>
      </c>
      <c r="T2697">
        <v>1.28</v>
      </c>
      <c r="U2697" t="s">
        <v>848</v>
      </c>
    </row>
    <row r="2698" spans="1:21">
      <c r="A2698" t="str">
        <f>"600172"</f>
        <v>600172</v>
      </c>
      <c r="B2698" t="s">
        <v>5304</v>
      </c>
      <c r="C2698">
        <v>-0.35</v>
      </c>
      <c r="D2698">
        <v>11.24</v>
      </c>
      <c r="E2698">
        <v>-0.04</v>
      </c>
      <c r="F2698">
        <v>11.24</v>
      </c>
      <c r="G2698">
        <v>11.25</v>
      </c>
      <c r="H2698">
        <v>591515</v>
      </c>
      <c r="I2698">
        <v>6283</v>
      </c>
      <c r="J2698">
        <v>0</v>
      </c>
      <c r="K2698">
        <v>4.83</v>
      </c>
      <c r="L2698">
        <v>66441.24</v>
      </c>
      <c r="M2698" t="s">
        <v>5305</v>
      </c>
      <c r="N2698" t="s">
        <v>750</v>
      </c>
      <c r="O2698">
        <v>11.18</v>
      </c>
      <c r="P2698">
        <v>11.4</v>
      </c>
      <c r="Q2698">
        <v>11.02</v>
      </c>
      <c r="R2698">
        <v>11.28</v>
      </c>
      <c r="S2698">
        <v>300.25</v>
      </c>
      <c r="T2698">
        <v>0.47</v>
      </c>
      <c r="U2698" t="s">
        <v>224</v>
      </c>
    </row>
    <row r="2699" spans="1:21">
      <c r="A2699" t="str">
        <f>"600173"</f>
        <v>600173</v>
      </c>
      <c r="B2699" t="s">
        <v>5306</v>
      </c>
      <c r="C2699">
        <v>-0.18</v>
      </c>
      <c r="D2699">
        <v>5.59</v>
      </c>
      <c r="E2699">
        <v>-0.01</v>
      </c>
      <c r="F2699">
        <v>5.58</v>
      </c>
      <c r="G2699">
        <v>5.59</v>
      </c>
      <c r="H2699">
        <v>103049</v>
      </c>
      <c r="I2699">
        <v>1746</v>
      </c>
      <c r="J2699">
        <v>0.18</v>
      </c>
      <c r="K2699">
        <v>1.47</v>
      </c>
      <c r="L2699">
        <v>5764.54</v>
      </c>
      <c r="M2699" t="s">
        <v>5307</v>
      </c>
      <c r="N2699" t="s">
        <v>27</v>
      </c>
      <c r="O2699">
        <v>5.54</v>
      </c>
      <c r="P2699">
        <v>5.79</v>
      </c>
      <c r="Q2699">
        <v>5.5</v>
      </c>
      <c r="R2699">
        <v>5.6</v>
      </c>
      <c r="S2699">
        <v>7.01</v>
      </c>
      <c r="T2699">
        <v>1.3</v>
      </c>
      <c r="U2699" t="s">
        <v>200</v>
      </c>
    </row>
    <row r="2700" spans="1:21">
      <c r="A2700" t="str">
        <f>"600176"</f>
        <v>600176</v>
      </c>
      <c r="B2700" t="s">
        <v>5308</v>
      </c>
      <c r="C2700">
        <v>1.23</v>
      </c>
      <c r="D2700">
        <v>17.3</v>
      </c>
      <c r="E2700">
        <v>0.21</v>
      </c>
      <c r="F2700">
        <v>17.29</v>
      </c>
      <c r="G2700">
        <v>17.3</v>
      </c>
      <c r="H2700">
        <v>426199</v>
      </c>
      <c r="I2700">
        <v>4650</v>
      </c>
      <c r="J2700">
        <v>0</v>
      </c>
      <c r="K2700">
        <v>1.06</v>
      </c>
      <c r="L2700">
        <v>73176.99</v>
      </c>
      <c r="M2700" t="s">
        <v>5309</v>
      </c>
      <c r="N2700" t="s">
        <v>55</v>
      </c>
      <c r="O2700">
        <v>17.1</v>
      </c>
      <c r="P2700">
        <v>17.37</v>
      </c>
      <c r="Q2700">
        <v>16.9</v>
      </c>
      <c r="R2700">
        <v>17.09</v>
      </c>
      <c r="S2700">
        <v>12.07</v>
      </c>
      <c r="T2700">
        <v>0.83</v>
      </c>
      <c r="U2700" t="s">
        <v>200</v>
      </c>
    </row>
    <row r="2701" spans="1:21">
      <c r="A2701" t="str">
        <f>"600177"</f>
        <v>600177</v>
      </c>
      <c r="B2701" t="s">
        <v>5310</v>
      </c>
      <c r="C2701">
        <v>0.91</v>
      </c>
      <c r="D2701">
        <v>6.64</v>
      </c>
      <c r="E2701">
        <v>0.06</v>
      </c>
      <c r="F2701">
        <v>6.63</v>
      </c>
      <c r="G2701">
        <v>6.64</v>
      </c>
      <c r="H2701">
        <v>85133</v>
      </c>
      <c r="I2701">
        <v>3440</v>
      </c>
      <c r="J2701">
        <v>-0.29</v>
      </c>
      <c r="K2701">
        <v>0.19</v>
      </c>
      <c r="L2701">
        <v>5635.58</v>
      </c>
      <c r="M2701" t="s">
        <v>5311</v>
      </c>
      <c r="N2701" t="s">
        <v>1061</v>
      </c>
      <c r="O2701">
        <v>6.58</v>
      </c>
      <c r="P2701">
        <v>6.67</v>
      </c>
      <c r="Q2701">
        <v>6.57</v>
      </c>
      <c r="R2701">
        <v>6.58</v>
      </c>
      <c r="S2701">
        <v>6.1</v>
      </c>
      <c r="T2701">
        <v>1.16</v>
      </c>
      <c r="U2701" t="s">
        <v>200</v>
      </c>
    </row>
    <row r="2702" spans="1:21">
      <c r="A2702" t="str">
        <f>"600178"</f>
        <v>600178</v>
      </c>
      <c r="B2702" t="s">
        <v>5312</v>
      </c>
      <c r="C2702">
        <v>3.02</v>
      </c>
      <c r="D2702">
        <v>8.2</v>
      </c>
      <c r="E2702">
        <v>0.24</v>
      </c>
      <c r="F2702">
        <v>8.19</v>
      </c>
      <c r="G2702">
        <v>8.2</v>
      </c>
      <c r="H2702">
        <v>130383</v>
      </c>
      <c r="I2702">
        <v>1045</v>
      </c>
      <c r="J2702">
        <v>0.12</v>
      </c>
      <c r="K2702">
        <v>2.82</v>
      </c>
      <c r="L2702">
        <v>10623.13</v>
      </c>
      <c r="M2702" t="s">
        <v>5313</v>
      </c>
      <c r="N2702" t="s">
        <v>91</v>
      </c>
      <c r="O2702">
        <v>8.05</v>
      </c>
      <c r="P2702">
        <v>8.24</v>
      </c>
      <c r="Q2702">
        <v>7.94</v>
      </c>
      <c r="R2702">
        <v>7.96</v>
      </c>
      <c r="S2702">
        <v>19.1</v>
      </c>
      <c r="T2702">
        <v>1.35</v>
      </c>
      <c r="U2702" t="s">
        <v>445</v>
      </c>
    </row>
    <row r="2703" spans="1:21">
      <c r="A2703" t="str">
        <f>"600179"</f>
        <v>600179</v>
      </c>
      <c r="B2703" t="s">
        <v>5314</v>
      </c>
      <c r="C2703">
        <v>0</v>
      </c>
      <c r="D2703">
        <v>3.84</v>
      </c>
      <c r="E2703">
        <v>0</v>
      </c>
      <c r="F2703">
        <v>3.83</v>
      </c>
      <c r="G2703">
        <v>3.84</v>
      </c>
      <c r="H2703">
        <v>70847</v>
      </c>
      <c r="I2703">
        <v>2125</v>
      </c>
      <c r="J2703">
        <v>0.26</v>
      </c>
      <c r="K2703">
        <v>0.2</v>
      </c>
      <c r="L2703">
        <v>2707.55</v>
      </c>
      <c r="M2703" t="s">
        <v>5315</v>
      </c>
      <c r="N2703" t="s">
        <v>1049</v>
      </c>
      <c r="O2703">
        <v>3.85</v>
      </c>
      <c r="P2703">
        <v>3.87</v>
      </c>
      <c r="Q2703">
        <v>3.78</v>
      </c>
      <c r="R2703">
        <v>3.84</v>
      </c>
      <c r="S2703">
        <v>17.1</v>
      </c>
      <c r="T2703">
        <v>1.51</v>
      </c>
      <c r="U2703" t="s">
        <v>445</v>
      </c>
    </row>
    <row r="2704" spans="1:21">
      <c r="A2704" t="str">
        <f>"600180"</f>
        <v>600180</v>
      </c>
      <c r="B2704" t="s">
        <v>5316</v>
      </c>
      <c r="C2704">
        <v>1.11</v>
      </c>
      <c r="D2704">
        <v>6.36</v>
      </c>
      <c r="E2704">
        <v>0.07</v>
      </c>
      <c r="F2704">
        <v>6.35</v>
      </c>
      <c r="G2704">
        <v>6.36</v>
      </c>
      <c r="H2704">
        <v>49609</v>
      </c>
      <c r="I2704">
        <v>1834</v>
      </c>
      <c r="J2704">
        <v>0.47</v>
      </c>
      <c r="K2704">
        <v>0.49</v>
      </c>
      <c r="L2704">
        <v>3123.8</v>
      </c>
      <c r="M2704" t="s">
        <v>5317</v>
      </c>
      <c r="N2704" t="s">
        <v>1049</v>
      </c>
      <c r="O2704">
        <v>6.32</v>
      </c>
      <c r="P2704">
        <v>6.36</v>
      </c>
      <c r="Q2704">
        <v>6.2</v>
      </c>
      <c r="R2704">
        <v>6.29</v>
      </c>
      <c r="S2704">
        <v>8.76</v>
      </c>
      <c r="T2704">
        <v>0.87</v>
      </c>
      <c r="U2704" t="s">
        <v>221</v>
      </c>
    </row>
    <row r="2705" spans="1:21">
      <c r="A2705" t="str">
        <f>"600182"</f>
        <v>600182</v>
      </c>
      <c r="B2705" t="s">
        <v>5318</v>
      </c>
      <c r="C2705">
        <v>2.71</v>
      </c>
      <c r="D2705">
        <v>13.66</v>
      </c>
      <c r="E2705">
        <v>0.36</v>
      </c>
      <c r="F2705">
        <v>13.66</v>
      </c>
      <c r="G2705">
        <v>13.67</v>
      </c>
      <c r="H2705">
        <v>14759</v>
      </c>
      <c r="I2705">
        <v>672</v>
      </c>
      <c r="J2705">
        <v>-0.28</v>
      </c>
      <c r="K2705">
        <v>0.87</v>
      </c>
      <c r="L2705">
        <v>1991.95</v>
      </c>
      <c r="M2705" t="s">
        <v>3963</v>
      </c>
      <c r="N2705" t="s">
        <v>91</v>
      </c>
      <c r="O2705">
        <v>13.3</v>
      </c>
      <c r="P2705">
        <v>13.74</v>
      </c>
      <c r="Q2705">
        <v>13.26</v>
      </c>
      <c r="R2705">
        <v>13.3</v>
      </c>
      <c r="S2705">
        <v>112.42</v>
      </c>
      <c r="T2705">
        <v>1.54</v>
      </c>
      <c r="U2705" t="s">
        <v>445</v>
      </c>
    </row>
    <row r="2706" spans="1:21">
      <c r="A2706" t="str">
        <f>"600183"</f>
        <v>600183</v>
      </c>
      <c r="B2706" t="s">
        <v>5319</v>
      </c>
      <c r="C2706">
        <v>0.53</v>
      </c>
      <c r="D2706">
        <v>24.78</v>
      </c>
      <c r="E2706">
        <v>0.13</v>
      </c>
      <c r="F2706">
        <v>24.77</v>
      </c>
      <c r="G2706">
        <v>24.78</v>
      </c>
      <c r="H2706">
        <v>325676</v>
      </c>
      <c r="I2706">
        <v>2902</v>
      </c>
      <c r="J2706">
        <v>0</v>
      </c>
      <c r="K2706">
        <v>1.41</v>
      </c>
      <c r="L2706">
        <v>80388.47</v>
      </c>
      <c r="M2706" t="s">
        <v>5320</v>
      </c>
      <c r="N2706" t="s">
        <v>69</v>
      </c>
      <c r="O2706">
        <v>24.7</v>
      </c>
      <c r="P2706">
        <v>24.85</v>
      </c>
      <c r="Q2706">
        <v>24.41</v>
      </c>
      <c r="R2706">
        <v>24.65</v>
      </c>
      <c r="S2706">
        <v>18.35</v>
      </c>
      <c r="T2706">
        <v>0.85</v>
      </c>
      <c r="U2706" t="s">
        <v>183</v>
      </c>
    </row>
    <row r="2707" spans="1:21">
      <c r="A2707" t="str">
        <f>"600184"</f>
        <v>600184</v>
      </c>
      <c r="B2707" t="s">
        <v>5321</v>
      </c>
      <c r="C2707">
        <v>1.65</v>
      </c>
      <c r="D2707">
        <v>12.33</v>
      </c>
      <c r="E2707">
        <v>0.2</v>
      </c>
      <c r="F2707">
        <v>12.33</v>
      </c>
      <c r="G2707">
        <v>12.34</v>
      </c>
      <c r="H2707">
        <v>81481</v>
      </c>
      <c r="I2707">
        <v>963</v>
      </c>
      <c r="J2707">
        <v>0.16</v>
      </c>
      <c r="K2707">
        <v>1.6</v>
      </c>
      <c r="L2707">
        <v>9979.46</v>
      </c>
      <c r="M2707" t="s">
        <v>5322</v>
      </c>
      <c r="N2707" t="s">
        <v>324</v>
      </c>
      <c r="O2707">
        <v>12.09</v>
      </c>
      <c r="P2707">
        <v>12.38</v>
      </c>
      <c r="Q2707">
        <v>12.02</v>
      </c>
      <c r="R2707">
        <v>12.13</v>
      </c>
      <c r="S2707">
        <v>102.55</v>
      </c>
      <c r="T2707">
        <v>0.88</v>
      </c>
      <c r="U2707" t="s">
        <v>267</v>
      </c>
    </row>
    <row r="2708" spans="1:21">
      <c r="A2708" t="str">
        <f>"600185"</f>
        <v>600185</v>
      </c>
      <c r="B2708" t="s">
        <v>5323</v>
      </c>
      <c r="C2708">
        <v>0.81</v>
      </c>
      <c r="D2708">
        <v>6.2</v>
      </c>
      <c r="E2708">
        <v>0.05</v>
      </c>
      <c r="F2708">
        <v>6.2</v>
      </c>
      <c r="G2708">
        <v>6.21</v>
      </c>
      <c r="H2708">
        <v>344989</v>
      </c>
      <c r="I2708">
        <v>2949</v>
      </c>
      <c r="J2708">
        <v>0.16</v>
      </c>
      <c r="K2708">
        <v>1.77</v>
      </c>
      <c r="L2708">
        <v>21205.33</v>
      </c>
      <c r="M2708" t="s">
        <v>5324</v>
      </c>
      <c r="N2708" t="s">
        <v>36</v>
      </c>
      <c r="O2708">
        <v>6.15</v>
      </c>
      <c r="P2708">
        <v>6.3</v>
      </c>
      <c r="Q2708">
        <v>6</v>
      </c>
      <c r="R2708">
        <v>6.15</v>
      </c>
      <c r="S2708">
        <v>14.12</v>
      </c>
      <c r="T2708">
        <v>1.51</v>
      </c>
      <c r="U2708" t="s">
        <v>183</v>
      </c>
    </row>
    <row r="2709" spans="1:21">
      <c r="A2709" t="str">
        <f>"600186"</f>
        <v>600186</v>
      </c>
      <c r="B2709" t="s">
        <v>5325</v>
      </c>
      <c r="C2709">
        <v>0.69</v>
      </c>
      <c r="D2709">
        <v>2.91</v>
      </c>
      <c r="E2709">
        <v>0.02</v>
      </c>
      <c r="F2709">
        <v>2.91</v>
      </c>
      <c r="G2709">
        <v>2.92</v>
      </c>
      <c r="H2709">
        <v>114708</v>
      </c>
      <c r="I2709">
        <v>5008</v>
      </c>
      <c r="J2709">
        <v>0</v>
      </c>
      <c r="K2709">
        <v>0.83</v>
      </c>
      <c r="L2709">
        <v>3334.24</v>
      </c>
      <c r="M2709" t="s">
        <v>5326</v>
      </c>
      <c r="N2709" t="s">
        <v>299</v>
      </c>
      <c r="O2709">
        <v>2.9</v>
      </c>
      <c r="P2709">
        <v>2.93</v>
      </c>
      <c r="Q2709">
        <v>2.88</v>
      </c>
      <c r="R2709">
        <v>2.89</v>
      </c>
      <c r="S2709">
        <v>106.67</v>
      </c>
      <c r="T2709">
        <v>0.74</v>
      </c>
      <c r="U2709" t="s">
        <v>224</v>
      </c>
    </row>
    <row r="2710" spans="1:21">
      <c r="A2710" t="str">
        <f>"600187"</f>
        <v>600187</v>
      </c>
      <c r="B2710" t="s">
        <v>5327</v>
      </c>
      <c r="C2710">
        <v>1.28</v>
      </c>
      <c r="D2710">
        <v>2.37</v>
      </c>
      <c r="E2710">
        <v>0.03</v>
      </c>
      <c r="F2710">
        <v>2.36</v>
      </c>
      <c r="G2710">
        <v>2.37</v>
      </c>
      <c r="H2710">
        <v>142105</v>
      </c>
      <c r="I2710">
        <v>1091</v>
      </c>
      <c r="J2710">
        <v>0.42</v>
      </c>
      <c r="K2710">
        <v>0.86</v>
      </c>
      <c r="L2710">
        <v>3347.67</v>
      </c>
      <c r="M2710" t="s">
        <v>5328</v>
      </c>
      <c r="N2710" t="s">
        <v>465</v>
      </c>
      <c r="O2710">
        <v>2.35</v>
      </c>
      <c r="P2710">
        <v>2.38</v>
      </c>
      <c r="Q2710">
        <v>2.32</v>
      </c>
      <c r="R2710">
        <v>2.34</v>
      </c>
      <c r="S2710">
        <v>397.34</v>
      </c>
      <c r="T2710">
        <v>1.33</v>
      </c>
      <c r="U2710" t="s">
        <v>445</v>
      </c>
    </row>
    <row r="2711" spans="1:21">
      <c r="A2711" t="str">
        <f>"600188"</f>
        <v>600188</v>
      </c>
      <c r="B2711" t="s">
        <v>5329</v>
      </c>
      <c r="C2711">
        <v>1.2</v>
      </c>
      <c r="D2711">
        <v>22.76</v>
      </c>
      <c r="E2711">
        <v>0.27</v>
      </c>
      <c r="F2711">
        <v>22.76</v>
      </c>
      <c r="G2711">
        <v>22.77</v>
      </c>
      <c r="H2711">
        <v>349262</v>
      </c>
      <c r="I2711">
        <v>3227</v>
      </c>
      <c r="J2711">
        <v>-0.12</v>
      </c>
      <c r="K2711">
        <v>1.17</v>
      </c>
      <c r="L2711">
        <v>78362.99</v>
      </c>
      <c r="M2711" t="s">
        <v>5330</v>
      </c>
      <c r="N2711" t="s">
        <v>390</v>
      </c>
      <c r="O2711">
        <v>22.45</v>
      </c>
      <c r="P2711">
        <v>23.18</v>
      </c>
      <c r="Q2711">
        <v>21.63</v>
      </c>
      <c r="R2711">
        <v>22.49</v>
      </c>
      <c r="S2711">
        <v>7.22</v>
      </c>
      <c r="T2711">
        <v>1.28</v>
      </c>
      <c r="U2711" t="s">
        <v>221</v>
      </c>
    </row>
    <row r="2712" spans="1:21">
      <c r="A2712" t="str">
        <f>"600189"</f>
        <v>600189</v>
      </c>
      <c r="B2712" t="s">
        <v>5331</v>
      </c>
      <c r="C2712">
        <v>0.13</v>
      </c>
      <c r="D2712">
        <v>7.74</v>
      </c>
      <c r="E2712">
        <v>0.01</v>
      </c>
      <c r="F2712">
        <v>7.74</v>
      </c>
      <c r="G2712">
        <v>7.75</v>
      </c>
      <c r="H2712">
        <v>62551</v>
      </c>
      <c r="I2712">
        <v>1836</v>
      </c>
      <c r="J2712">
        <v>0</v>
      </c>
      <c r="K2712">
        <v>0.91</v>
      </c>
      <c r="L2712">
        <v>4839.87</v>
      </c>
      <c r="M2712" t="s">
        <v>5332</v>
      </c>
      <c r="N2712" t="s">
        <v>825</v>
      </c>
      <c r="O2712">
        <v>7.71</v>
      </c>
      <c r="P2712">
        <v>7.8</v>
      </c>
      <c r="Q2712">
        <v>7.68</v>
      </c>
      <c r="R2712">
        <v>7.73</v>
      </c>
      <c r="S2712">
        <v>48.21</v>
      </c>
      <c r="T2712">
        <v>0.59</v>
      </c>
      <c r="U2712" t="s">
        <v>92</v>
      </c>
    </row>
    <row r="2713" spans="1:21">
      <c r="A2713" t="str">
        <f>"600190"</f>
        <v>600190</v>
      </c>
      <c r="B2713" t="s">
        <v>5333</v>
      </c>
      <c r="C2713">
        <v>0.74</v>
      </c>
      <c r="D2713">
        <v>2.72</v>
      </c>
      <c r="E2713">
        <v>0.02</v>
      </c>
      <c r="F2713">
        <v>2.72</v>
      </c>
      <c r="G2713">
        <v>2.73</v>
      </c>
      <c r="H2713">
        <v>16602</v>
      </c>
      <c r="I2713">
        <v>356</v>
      </c>
      <c r="J2713">
        <v>-0.36</v>
      </c>
      <c r="K2713">
        <v>0.09</v>
      </c>
      <c r="L2713">
        <v>450.8</v>
      </c>
      <c r="M2713" t="s">
        <v>5334</v>
      </c>
      <c r="N2713" t="s">
        <v>169</v>
      </c>
      <c r="O2713">
        <v>2.71</v>
      </c>
      <c r="P2713">
        <v>2.73</v>
      </c>
      <c r="Q2713">
        <v>2.7</v>
      </c>
      <c r="R2713">
        <v>2.7</v>
      </c>
      <c r="S2713">
        <v>29.3</v>
      </c>
      <c r="T2713">
        <v>0.8</v>
      </c>
      <c r="U2713" t="s">
        <v>141</v>
      </c>
    </row>
    <row r="2714" spans="1:21">
      <c r="A2714" t="str">
        <f>"600191"</f>
        <v>600191</v>
      </c>
      <c r="B2714" t="s">
        <v>5335</v>
      </c>
      <c r="C2714">
        <v>4.99</v>
      </c>
      <c r="D2714">
        <v>4</v>
      </c>
      <c r="E2714">
        <v>0.19</v>
      </c>
      <c r="F2714">
        <v>4</v>
      </c>
      <c r="G2714" t="s">
        <v>40</v>
      </c>
      <c r="H2714">
        <v>10056</v>
      </c>
      <c r="I2714">
        <v>122</v>
      </c>
      <c r="J2714">
        <v>0</v>
      </c>
      <c r="K2714">
        <v>0.21</v>
      </c>
      <c r="L2714">
        <v>402.24</v>
      </c>
      <c r="M2714" t="s">
        <v>5336</v>
      </c>
      <c r="N2714" t="s">
        <v>299</v>
      </c>
      <c r="O2714">
        <v>4</v>
      </c>
      <c r="P2714">
        <v>4</v>
      </c>
      <c r="Q2714">
        <v>4</v>
      </c>
      <c r="R2714">
        <v>3.81</v>
      </c>
      <c r="S2714">
        <v>164.83</v>
      </c>
      <c r="T2714">
        <v>0.16</v>
      </c>
      <c r="U2714" t="s">
        <v>275</v>
      </c>
    </row>
    <row r="2715" spans="1:21">
      <c r="A2715" t="str">
        <f>"600192"</f>
        <v>600192</v>
      </c>
      <c r="B2715" t="s">
        <v>5337</v>
      </c>
      <c r="C2715">
        <v>0.66</v>
      </c>
      <c r="D2715">
        <v>4.55</v>
      </c>
      <c r="E2715">
        <v>0.03</v>
      </c>
      <c r="F2715">
        <v>4.55</v>
      </c>
      <c r="G2715">
        <v>4.56</v>
      </c>
      <c r="H2715">
        <v>37530</v>
      </c>
      <c r="I2715">
        <v>291</v>
      </c>
      <c r="J2715">
        <v>0</v>
      </c>
      <c r="K2715">
        <v>0.85</v>
      </c>
      <c r="L2715">
        <v>1695.41</v>
      </c>
      <c r="M2715" t="s">
        <v>3092</v>
      </c>
      <c r="N2715" t="s">
        <v>47</v>
      </c>
      <c r="O2715">
        <v>4.5</v>
      </c>
      <c r="P2715">
        <v>4.57</v>
      </c>
      <c r="Q2715">
        <v>4.45</v>
      </c>
      <c r="R2715">
        <v>4.52</v>
      </c>
      <c r="S2715" t="s">
        <v>40</v>
      </c>
      <c r="T2715">
        <v>0.92</v>
      </c>
      <c r="U2715" t="s">
        <v>391</v>
      </c>
    </row>
    <row r="2716" spans="1:21">
      <c r="A2716" t="str">
        <f>"600193"</f>
        <v>600193</v>
      </c>
      <c r="B2716" t="s">
        <v>5338</v>
      </c>
      <c r="C2716">
        <v>-0.12</v>
      </c>
      <c r="D2716">
        <v>8.09</v>
      </c>
      <c r="E2716">
        <v>-0.01</v>
      </c>
      <c r="F2716">
        <v>8.09</v>
      </c>
      <c r="G2716">
        <v>8.1</v>
      </c>
      <c r="H2716">
        <v>21896</v>
      </c>
      <c r="I2716">
        <v>111</v>
      </c>
      <c r="J2716">
        <v>0.12</v>
      </c>
      <c r="K2716">
        <v>0.51</v>
      </c>
      <c r="L2716">
        <v>1766.02</v>
      </c>
      <c r="M2716" t="s">
        <v>5339</v>
      </c>
      <c r="N2716" t="s">
        <v>1189</v>
      </c>
      <c r="O2716">
        <v>8</v>
      </c>
      <c r="P2716">
        <v>8.17</v>
      </c>
      <c r="Q2716">
        <v>8</v>
      </c>
      <c r="R2716">
        <v>8.1</v>
      </c>
      <c r="S2716">
        <v>123.45</v>
      </c>
      <c r="T2716">
        <v>0.46</v>
      </c>
      <c r="U2716" t="s">
        <v>848</v>
      </c>
    </row>
    <row r="2717" spans="1:21">
      <c r="A2717" t="str">
        <f>"600195"</f>
        <v>600195</v>
      </c>
      <c r="B2717" t="s">
        <v>5340</v>
      </c>
      <c r="C2717">
        <v>2.3</v>
      </c>
      <c r="D2717">
        <v>11.57</v>
      </c>
      <c r="E2717">
        <v>0.26</v>
      </c>
      <c r="F2717">
        <v>11.57</v>
      </c>
      <c r="G2717">
        <v>11.58</v>
      </c>
      <c r="H2717">
        <v>110799</v>
      </c>
      <c r="I2717">
        <v>958</v>
      </c>
      <c r="J2717">
        <v>-0.16</v>
      </c>
      <c r="K2717">
        <v>1.09</v>
      </c>
      <c r="L2717">
        <v>12721.23</v>
      </c>
      <c r="M2717" t="s">
        <v>5341</v>
      </c>
      <c r="N2717" t="s">
        <v>147</v>
      </c>
      <c r="O2717">
        <v>11.21</v>
      </c>
      <c r="P2717">
        <v>11.68</v>
      </c>
      <c r="Q2717">
        <v>11.14</v>
      </c>
      <c r="R2717">
        <v>11.31</v>
      </c>
      <c r="S2717">
        <v>18.97</v>
      </c>
      <c r="T2717">
        <v>1.21</v>
      </c>
      <c r="U2717" t="s">
        <v>44</v>
      </c>
    </row>
    <row r="2718" spans="1:21">
      <c r="A2718" t="str">
        <f>"600196"</f>
        <v>600196</v>
      </c>
      <c r="B2718" t="s">
        <v>5342</v>
      </c>
      <c r="C2718">
        <v>-0.35</v>
      </c>
      <c r="D2718">
        <v>54.15</v>
      </c>
      <c r="E2718">
        <v>-0.19</v>
      </c>
      <c r="F2718">
        <v>54.15</v>
      </c>
      <c r="G2718">
        <v>54.16</v>
      </c>
      <c r="H2718">
        <v>303723</v>
      </c>
      <c r="I2718">
        <v>2665</v>
      </c>
      <c r="J2718">
        <v>-0.05</v>
      </c>
      <c r="K2718">
        <v>1.51</v>
      </c>
      <c r="L2718">
        <v>165783.51</v>
      </c>
      <c r="M2718" t="s">
        <v>5343</v>
      </c>
      <c r="N2718" t="s">
        <v>192</v>
      </c>
      <c r="O2718">
        <v>54.34</v>
      </c>
      <c r="P2718">
        <v>55.48</v>
      </c>
      <c r="Q2718">
        <v>53.9</v>
      </c>
      <c r="R2718">
        <v>54.34</v>
      </c>
      <c r="S2718">
        <v>29.2</v>
      </c>
      <c r="T2718">
        <v>0.69</v>
      </c>
      <c r="U2718" t="s">
        <v>848</v>
      </c>
    </row>
    <row r="2719" spans="1:21">
      <c r="A2719" t="str">
        <f>"600197"</f>
        <v>600197</v>
      </c>
      <c r="B2719" t="s">
        <v>5344</v>
      </c>
      <c r="C2719">
        <v>0.12</v>
      </c>
      <c r="D2719">
        <v>25.37</v>
      </c>
      <c r="E2719">
        <v>0.03</v>
      </c>
      <c r="F2719">
        <v>25.37</v>
      </c>
      <c r="G2719">
        <v>25.38</v>
      </c>
      <c r="H2719">
        <v>101061</v>
      </c>
      <c r="I2719">
        <v>1030</v>
      </c>
      <c r="J2719">
        <v>0</v>
      </c>
      <c r="K2719">
        <v>2.14</v>
      </c>
      <c r="L2719">
        <v>25807.02</v>
      </c>
      <c r="M2719" t="s">
        <v>5345</v>
      </c>
      <c r="N2719" t="s">
        <v>423</v>
      </c>
      <c r="O2719">
        <v>25.15</v>
      </c>
      <c r="P2719">
        <v>25.9</v>
      </c>
      <c r="Q2719">
        <v>25.11</v>
      </c>
      <c r="R2719">
        <v>25.34</v>
      </c>
      <c r="S2719">
        <v>33.7</v>
      </c>
      <c r="T2719">
        <v>1.05</v>
      </c>
      <c r="U2719" t="s">
        <v>210</v>
      </c>
    </row>
    <row r="2720" spans="1:21">
      <c r="A2720" t="str">
        <f>"600198"</f>
        <v>600198</v>
      </c>
      <c r="B2720" t="s">
        <v>5346</v>
      </c>
      <c r="C2720">
        <v>-0.46</v>
      </c>
      <c r="D2720">
        <v>8.63</v>
      </c>
      <c r="E2720">
        <v>-0.04</v>
      </c>
      <c r="F2720">
        <v>8.63</v>
      </c>
      <c r="G2720">
        <v>8.64</v>
      </c>
      <c r="H2720">
        <v>108534</v>
      </c>
      <c r="I2720">
        <v>2911</v>
      </c>
      <c r="J2720">
        <v>0.82</v>
      </c>
      <c r="K2720">
        <v>1.23</v>
      </c>
      <c r="L2720">
        <v>9348.12</v>
      </c>
      <c r="M2720" t="s">
        <v>5347</v>
      </c>
      <c r="N2720" t="s">
        <v>153</v>
      </c>
      <c r="O2720">
        <v>8.6</v>
      </c>
      <c r="P2720">
        <v>8.78</v>
      </c>
      <c r="Q2720">
        <v>8.54</v>
      </c>
      <c r="R2720">
        <v>8.67</v>
      </c>
      <c r="S2720" t="s">
        <v>40</v>
      </c>
      <c r="T2720">
        <v>0.93</v>
      </c>
      <c r="U2720" t="s">
        <v>44</v>
      </c>
    </row>
    <row r="2721" spans="1:21">
      <c r="A2721" t="str">
        <f>"600199"</f>
        <v>600199</v>
      </c>
      <c r="B2721" t="s">
        <v>5348</v>
      </c>
      <c r="C2721">
        <v>-0.12</v>
      </c>
      <c r="D2721">
        <v>16.65</v>
      </c>
      <c r="E2721">
        <v>-0.02</v>
      </c>
      <c r="F2721">
        <v>16.65</v>
      </c>
      <c r="G2721">
        <v>16.66</v>
      </c>
      <c r="H2721">
        <v>269185</v>
      </c>
      <c r="I2721">
        <v>4191</v>
      </c>
      <c r="J2721">
        <v>0</v>
      </c>
      <c r="K2721">
        <v>4.44</v>
      </c>
      <c r="L2721">
        <v>44997.7</v>
      </c>
      <c r="M2721" t="s">
        <v>5349</v>
      </c>
      <c r="N2721" t="s">
        <v>423</v>
      </c>
      <c r="O2721">
        <v>16.6</v>
      </c>
      <c r="P2721">
        <v>16.99</v>
      </c>
      <c r="Q2721">
        <v>16.52</v>
      </c>
      <c r="R2721">
        <v>16.67</v>
      </c>
      <c r="S2721" t="s">
        <v>40</v>
      </c>
      <c r="T2721">
        <v>0.75</v>
      </c>
      <c r="U2721" t="s">
        <v>193</v>
      </c>
    </row>
    <row r="2722" spans="1:21">
      <c r="A2722" t="str">
        <f>"600200"</f>
        <v>600200</v>
      </c>
      <c r="B2722" t="s">
        <v>5350</v>
      </c>
      <c r="C2722">
        <v>0</v>
      </c>
      <c r="D2722">
        <v>7.09</v>
      </c>
      <c r="E2722">
        <v>0</v>
      </c>
      <c r="F2722">
        <v>7.09</v>
      </c>
      <c r="G2722">
        <v>7.1</v>
      </c>
      <c r="H2722">
        <v>59531</v>
      </c>
      <c r="I2722">
        <v>1030</v>
      </c>
      <c r="J2722">
        <v>-0.13</v>
      </c>
      <c r="K2722">
        <v>0.84</v>
      </c>
      <c r="L2722">
        <v>4223.61</v>
      </c>
      <c r="M2722" t="s">
        <v>5351</v>
      </c>
      <c r="N2722" t="s">
        <v>192</v>
      </c>
      <c r="O2722">
        <v>7.08</v>
      </c>
      <c r="P2722">
        <v>7.13</v>
      </c>
      <c r="Q2722">
        <v>7.06</v>
      </c>
      <c r="R2722">
        <v>7.09</v>
      </c>
      <c r="S2722">
        <v>76.7</v>
      </c>
      <c r="T2722">
        <v>0.53</v>
      </c>
      <c r="U2722" t="s">
        <v>102</v>
      </c>
    </row>
    <row r="2723" spans="1:21">
      <c r="A2723" t="str">
        <f>"600201"</f>
        <v>600201</v>
      </c>
      <c r="B2723" t="s">
        <v>5352</v>
      </c>
      <c r="C2723">
        <v>0.24</v>
      </c>
      <c r="D2723">
        <v>16.43</v>
      </c>
      <c r="E2723">
        <v>0.04</v>
      </c>
      <c r="F2723">
        <v>16.42</v>
      </c>
      <c r="G2723">
        <v>16.43</v>
      </c>
      <c r="H2723">
        <v>80797</v>
      </c>
      <c r="I2723">
        <v>1294</v>
      </c>
      <c r="J2723">
        <v>0</v>
      </c>
      <c r="K2723">
        <v>0.72</v>
      </c>
      <c r="L2723">
        <v>13206.74</v>
      </c>
      <c r="M2723" t="s">
        <v>5353</v>
      </c>
      <c r="N2723" t="s">
        <v>147</v>
      </c>
      <c r="O2723">
        <v>16.34</v>
      </c>
      <c r="P2723">
        <v>16.46</v>
      </c>
      <c r="Q2723">
        <v>16.2</v>
      </c>
      <c r="R2723">
        <v>16.39</v>
      </c>
      <c r="S2723">
        <v>33.15</v>
      </c>
      <c r="T2723">
        <v>0.62</v>
      </c>
      <c r="U2723" t="s">
        <v>275</v>
      </c>
    </row>
    <row r="2724" spans="1:21">
      <c r="A2724" t="str">
        <f>"600202"</f>
        <v>600202</v>
      </c>
      <c r="B2724" t="s">
        <v>5354</v>
      </c>
      <c r="C2724">
        <v>1.4</v>
      </c>
      <c r="D2724">
        <v>4.34</v>
      </c>
      <c r="E2724">
        <v>0.06</v>
      </c>
      <c r="F2724">
        <v>4.34</v>
      </c>
      <c r="G2724">
        <v>4.35</v>
      </c>
      <c r="H2724">
        <v>49069</v>
      </c>
      <c r="I2724">
        <v>2406</v>
      </c>
      <c r="J2724">
        <v>0</v>
      </c>
      <c r="K2724">
        <v>1.28</v>
      </c>
      <c r="L2724">
        <v>2123.73</v>
      </c>
      <c r="M2724" t="s">
        <v>2707</v>
      </c>
      <c r="N2724" t="s">
        <v>47</v>
      </c>
      <c r="O2724">
        <v>4.28</v>
      </c>
      <c r="P2724">
        <v>4.37</v>
      </c>
      <c r="Q2724">
        <v>4.28</v>
      </c>
      <c r="R2724">
        <v>4.28</v>
      </c>
      <c r="S2724">
        <v>22.82</v>
      </c>
      <c r="T2724">
        <v>0.67</v>
      </c>
      <c r="U2724" t="s">
        <v>445</v>
      </c>
    </row>
    <row r="2725" spans="1:21">
      <c r="A2725" t="str">
        <f>"600203"</f>
        <v>600203</v>
      </c>
      <c r="B2725" t="s">
        <v>5355</v>
      </c>
      <c r="C2725">
        <v>-1.27</v>
      </c>
      <c r="D2725">
        <v>10.12</v>
      </c>
      <c r="E2725">
        <v>-0.13</v>
      </c>
      <c r="F2725">
        <v>10.12</v>
      </c>
      <c r="G2725">
        <v>10.13</v>
      </c>
      <c r="H2725">
        <v>130532</v>
      </c>
      <c r="I2725">
        <v>1142</v>
      </c>
      <c r="J2725">
        <v>0</v>
      </c>
      <c r="K2725">
        <v>2.86</v>
      </c>
      <c r="L2725">
        <v>13166.73</v>
      </c>
      <c r="M2725" t="s">
        <v>5356</v>
      </c>
      <c r="N2725" t="s">
        <v>69</v>
      </c>
      <c r="O2725">
        <v>10.39</v>
      </c>
      <c r="P2725">
        <v>10.39</v>
      </c>
      <c r="Q2725">
        <v>9.87</v>
      </c>
      <c r="R2725">
        <v>10.25</v>
      </c>
      <c r="S2725" t="s">
        <v>40</v>
      </c>
      <c r="T2725">
        <v>1.14</v>
      </c>
      <c r="U2725" t="s">
        <v>339</v>
      </c>
    </row>
    <row r="2726" spans="1:21">
      <c r="A2726" t="str">
        <f>"600206"</f>
        <v>600206</v>
      </c>
      <c r="B2726" t="s">
        <v>5357</v>
      </c>
      <c r="C2726">
        <v>4.58</v>
      </c>
      <c r="D2726">
        <v>14.4</v>
      </c>
      <c r="E2726">
        <v>0.63</v>
      </c>
      <c r="F2726">
        <v>14.39</v>
      </c>
      <c r="G2726">
        <v>14.4</v>
      </c>
      <c r="H2726">
        <v>352373</v>
      </c>
      <c r="I2726">
        <v>6953</v>
      </c>
      <c r="J2726">
        <v>0.21</v>
      </c>
      <c r="K2726">
        <v>4.17</v>
      </c>
      <c r="L2726">
        <v>50002.88</v>
      </c>
      <c r="M2726" t="s">
        <v>5358</v>
      </c>
      <c r="N2726" t="s">
        <v>1246</v>
      </c>
      <c r="O2726">
        <v>13.67</v>
      </c>
      <c r="P2726">
        <v>14.42</v>
      </c>
      <c r="Q2726">
        <v>13.67</v>
      </c>
      <c r="R2726">
        <v>13.77</v>
      </c>
      <c r="S2726">
        <v>43.13</v>
      </c>
      <c r="T2726">
        <v>2.18</v>
      </c>
      <c r="U2726" t="s">
        <v>44</v>
      </c>
    </row>
    <row r="2727" spans="1:21">
      <c r="A2727" t="str">
        <f>"600207"</f>
        <v>600207</v>
      </c>
      <c r="B2727" t="s">
        <v>5359</v>
      </c>
      <c r="C2727">
        <v>1.38</v>
      </c>
      <c r="D2727">
        <v>7.34</v>
      </c>
      <c r="E2727">
        <v>0.1</v>
      </c>
      <c r="F2727">
        <v>7.33</v>
      </c>
      <c r="G2727">
        <v>7.34</v>
      </c>
      <c r="H2727">
        <v>60929</v>
      </c>
      <c r="I2727">
        <v>1050</v>
      </c>
      <c r="J2727">
        <v>0</v>
      </c>
      <c r="K2727">
        <v>0.71</v>
      </c>
      <c r="L2727">
        <v>4457.83</v>
      </c>
      <c r="M2727" t="s">
        <v>5360</v>
      </c>
      <c r="N2727" t="s">
        <v>238</v>
      </c>
      <c r="O2727">
        <v>7.24</v>
      </c>
      <c r="P2727">
        <v>7.37</v>
      </c>
      <c r="Q2727">
        <v>7.22</v>
      </c>
      <c r="R2727">
        <v>7.24</v>
      </c>
      <c r="S2727">
        <v>22.99</v>
      </c>
      <c r="T2727">
        <v>1.01</v>
      </c>
      <c r="U2727" t="s">
        <v>224</v>
      </c>
    </row>
    <row r="2728" spans="1:21">
      <c r="A2728" t="str">
        <f>"600208"</f>
        <v>600208</v>
      </c>
      <c r="B2728" t="s">
        <v>5361</v>
      </c>
      <c r="C2728">
        <v>1.74</v>
      </c>
      <c r="D2728">
        <v>2.93</v>
      </c>
      <c r="E2728">
        <v>0.05</v>
      </c>
      <c r="F2728">
        <v>2.92</v>
      </c>
      <c r="G2728">
        <v>2.93</v>
      </c>
      <c r="H2728">
        <v>490033</v>
      </c>
      <c r="I2728">
        <v>14092</v>
      </c>
      <c r="J2728">
        <v>0</v>
      </c>
      <c r="K2728">
        <v>0.57</v>
      </c>
      <c r="L2728">
        <v>14150.28</v>
      </c>
      <c r="M2728" t="s">
        <v>5362</v>
      </c>
      <c r="N2728" t="s">
        <v>27</v>
      </c>
      <c r="O2728">
        <v>2.89</v>
      </c>
      <c r="P2728">
        <v>2.94</v>
      </c>
      <c r="Q2728">
        <v>2.85</v>
      </c>
      <c r="R2728">
        <v>2.88</v>
      </c>
      <c r="S2728">
        <v>9.21</v>
      </c>
      <c r="T2728">
        <v>1.04</v>
      </c>
      <c r="U2728" t="s">
        <v>200</v>
      </c>
    </row>
    <row r="2729" spans="1:21">
      <c r="A2729" t="str">
        <f>"600209"</f>
        <v>600209</v>
      </c>
      <c r="B2729" t="s">
        <v>5363</v>
      </c>
      <c r="C2729">
        <v>4.99</v>
      </c>
      <c r="D2729">
        <v>5.47</v>
      </c>
      <c r="E2729">
        <v>0.26</v>
      </c>
      <c r="F2729">
        <v>5.47</v>
      </c>
      <c r="G2729" t="s">
        <v>40</v>
      </c>
      <c r="H2729">
        <v>7059</v>
      </c>
      <c r="I2729">
        <v>4</v>
      </c>
      <c r="J2729">
        <v>0</v>
      </c>
      <c r="K2729">
        <v>0.16</v>
      </c>
      <c r="L2729">
        <v>386.13</v>
      </c>
      <c r="M2729" t="s">
        <v>3420</v>
      </c>
      <c r="N2729" t="s">
        <v>1189</v>
      </c>
      <c r="O2729">
        <v>5.47</v>
      </c>
      <c r="P2729">
        <v>5.47</v>
      </c>
      <c r="Q2729">
        <v>5.47</v>
      </c>
      <c r="R2729">
        <v>5.21</v>
      </c>
      <c r="S2729" t="s">
        <v>40</v>
      </c>
      <c r="T2729">
        <v>0.19</v>
      </c>
      <c r="U2729" t="s">
        <v>294</v>
      </c>
    </row>
    <row r="2730" spans="1:21">
      <c r="A2730" t="str">
        <f>"600210"</f>
        <v>600210</v>
      </c>
      <c r="B2730" t="s">
        <v>5364</v>
      </c>
      <c r="C2730">
        <v>2.19</v>
      </c>
      <c r="D2730">
        <v>9.82</v>
      </c>
      <c r="E2730">
        <v>0.21</v>
      </c>
      <c r="F2730">
        <v>9.81</v>
      </c>
      <c r="G2730">
        <v>9.82</v>
      </c>
      <c r="H2730">
        <v>294130</v>
      </c>
      <c r="I2730">
        <v>4866</v>
      </c>
      <c r="J2730">
        <v>0.82</v>
      </c>
      <c r="K2730">
        <v>1.94</v>
      </c>
      <c r="L2730">
        <v>28592.52</v>
      </c>
      <c r="M2730" t="s">
        <v>5365</v>
      </c>
      <c r="N2730" t="s">
        <v>482</v>
      </c>
      <c r="O2730">
        <v>9.86</v>
      </c>
      <c r="P2730">
        <v>9.95</v>
      </c>
      <c r="Q2730">
        <v>9.5</v>
      </c>
      <c r="R2730">
        <v>9.61</v>
      </c>
      <c r="S2730">
        <v>25.96</v>
      </c>
      <c r="T2730">
        <v>0.59</v>
      </c>
      <c r="U2730" t="s">
        <v>848</v>
      </c>
    </row>
    <row r="2731" spans="1:21">
      <c r="A2731" t="str">
        <f>"600211"</f>
        <v>600211</v>
      </c>
      <c r="B2731" t="s">
        <v>5366</v>
      </c>
      <c r="C2731">
        <v>0.69</v>
      </c>
      <c r="D2731">
        <v>48.42</v>
      </c>
      <c r="E2731">
        <v>0.33</v>
      </c>
      <c r="F2731">
        <v>48.41</v>
      </c>
      <c r="G2731">
        <v>48.42</v>
      </c>
      <c r="H2731">
        <v>17313</v>
      </c>
      <c r="I2731">
        <v>157</v>
      </c>
      <c r="J2731">
        <v>0.19</v>
      </c>
      <c r="K2731">
        <v>0.7</v>
      </c>
      <c r="L2731">
        <v>8345.84</v>
      </c>
      <c r="M2731" t="s">
        <v>5367</v>
      </c>
      <c r="N2731" t="s">
        <v>270</v>
      </c>
      <c r="O2731">
        <v>48</v>
      </c>
      <c r="P2731">
        <v>48.59</v>
      </c>
      <c r="Q2731">
        <v>47.88</v>
      </c>
      <c r="R2731">
        <v>48.09</v>
      </c>
      <c r="S2731">
        <v>21.52</v>
      </c>
      <c r="T2731">
        <v>0.49</v>
      </c>
      <c r="U2731" t="s">
        <v>694</v>
      </c>
    </row>
    <row r="2732" spans="1:21">
      <c r="A2732" t="str">
        <f>"600212"</f>
        <v>600212</v>
      </c>
      <c r="B2732" t="s">
        <v>5368</v>
      </c>
      <c r="C2732">
        <v>1.23</v>
      </c>
      <c r="D2732">
        <v>4.13</v>
      </c>
      <c r="E2732">
        <v>0.05</v>
      </c>
      <c r="F2732">
        <v>4.13</v>
      </c>
      <c r="G2732">
        <v>4.14</v>
      </c>
      <c r="H2732">
        <v>89711</v>
      </c>
      <c r="I2732">
        <v>2810</v>
      </c>
      <c r="J2732">
        <v>-0.23</v>
      </c>
      <c r="K2732">
        <v>1.75</v>
      </c>
      <c r="L2732">
        <v>3689.96</v>
      </c>
      <c r="M2732" t="s">
        <v>1484</v>
      </c>
      <c r="N2732" t="s">
        <v>99</v>
      </c>
      <c r="O2732">
        <v>4.16</v>
      </c>
      <c r="P2732">
        <v>4.18</v>
      </c>
      <c r="Q2732">
        <v>4.04</v>
      </c>
      <c r="R2732">
        <v>4.08</v>
      </c>
      <c r="S2732" t="s">
        <v>40</v>
      </c>
      <c r="T2732">
        <v>0.44</v>
      </c>
      <c r="U2732" t="s">
        <v>221</v>
      </c>
    </row>
    <row r="2733" spans="1:21">
      <c r="A2733" t="str">
        <f>"600213"</f>
        <v>600213</v>
      </c>
      <c r="B2733" t="s">
        <v>5369</v>
      </c>
      <c r="C2733">
        <v>2.84</v>
      </c>
      <c r="D2733">
        <v>7.61</v>
      </c>
      <c r="E2733">
        <v>0.21</v>
      </c>
      <c r="F2733">
        <v>7.61</v>
      </c>
      <c r="G2733">
        <v>7.62</v>
      </c>
      <c r="H2733">
        <v>33716</v>
      </c>
      <c r="I2733">
        <v>527</v>
      </c>
      <c r="J2733">
        <v>0</v>
      </c>
      <c r="K2733">
        <v>1.53</v>
      </c>
      <c r="L2733">
        <v>2544.48</v>
      </c>
      <c r="M2733" t="s">
        <v>2837</v>
      </c>
      <c r="N2733" t="s">
        <v>385</v>
      </c>
      <c r="O2733">
        <v>7.4</v>
      </c>
      <c r="P2733">
        <v>7.68</v>
      </c>
      <c r="Q2733">
        <v>7.35</v>
      </c>
      <c r="R2733">
        <v>7.4</v>
      </c>
      <c r="S2733" t="s">
        <v>40</v>
      </c>
      <c r="T2733">
        <v>1.28</v>
      </c>
      <c r="U2733" t="s">
        <v>102</v>
      </c>
    </row>
    <row r="2734" spans="1:21">
      <c r="A2734" t="str">
        <f>"600215"</f>
        <v>600215</v>
      </c>
      <c r="B2734" t="s">
        <v>5370</v>
      </c>
      <c r="C2734">
        <v>-0.28</v>
      </c>
      <c r="D2734">
        <v>10.8</v>
      </c>
      <c r="E2734">
        <v>-0.03</v>
      </c>
      <c r="F2734">
        <v>10.8</v>
      </c>
      <c r="G2734">
        <v>10.81</v>
      </c>
      <c r="H2734">
        <v>195877</v>
      </c>
      <c r="I2734">
        <v>1976</v>
      </c>
      <c r="J2734">
        <v>0.28</v>
      </c>
      <c r="K2734">
        <v>4.21</v>
      </c>
      <c r="L2734">
        <v>20778.19</v>
      </c>
      <c r="M2734" t="s">
        <v>5371</v>
      </c>
      <c r="N2734" t="s">
        <v>520</v>
      </c>
      <c r="O2734">
        <v>10.7</v>
      </c>
      <c r="P2734">
        <v>11.05</v>
      </c>
      <c r="Q2734">
        <v>10.2</v>
      </c>
      <c r="R2734">
        <v>10.83</v>
      </c>
      <c r="S2734">
        <v>32.89</v>
      </c>
      <c r="T2734">
        <v>0.79</v>
      </c>
      <c r="U2734" t="s">
        <v>92</v>
      </c>
    </row>
    <row r="2735" spans="1:21">
      <c r="A2735" t="str">
        <f>"600216"</f>
        <v>600216</v>
      </c>
      <c r="B2735" t="s">
        <v>5372</v>
      </c>
      <c r="C2735">
        <v>-0.36</v>
      </c>
      <c r="D2735">
        <v>16.83</v>
      </c>
      <c r="E2735">
        <v>-0.06</v>
      </c>
      <c r="F2735">
        <v>16.83</v>
      </c>
      <c r="G2735">
        <v>16.84</v>
      </c>
      <c r="H2735">
        <v>174385</v>
      </c>
      <c r="I2735">
        <v>1781</v>
      </c>
      <c r="J2735">
        <v>0.06</v>
      </c>
      <c r="K2735">
        <v>1.81</v>
      </c>
      <c r="L2735">
        <v>29244.38</v>
      </c>
      <c r="M2735" t="s">
        <v>5373</v>
      </c>
      <c r="N2735" t="s">
        <v>192</v>
      </c>
      <c r="O2735">
        <v>16.75</v>
      </c>
      <c r="P2735">
        <v>16.95</v>
      </c>
      <c r="Q2735">
        <v>16.59</v>
      </c>
      <c r="R2735">
        <v>16.89</v>
      </c>
      <c r="S2735">
        <v>16.23</v>
      </c>
      <c r="T2735">
        <v>0.83</v>
      </c>
      <c r="U2735" t="s">
        <v>200</v>
      </c>
    </row>
    <row r="2736" spans="1:21">
      <c r="A2736" t="str">
        <f>"600217"</f>
        <v>600217</v>
      </c>
      <c r="B2736" t="s">
        <v>5374</v>
      </c>
      <c r="C2736">
        <v>0.38</v>
      </c>
      <c r="D2736">
        <v>5.23</v>
      </c>
      <c r="E2736">
        <v>0.02</v>
      </c>
      <c r="F2736">
        <v>5.22</v>
      </c>
      <c r="G2736">
        <v>5.23</v>
      </c>
      <c r="H2736">
        <v>127239</v>
      </c>
      <c r="I2736">
        <v>1288</v>
      </c>
      <c r="J2736">
        <v>0.19</v>
      </c>
      <c r="K2736">
        <v>0.92</v>
      </c>
      <c r="L2736">
        <v>6623.17</v>
      </c>
      <c r="M2736" t="s">
        <v>5375</v>
      </c>
      <c r="N2736" t="s">
        <v>33</v>
      </c>
      <c r="O2736">
        <v>5.16</v>
      </c>
      <c r="P2736">
        <v>5.24</v>
      </c>
      <c r="Q2736">
        <v>5.15</v>
      </c>
      <c r="R2736">
        <v>5.21</v>
      </c>
      <c r="S2736">
        <v>20.97</v>
      </c>
      <c r="T2736">
        <v>1.04</v>
      </c>
      <c r="U2736" t="s">
        <v>317</v>
      </c>
    </row>
    <row r="2737" spans="1:21">
      <c r="A2737" t="str">
        <f>"600218"</f>
        <v>600218</v>
      </c>
      <c r="B2737" t="s">
        <v>5376</v>
      </c>
      <c r="C2737">
        <v>6.36</v>
      </c>
      <c r="D2737">
        <v>15.21</v>
      </c>
      <c r="E2737">
        <v>0.91</v>
      </c>
      <c r="F2737">
        <v>15.21</v>
      </c>
      <c r="G2737">
        <v>15.22</v>
      </c>
      <c r="H2737">
        <v>660524</v>
      </c>
      <c r="I2737">
        <v>11231</v>
      </c>
      <c r="J2737">
        <v>-0.32</v>
      </c>
      <c r="K2737">
        <v>17.91</v>
      </c>
      <c r="L2737">
        <v>98346.14</v>
      </c>
      <c r="M2737" t="s">
        <v>3769</v>
      </c>
      <c r="N2737" t="s">
        <v>786</v>
      </c>
      <c r="O2737">
        <v>14</v>
      </c>
      <c r="P2737">
        <v>15.69</v>
      </c>
      <c r="Q2737">
        <v>13.82</v>
      </c>
      <c r="R2737">
        <v>14.3</v>
      </c>
      <c r="S2737">
        <v>42.3</v>
      </c>
      <c r="T2737">
        <v>1.72</v>
      </c>
      <c r="U2737" t="s">
        <v>193</v>
      </c>
    </row>
    <row r="2738" spans="1:21">
      <c r="A2738" t="str">
        <f>"600219"</f>
        <v>600219</v>
      </c>
      <c r="B2738" t="s">
        <v>5377</v>
      </c>
      <c r="C2738">
        <v>1.69</v>
      </c>
      <c r="D2738">
        <v>4.22</v>
      </c>
      <c r="E2738">
        <v>0.07</v>
      </c>
      <c r="F2738">
        <v>4.22</v>
      </c>
      <c r="G2738">
        <v>4.23</v>
      </c>
      <c r="H2738">
        <v>856823</v>
      </c>
      <c r="I2738">
        <v>9539</v>
      </c>
      <c r="J2738">
        <v>-0.23</v>
      </c>
      <c r="K2738">
        <v>0.72</v>
      </c>
      <c r="L2738">
        <v>35813.53</v>
      </c>
      <c r="M2738" t="s">
        <v>5378</v>
      </c>
      <c r="N2738" t="s">
        <v>494</v>
      </c>
      <c r="O2738">
        <v>4.13</v>
      </c>
      <c r="P2738">
        <v>4.23</v>
      </c>
      <c r="Q2738">
        <v>4.1</v>
      </c>
      <c r="R2738">
        <v>4.15</v>
      </c>
      <c r="S2738">
        <v>15.01</v>
      </c>
      <c r="T2738">
        <v>0.93</v>
      </c>
      <c r="U2738" t="s">
        <v>221</v>
      </c>
    </row>
    <row r="2739" spans="1:21">
      <c r="A2739" t="str">
        <f>"600220"</f>
        <v>600220</v>
      </c>
      <c r="B2739" t="s">
        <v>5379</v>
      </c>
      <c r="C2739">
        <v>-0.41</v>
      </c>
      <c r="D2739">
        <v>2.42</v>
      </c>
      <c r="E2739">
        <v>-0.01</v>
      </c>
      <c r="F2739">
        <v>2.42</v>
      </c>
      <c r="G2739">
        <v>2.43</v>
      </c>
      <c r="H2739">
        <v>320875</v>
      </c>
      <c r="I2739">
        <v>3374</v>
      </c>
      <c r="J2739">
        <v>-0.4</v>
      </c>
      <c r="K2739">
        <v>1.8</v>
      </c>
      <c r="L2739">
        <v>7736.02</v>
      </c>
      <c r="M2739" t="s">
        <v>1322</v>
      </c>
      <c r="N2739" t="s">
        <v>664</v>
      </c>
      <c r="O2739">
        <v>2.44</v>
      </c>
      <c r="P2739">
        <v>2.46</v>
      </c>
      <c r="Q2739">
        <v>2.36</v>
      </c>
      <c r="R2739">
        <v>2.43</v>
      </c>
      <c r="S2739">
        <v>47.34</v>
      </c>
      <c r="T2739">
        <v>0.86</v>
      </c>
      <c r="U2739" t="s">
        <v>102</v>
      </c>
    </row>
    <row r="2740" spans="1:21">
      <c r="A2740" t="str">
        <f>"600221"</f>
        <v>600221</v>
      </c>
      <c r="B2740" t="s">
        <v>5380</v>
      </c>
      <c r="C2740">
        <v>-0.53</v>
      </c>
      <c r="D2740">
        <v>1.87</v>
      </c>
      <c r="E2740">
        <v>-0.01</v>
      </c>
      <c r="F2740">
        <v>1.86</v>
      </c>
      <c r="G2740">
        <v>1.87</v>
      </c>
      <c r="H2740">
        <v>830201</v>
      </c>
      <c r="I2740">
        <v>7702</v>
      </c>
      <c r="J2740">
        <v>0</v>
      </c>
      <c r="K2740">
        <v>0.51</v>
      </c>
      <c r="L2740">
        <v>15469.79</v>
      </c>
      <c r="M2740" t="s">
        <v>5381</v>
      </c>
      <c r="N2740" t="s">
        <v>180</v>
      </c>
      <c r="O2740">
        <v>1.88</v>
      </c>
      <c r="P2740">
        <v>1.88</v>
      </c>
      <c r="Q2740">
        <v>1.85</v>
      </c>
      <c r="R2740">
        <v>1.88</v>
      </c>
      <c r="S2740" t="s">
        <v>40</v>
      </c>
      <c r="T2740">
        <v>1.03</v>
      </c>
      <c r="U2740" t="s">
        <v>294</v>
      </c>
    </row>
    <row r="2741" spans="1:21">
      <c r="A2741" t="str">
        <f>"600222"</f>
        <v>600222</v>
      </c>
      <c r="B2741" t="s">
        <v>5382</v>
      </c>
      <c r="C2741">
        <v>1.27</v>
      </c>
      <c r="D2741">
        <v>8.79</v>
      </c>
      <c r="E2741">
        <v>0.11</v>
      </c>
      <c r="F2741">
        <v>8.79</v>
      </c>
      <c r="G2741">
        <v>8.8</v>
      </c>
      <c r="H2741">
        <v>83640</v>
      </c>
      <c r="I2741">
        <v>743</v>
      </c>
      <c r="J2741">
        <v>0</v>
      </c>
      <c r="K2741">
        <v>1.46</v>
      </c>
      <c r="L2741">
        <v>7304.44</v>
      </c>
      <c r="M2741" t="s">
        <v>4839</v>
      </c>
      <c r="N2741" t="s">
        <v>270</v>
      </c>
      <c r="O2741">
        <v>8.67</v>
      </c>
      <c r="P2741">
        <v>8.9</v>
      </c>
      <c r="Q2741">
        <v>8.53</v>
      </c>
      <c r="R2741">
        <v>8.68</v>
      </c>
      <c r="S2741">
        <v>133.69</v>
      </c>
      <c r="T2741">
        <v>0.48</v>
      </c>
      <c r="U2741" t="s">
        <v>224</v>
      </c>
    </row>
    <row r="2742" spans="1:21">
      <c r="A2742" t="str">
        <f>"600223"</f>
        <v>600223</v>
      </c>
      <c r="B2742" t="s">
        <v>5383</v>
      </c>
      <c r="C2742">
        <v>0.42</v>
      </c>
      <c r="D2742">
        <v>12.08</v>
      </c>
      <c r="E2742">
        <v>0.05</v>
      </c>
      <c r="F2742">
        <v>12.08</v>
      </c>
      <c r="G2742">
        <v>12.09</v>
      </c>
      <c r="H2742">
        <v>98988</v>
      </c>
      <c r="I2742">
        <v>687</v>
      </c>
      <c r="J2742">
        <v>0</v>
      </c>
      <c r="K2742">
        <v>0.98</v>
      </c>
      <c r="L2742">
        <v>11892.34</v>
      </c>
      <c r="M2742" t="s">
        <v>5358</v>
      </c>
      <c r="N2742" t="s">
        <v>36</v>
      </c>
      <c r="O2742">
        <v>12</v>
      </c>
      <c r="P2742">
        <v>12.18</v>
      </c>
      <c r="Q2742">
        <v>11.9</v>
      </c>
      <c r="R2742">
        <v>12.03</v>
      </c>
      <c r="S2742">
        <v>18.17</v>
      </c>
      <c r="T2742">
        <v>0.93</v>
      </c>
      <c r="U2742" t="s">
        <v>221</v>
      </c>
    </row>
    <row r="2743" spans="1:21">
      <c r="A2743" t="str">
        <f>"600225"</f>
        <v>600225</v>
      </c>
      <c r="B2743" t="s">
        <v>5384</v>
      </c>
      <c r="C2743">
        <v>-3.85</v>
      </c>
      <c r="D2743">
        <v>3</v>
      </c>
      <c r="E2743">
        <v>-0.12</v>
      </c>
      <c r="F2743">
        <v>2.99</v>
      </c>
      <c r="G2743">
        <v>3</v>
      </c>
      <c r="H2743">
        <v>85400</v>
      </c>
      <c r="I2743">
        <v>2093</v>
      </c>
      <c r="J2743">
        <v>0</v>
      </c>
      <c r="K2743">
        <v>0.92</v>
      </c>
      <c r="L2743">
        <v>2606.8</v>
      </c>
      <c r="M2743" t="s">
        <v>5385</v>
      </c>
      <c r="N2743" t="s">
        <v>36</v>
      </c>
      <c r="O2743">
        <v>3.16</v>
      </c>
      <c r="P2743">
        <v>3.16</v>
      </c>
      <c r="Q2743">
        <v>2.98</v>
      </c>
      <c r="R2743">
        <v>3.12</v>
      </c>
      <c r="S2743" t="s">
        <v>40</v>
      </c>
      <c r="T2743">
        <v>1.46</v>
      </c>
      <c r="U2743" t="s">
        <v>360</v>
      </c>
    </row>
    <row r="2744" spans="1:21">
      <c r="A2744" t="str">
        <f>"600226"</f>
        <v>600226</v>
      </c>
      <c r="B2744" t="s">
        <v>5386</v>
      </c>
      <c r="C2744">
        <v>0.88</v>
      </c>
      <c r="D2744">
        <v>2.3</v>
      </c>
      <c r="E2744">
        <v>0.02</v>
      </c>
      <c r="F2744">
        <v>2.3</v>
      </c>
      <c r="G2744">
        <v>2.31</v>
      </c>
      <c r="H2744">
        <v>104772</v>
      </c>
      <c r="I2744">
        <v>790</v>
      </c>
      <c r="J2744">
        <v>0</v>
      </c>
      <c r="K2744">
        <v>0.33</v>
      </c>
      <c r="L2744">
        <v>2404.41</v>
      </c>
      <c r="M2744" t="s">
        <v>5387</v>
      </c>
      <c r="N2744" t="s">
        <v>479</v>
      </c>
      <c r="O2744">
        <v>2.27</v>
      </c>
      <c r="P2744">
        <v>2.33</v>
      </c>
      <c r="Q2744">
        <v>2.26</v>
      </c>
      <c r="R2744">
        <v>2.28</v>
      </c>
      <c r="S2744">
        <v>12.1</v>
      </c>
      <c r="T2744">
        <v>0.53</v>
      </c>
      <c r="U2744" t="s">
        <v>200</v>
      </c>
    </row>
    <row r="2745" spans="1:21">
      <c r="A2745" t="str">
        <f>"600227"</f>
        <v>600227</v>
      </c>
      <c r="B2745" t="s">
        <v>5388</v>
      </c>
      <c r="C2745">
        <v>0.62</v>
      </c>
      <c r="D2745">
        <v>3.22</v>
      </c>
      <c r="E2745">
        <v>0.02</v>
      </c>
      <c r="F2745">
        <v>3.21</v>
      </c>
      <c r="G2745">
        <v>3.22</v>
      </c>
      <c r="H2745">
        <v>126520</v>
      </c>
      <c r="I2745">
        <v>1862</v>
      </c>
      <c r="J2745">
        <v>0</v>
      </c>
      <c r="K2745">
        <v>0.99</v>
      </c>
      <c r="L2745">
        <v>4041</v>
      </c>
      <c r="M2745" t="s">
        <v>5389</v>
      </c>
      <c r="N2745" t="s">
        <v>192</v>
      </c>
      <c r="O2745">
        <v>3.2</v>
      </c>
      <c r="P2745">
        <v>3.23</v>
      </c>
      <c r="Q2745">
        <v>3.14</v>
      </c>
      <c r="R2745">
        <v>3.2</v>
      </c>
      <c r="S2745">
        <v>34.45</v>
      </c>
      <c r="T2745">
        <v>1.18</v>
      </c>
      <c r="U2745" t="s">
        <v>368</v>
      </c>
    </row>
    <row r="2746" spans="1:21">
      <c r="A2746" t="str">
        <f>"600228"</f>
        <v>600228</v>
      </c>
      <c r="B2746" t="s">
        <v>5390</v>
      </c>
      <c r="C2746">
        <v>0.85</v>
      </c>
      <c r="D2746">
        <v>7.12</v>
      </c>
      <c r="E2746">
        <v>0.06</v>
      </c>
      <c r="F2746">
        <v>7.11</v>
      </c>
      <c r="G2746">
        <v>7.12</v>
      </c>
      <c r="H2746">
        <v>16861</v>
      </c>
      <c r="I2746">
        <v>191</v>
      </c>
      <c r="J2746">
        <v>0.14</v>
      </c>
      <c r="K2746">
        <v>0.7</v>
      </c>
      <c r="L2746">
        <v>1194.22</v>
      </c>
      <c r="M2746" t="s">
        <v>5391</v>
      </c>
      <c r="N2746" t="s">
        <v>479</v>
      </c>
      <c r="O2746">
        <v>7.15</v>
      </c>
      <c r="P2746">
        <v>7.18</v>
      </c>
      <c r="Q2746">
        <v>6.97</v>
      </c>
      <c r="R2746">
        <v>7.06</v>
      </c>
      <c r="S2746">
        <v>103.52</v>
      </c>
      <c r="T2746">
        <v>0.4</v>
      </c>
      <c r="U2746" t="s">
        <v>235</v>
      </c>
    </row>
    <row r="2747" spans="1:21">
      <c r="A2747" t="str">
        <f>"600229"</f>
        <v>600229</v>
      </c>
      <c r="B2747" t="s">
        <v>5392</v>
      </c>
      <c r="C2747">
        <v>0.76</v>
      </c>
      <c r="D2747">
        <v>6.6</v>
      </c>
      <c r="E2747">
        <v>0.05</v>
      </c>
      <c r="F2747">
        <v>6.59</v>
      </c>
      <c r="G2747">
        <v>6.6</v>
      </c>
      <c r="H2747">
        <v>27902</v>
      </c>
      <c r="I2747">
        <v>75</v>
      </c>
      <c r="J2747">
        <v>0</v>
      </c>
      <c r="K2747">
        <v>0.4</v>
      </c>
      <c r="L2747">
        <v>1841.27</v>
      </c>
      <c r="M2747" t="s">
        <v>5393</v>
      </c>
      <c r="N2747" t="s">
        <v>650</v>
      </c>
      <c r="O2747">
        <v>6.57</v>
      </c>
      <c r="P2747">
        <v>6.65</v>
      </c>
      <c r="Q2747">
        <v>6.56</v>
      </c>
      <c r="R2747">
        <v>6.55</v>
      </c>
      <c r="S2747">
        <v>16.21</v>
      </c>
      <c r="T2747">
        <v>0.56</v>
      </c>
      <c r="U2747" t="s">
        <v>221</v>
      </c>
    </row>
    <row r="2748" spans="1:21">
      <c r="A2748" t="str">
        <f>"600230"</f>
        <v>600230</v>
      </c>
      <c r="B2748" t="s">
        <v>5394</v>
      </c>
      <c r="C2748">
        <v>1.2</v>
      </c>
      <c r="D2748">
        <v>14.39</v>
      </c>
      <c r="E2748">
        <v>0.17</v>
      </c>
      <c r="F2748">
        <v>14.38</v>
      </c>
      <c r="G2748">
        <v>14.39</v>
      </c>
      <c r="H2748">
        <v>59002</v>
      </c>
      <c r="I2748">
        <v>1082</v>
      </c>
      <c r="J2748">
        <v>0</v>
      </c>
      <c r="K2748">
        <v>1.43</v>
      </c>
      <c r="L2748">
        <v>8417.19</v>
      </c>
      <c r="M2748" t="s">
        <v>5395</v>
      </c>
      <c r="N2748" t="s">
        <v>241</v>
      </c>
      <c r="O2748">
        <v>14.05</v>
      </c>
      <c r="P2748">
        <v>14.46</v>
      </c>
      <c r="Q2748">
        <v>14.05</v>
      </c>
      <c r="R2748">
        <v>14.22</v>
      </c>
      <c r="S2748">
        <v>23.22</v>
      </c>
      <c r="T2748">
        <v>1.22</v>
      </c>
      <c r="U2748" t="s">
        <v>207</v>
      </c>
    </row>
    <row r="2749" spans="1:21">
      <c r="A2749" t="str">
        <f>"600231"</f>
        <v>600231</v>
      </c>
      <c r="B2749" t="s">
        <v>5396</v>
      </c>
      <c r="C2749">
        <v>2.44</v>
      </c>
      <c r="D2749">
        <v>2.52</v>
      </c>
      <c r="E2749">
        <v>0.06</v>
      </c>
      <c r="F2749">
        <v>2.52</v>
      </c>
      <c r="G2749">
        <v>2.53</v>
      </c>
      <c r="H2749">
        <v>292277</v>
      </c>
      <c r="I2749">
        <v>5908</v>
      </c>
      <c r="J2749">
        <v>-0.39</v>
      </c>
      <c r="K2749">
        <v>1.02</v>
      </c>
      <c r="L2749">
        <v>7272.09</v>
      </c>
      <c r="M2749" t="s">
        <v>3707</v>
      </c>
      <c r="N2749" t="s">
        <v>551</v>
      </c>
      <c r="O2749">
        <v>2.46</v>
      </c>
      <c r="P2749">
        <v>2.53</v>
      </c>
      <c r="Q2749">
        <v>2.43</v>
      </c>
      <c r="R2749">
        <v>2.46</v>
      </c>
      <c r="S2749">
        <v>4.93</v>
      </c>
      <c r="T2749">
        <v>1.2</v>
      </c>
      <c r="U2749" t="s">
        <v>141</v>
      </c>
    </row>
    <row r="2750" spans="1:21">
      <c r="A2750" t="str">
        <f>"600232"</f>
        <v>600232</v>
      </c>
      <c r="B2750" t="s">
        <v>5397</v>
      </c>
      <c r="C2750">
        <v>0.59</v>
      </c>
      <c r="D2750">
        <v>5.13</v>
      </c>
      <c r="E2750">
        <v>0.03</v>
      </c>
      <c r="F2750">
        <v>5.12</v>
      </c>
      <c r="G2750">
        <v>5.13</v>
      </c>
      <c r="H2750">
        <v>11983</v>
      </c>
      <c r="I2750">
        <v>360</v>
      </c>
      <c r="J2750">
        <v>-0.18</v>
      </c>
      <c r="K2750">
        <v>0.33</v>
      </c>
      <c r="L2750">
        <v>613.26</v>
      </c>
      <c r="M2750" t="s">
        <v>5398</v>
      </c>
      <c r="N2750" t="s">
        <v>664</v>
      </c>
      <c r="O2750">
        <v>5.09</v>
      </c>
      <c r="P2750">
        <v>5.14</v>
      </c>
      <c r="Q2750">
        <v>5.07</v>
      </c>
      <c r="R2750">
        <v>5.1</v>
      </c>
      <c r="S2750">
        <v>39.06</v>
      </c>
      <c r="T2750">
        <v>0.92</v>
      </c>
      <c r="U2750" t="s">
        <v>200</v>
      </c>
    </row>
    <row r="2751" spans="1:21">
      <c r="A2751" t="str">
        <f>"600233"</f>
        <v>600233</v>
      </c>
      <c r="B2751" t="s">
        <v>5399</v>
      </c>
      <c r="C2751">
        <v>8.41</v>
      </c>
      <c r="D2751">
        <v>17.02</v>
      </c>
      <c r="E2751">
        <v>1.32</v>
      </c>
      <c r="F2751">
        <v>17.01</v>
      </c>
      <c r="G2751">
        <v>17.02</v>
      </c>
      <c r="H2751">
        <v>714498</v>
      </c>
      <c r="I2751">
        <v>6642</v>
      </c>
      <c r="J2751">
        <v>-0.28</v>
      </c>
      <c r="K2751">
        <v>2.26</v>
      </c>
      <c r="L2751">
        <v>120008.97</v>
      </c>
      <c r="M2751" t="s">
        <v>5400</v>
      </c>
      <c r="N2751" t="s">
        <v>1049</v>
      </c>
      <c r="O2751">
        <v>16</v>
      </c>
      <c r="P2751">
        <v>17.25</v>
      </c>
      <c r="Q2751">
        <v>15.8</v>
      </c>
      <c r="R2751">
        <v>15.7</v>
      </c>
      <c r="S2751">
        <v>42.28</v>
      </c>
      <c r="T2751">
        <v>2.41</v>
      </c>
      <c r="U2751" t="s">
        <v>141</v>
      </c>
    </row>
    <row r="2752" spans="1:21">
      <c r="A2752" t="str">
        <f>"600234"</f>
        <v>600234</v>
      </c>
      <c r="B2752" t="s">
        <v>5401</v>
      </c>
      <c r="C2752">
        <v>2.38</v>
      </c>
      <c r="D2752">
        <v>9.45</v>
      </c>
      <c r="E2752">
        <v>0.22</v>
      </c>
      <c r="F2752">
        <v>9.44</v>
      </c>
      <c r="G2752">
        <v>9.45</v>
      </c>
      <c r="H2752">
        <v>7471</v>
      </c>
      <c r="I2752">
        <v>120</v>
      </c>
      <c r="J2752">
        <v>-0.2</v>
      </c>
      <c r="K2752">
        <v>0.37</v>
      </c>
      <c r="L2752">
        <v>704.75</v>
      </c>
      <c r="M2752" t="s">
        <v>5402</v>
      </c>
      <c r="N2752" t="s">
        <v>99</v>
      </c>
      <c r="O2752">
        <v>9.26</v>
      </c>
      <c r="P2752">
        <v>9.56</v>
      </c>
      <c r="Q2752">
        <v>9.26</v>
      </c>
      <c r="R2752">
        <v>9.23</v>
      </c>
      <c r="S2752">
        <v>185.04</v>
      </c>
      <c r="T2752">
        <v>1.11</v>
      </c>
      <c r="U2752" t="s">
        <v>232</v>
      </c>
    </row>
    <row r="2753" spans="1:21">
      <c r="A2753" t="str">
        <f>"600235"</f>
        <v>600235</v>
      </c>
      <c r="B2753" t="s">
        <v>5403</v>
      </c>
      <c r="C2753">
        <v>0.78</v>
      </c>
      <c r="D2753">
        <v>5.16</v>
      </c>
      <c r="E2753">
        <v>0.04</v>
      </c>
      <c r="F2753">
        <v>5.15</v>
      </c>
      <c r="G2753">
        <v>5.16</v>
      </c>
      <c r="H2753">
        <v>36692</v>
      </c>
      <c r="I2753">
        <v>603</v>
      </c>
      <c r="J2753">
        <v>0.19</v>
      </c>
      <c r="K2753">
        <v>1.04</v>
      </c>
      <c r="L2753">
        <v>1881.93</v>
      </c>
      <c r="M2753" t="s">
        <v>3096</v>
      </c>
      <c r="N2753" t="s">
        <v>285</v>
      </c>
      <c r="O2753">
        <v>5.12</v>
      </c>
      <c r="P2753">
        <v>5.17</v>
      </c>
      <c r="Q2753">
        <v>5.08</v>
      </c>
      <c r="R2753">
        <v>5.12</v>
      </c>
      <c r="S2753">
        <v>24.61</v>
      </c>
      <c r="T2753">
        <v>0.86</v>
      </c>
      <c r="U2753" t="s">
        <v>200</v>
      </c>
    </row>
    <row r="2754" spans="1:21">
      <c r="A2754" t="str">
        <f>"600236"</f>
        <v>600236</v>
      </c>
      <c r="B2754" t="s">
        <v>5404</v>
      </c>
      <c r="C2754">
        <v>1.65</v>
      </c>
      <c r="D2754">
        <v>5.55</v>
      </c>
      <c r="E2754">
        <v>0.09</v>
      </c>
      <c r="F2754">
        <v>5.54</v>
      </c>
      <c r="G2754">
        <v>5.55</v>
      </c>
      <c r="H2754">
        <v>109517</v>
      </c>
      <c r="I2754">
        <v>915</v>
      </c>
      <c r="J2754">
        <v>0.18</v>
      </c>
      <c r="K2754">
        <v>0.14</v>
      </c>
      <c r="L2754">
        <v>6026.28</v>
      </c>
      <c r="M2754" t="s">
        <v>5405</v>
      </c>
      <c r="N2754" t="s">
        <v>472</v>
      </c>
      <c r="O2754">
        <v>5.48</v>
      </c>
      <c r="P2754">
        <v>5.58</v>
      </c>
      <c r="Q2754">
        <v>5.41</v>
      </c>
      <c r="R2754">
        <v>5.46</v>
      </c>
      <c r="S2754">
        <v>20.99</v>
      </c>
      <c r="T2754">
        <v>1.03</v>
      </c>
      <c r="U2754" t="s">
        <v>342</v>
      </c>
    </row>
    <row r="2755" spans="1:21">
      <c r="A2755" t="str">
        <f>"600237"</f>
        <v>600237</v>
      </c>
      <c r="B2755" t="s">
        <v>5406</v>
      </c>
      <c r="C2755">
        <v>2.66</v>
      </c>
      <c r="D2755">
        <v>6.95</v>
      </c>
      <c r="E2755">
        <v>0.18</v>
      </c>
      <c r="F2755">
        <v>6.95</v>
      </c>
      <c r="G2755">
        <v>6.96</v>
      </c>
      <c r="H2755">
        <v>569528</v>
      </c>
      <c r="I2755">
        <v>11890</v>
      </c>
      <c r="J2755">
        <v>0.14</v>
      </c>
      <c r="K2755">
        <v>10.09</v>
      </c>
      <c r="L2755">
        <v>39551.28</v>
      </c>
      <c r="M2755" t="s">
        <v>2114</v>
      </c>
      <c r="N2755" t="s">
        <v>69</v>
      </c>
      <c r="O2755">
        <v>6.8</v>
      </c>
      <c r="P2755">
        <v>7.13</v>
      </c>
      <c r="Q2755">
        <v>6.7</v>
      </c>
      <c r="R2755">
        <v>6.77</v>
      </c>
      <c r="S2755">
        <v>88.5</v>
      </c>
      <c r="T2755">
        <v>0.67</v>
      </c>
      <c r="U2755" t="s">
        <v>193</v>
      </c>
    </row>
    <row r="2756" spans="1:21">
      <c r="A2756" t="str">
        <f>"600238"</f>
        <v>600238</v>
      </c>
      <c r="B2756" t="s">
        <v>5407</v>
      </c>
      <c r="C2756">
        <v>0.37</v>
      </c>
      <c r="D2756">
        <v>18.8</v>
      </c>
      <c r="E2756">
        <v>0.07</v>
      </c>
      <c r="F2756">
        <v>18.79</v>
      </c>
      <c r="G2756">
        <v>18.8</v>
      </c>
      <c r="H2756">
        <v>406147</v>
      </c>
      <c r="I2756">
        <v>3537</v>
      </c>
      <c r="J2756">
        <v>0.21</v>
      </c>
      <c r="K2756">
        <v>9.13</v>
      </c>
      <c r="L2756">
        <v>77099.26</v>
      </c>
      <c r="M2756" t="s">
        <v>5408</v>
      </c>
      <c r="N2756" t="s">
        <v>853</v>
      </c>
      <c r="O2756">
        <v>18.35</v>
      </c>
      <c r="P2756">
        <v>19.47</v>
      </c>
      <c r="Q2756">
        <v>18.34</v>
      </c>
      <c r="R2756">
        <v>18.73</v>
      </c>
      <c r="S2756" t="s">
        <v>40</v>
      </c>
      <c r="T2756">
        <v>0.92</v>
      </c>
      <c r="U2756" t="s">
        <v>294</v>
      </c>
    </row>
    <row r="2757" spans="1:21">
      <c r="A2757" t="str">
        <f>"600239"</f>
        <v>600239</v>
      </c>
      <c r="B2757" t="s">
        <v>5409</v>
      </c>
      <c r="C2757">
        <v>3.39</v>
      </c>
      <c r="D2757">
        <v>2.44</v>
      </c>
      <c r="E2757">
        <v>0.08</v>
      </c>
      <c r="F2757">
        <v>2.44</v>
      </c>
      <c r="G2757">
        <v>2.45</v>
      </c>
      <c r="H2757">
        <v>134371</v>
      </c>
      <c r="I2757">
        <v>2195</v>
      </c>
      <c r="J2757">
        <v>0.41</v>
      </c>
      <c r="K2757">
        <v>0.84</v>
      </c>
      <c r="L2757">
        <v>3248.05</v>
      </c>
      <c r="M2757" t="s">
        <v>5410</v>
      </c>
      <c r="N2757" t="s">
        <v>36</v>
      </c>
      <c r="O2757">
        <v>2.35</v>
      </c>
      <c r="P2757">
        <v>2.46</v>
      </c>
      <c r="Q2757">
        <v>2.35</v>
      </c>
      <c r="R2757">
        <v>2.36</v>
      </c>
      <c r="S2757">
        <v>21.2</v>
      </c>
      <c r="T2757">
        <v>1.48</v>
      </c>
      <c r="U2757" t="s">
        <v>363</v>
      </c>
    </row>
    <row r="2758" spans="1:21">
      <c r="A2758" t="str">
        <f>"600241"</f>
        <v>600241</v>
      </c>
      <c r="B2758" t="s">
        <v>5411</v>
      </c>
      <c r="C2758">
        <v>0.18</v>
      </c>
      <c r="D2758">
        <v>11.1</v>
      </c>
      <c r="E2758">
        <v>0.02</v>
      </c>
      <c r="F2758">
        <v>11.1</v>
      </c>
      <c r="G2758">
        <v>11.11</v>
      </c>
      <c r="H2758">
        <v>92162</v>
      </c>
      <c r="I2758">
        <v>657</v>
      </c>
      <c r="J2758">
        <v>0.45</v>
      </c>
      <c r="K2758">
        <v>3.13</v>
      </c>
      <c r="L2758">
        <v>10243.23</v>
      </c>
      <c r="M2758" t="s">
        <v>467</v>
      </c>
      <c r="N2758" t="s">
        <v>47</v>
      </c>
      <c r="O2758">
        <v>11.04</v>
      </c>
      <c r="P2758">
        <v>11.54</v>
      </c>
      <c r="Q2758">
        <v>10.81</v>
      </c>
      <c r="R2758">
        <v>11.08</v>
      </c>
      <c r="S2758">
        <v>42.78</v>
      </c>
      <c r="T2758">
        <v>0.71</v>
      </c>
      <c r="U2758" t="s">
        <v>141</v>
      </c>
    </row>
    <row r="2759" spans="1:21">
      <c r="A2759" t="str">
        <f>"600242"</f>
        <v>600242</v>
      </c>
      <c r="B2759" t="s">
        <v>5412</v>
      </c>
      <c r="C2759">
        <v>-1.72</v>
      </c>
      <c r="D2759">
        <v>2.28</v>
      </c>
      <c r="E2759">
        <v>-0.04</v>
      </c>
      <c r="F2759">
        <v>2.28</v>
      </c>
      <c r="G2759">
        <v>2.3</v>
      </c>
      <c r="H2759">
        <v>92792</v>
      </c>
      <c r="I2759">
        <v>2168</v>
      </c>
      <c r="J2759">
        <v>-0.43</v>
      </c>
      <c r="K2759">
        <v>2.06</v>
      </c>
      <c r="L2759">
        <v>2117.57</v>
      </c>
      <c r="M2759" t="s">
        <v>5413</v>
      </c>
      <c r="N2759" t="s">
        <v>30</v>
      </c>
      <c r="O2759">
        <v>2.32</v>
      </c>
      <c r="P2759">
        <v>2.33</v>
      </c>
      <c r="Q2759">
        <v>2.21</v>
      </c>
      <c r="R2759">
        <v>2.32</v>
      </c>
      <c r="S2759" t="s">
        <v>40</v>
      </c>
      <c r="T2759">
        <v>2.25</v>
      </c>
      <c r="U2759" t="s">
        <v>183</v>
      </c>
    </row>
    <row r="2760" spans="1:21">
      <c r="A2760" t="str">
        <f>"600243"</f>
        <v>600243</v>
      </c>
      <c r="B2760" t="s">
        <v>5414</v>
      </c>
      <c r="C2760">
        <v>0.39</v>
      </c>
      <c r="D2760">
        <v>5.1</v>
      </c>
      <c r="E2760">
        <v>0.02</v>
      </c>
      <c r="F2760">
        <v>5.09</v>
      </c>
      <c r="G2760">
        <v>5.1</v>
      </c>
      <c r="H2760">
        <v>334218</v>
      </c>
      <c r="I2760">
        <v>4961</v>
      </c>
      <c r="J2760">
        <v>0</v>
      </c>
      <c r="K2760">
        <v>7.62</v>
      </c>
      <c r="L2760">
        <v>16727.13</v>
      </c>
      <c r="M2760" t="s">
        <v>5415</v>
      </c>
      <c r="N2760" t="s">
        <v>247</v>
      </c>
      <c r="O2760">
        <v>4.93</v>
      </c>
      <c r="P2760">
        <v>5.18</v>
      </c>
      <c r="Q2760">
        <v>4.82</v>
      </c>
      <c r="R2760">
        <v>5.08</v>
      </c>
      <c r="S2760" t="s">
        <v>40</v>
      </c>
      <c r="T2760">
        <v>1.88</v>
      </c>
      <c r="U2760" t="s">
        <v>242</v>
      </c>
    </row>
    <row r="2761" spans="1:21">
      <c r="A2761" t="str">
        <f>"600246"</f>
        <v>600246</v>
      </c>
      <c r="B2761" t="s">
        <v>5416</v>
      </c>
      <c r="C2761">
        <v>10.04</v>
      </c>
      <c r="D2761">
        <v>10.96</v>
      </c>
      <c r="E2761">
        <v>1</v>
      </c>
      <c r="F2761">
        <v>10.96</v>
      </c>
      <c r="G2761" t="s">
        <v>40</v>
      </c>
      <c r="H2761">
        <v>384246</v>
      </c>
      <c r="I2761">
        <v>794</v>
      </c>
      <c r="J2761">
        <v>0</v>
      </c>
      <c r="K2761">
        <v>1.87</v>
      </c>
      <c r="L2761">
        <v>41680.45</v>
      </c>
      <c r="M2761" t="s">
        <v>5417</v>
      </c>
      <c r="N2761" t="s">
        <v>36</v>
      </c>
      <c r="O2761">
        <v>10</v>
      </c>
      <c r="P2761">
        <v>10.96</v>
      </c>
      <c r="Q2761">
        <v>9.97</v>
      </c>
      <c r="R2761">
        <v>9.96</v>
      </c>
      <c r="S2761">
        <v>63.29</v>
      </c>
      <c r="T2761">
        <v>1.73</v>
      </c>
      <c r="U2761" t="s">
        <v>44</v>
      </c>
    </row>
    <row r="2762" spans="1:21">
      <c r="A2762" t="str">
        <f>"600248"</f>
        <v>600248</v>
      </c>
      <c r="B2762" t="s">
        <v>5418</v>
      </c>
      <c r="C2762">
        <v>0.46</v>
      </c>
      <c r="D2762">
        <v>4.38</v>
      </c>
      <c r="E2762">
        <v>0.02</v>
      </c>
      <c r="F2762">
        <v>4.37</v>
      </c>
      <c r="G2762">
        <v>4.38</v>
      </c>
      <c r="H2762">
        <v>204439</v>
      </c>
      <c r="I2762">
        <v>2417</v>
      </c>
      <c r="J2762">
        <v>0</v>
      </c>
      <c r="K2762">
        <v>1.63</v>
      </c>
      <c r="L2762">
        <v>8887.68</v>
      </c>
      <c r="M2762" t="s">
        <v>5419</v>
      </c>
      <c r="N2762" t="s">
        <v>50</v>
      </c>
      <c r="O2762">
        <v>4.33</v>
      </c>
      <c r="P2762">
        <v>4.39</v>
      </c>
      <c r="Q2762">
        <v>4.3</v>
      </c>
      <c r="R2762">
        <v>4.36</v>
      </c>
      <c r="S2762">
        <v>3.61</v>
      </c>
      <c r="T2762">
        <v>0.91</v>
      </c>
      <c r="U2762" t="s">
        <v>317</v>
      </c>
    </row>
    <row r="2763" spans="1:21">
      <c r="A2763" t="str">
        <f>"600249"</f>
        <v>600249</v>
      </c>
      <c r="B2763" t="s">
        <v>5420</v>
      </c>
      <c r="C2763">
        <v>1.26</v>
      </c>
      <c r="D2763">
        <v>4.84</v>
      </c>
      <c r="E2763">
        <v>0.06</v>
      </c>
      <c r="F2763">
        <v>4.83</v>
      </c>
      <c r="G2763">
        <v>4.84</v>
      </c>
      <c r="H2763">
        <v>26733</v>
      </c>
      <c r="I2763">
        <v>123</v>
      </c>
      <c r="J2763">
        <v>0</v>
      </c>
      <c r="K2763">
        <v>0.49</v>
      </c>
      <c r="L2763">
        <v>1290.59</v>
      </c>
      <c r="M2763" t="s">
        <v>5421</v>
      </c>
      <c r="N2763" t="s">
        <v>332</v>
      </c>
      <c r="O2763">
        <v>4.78</v>
      </c>
      <c r="P2763">
        <v>4.86</v>
      </c>
      <c r="Q2763">
        <v>4.78</v>
      </c>
      <c r="R2763">
        <v>4.78</v>
      </c>
      <c r="S2763">
        <v>693.21</v>
      </c>
      <c r="T2763">
        <v>0.72</v>
      </c>
      <c r="U2763" t="s">
        <v>342</v>
      </c>
    </row>
    <row r="2764" spans="1:21">
      <c r="A2764" t="str">
        <f>"600250"</f>
        <v>600250</v>
      </c>
      <c r="B2764" t="s">
        <v>5422</v>
      </c>
      <c r="C2764">
        <v>0.87</v>
      </c>
      <c r="D2764">
        <v>4.66</v>
      </c>
      <c r="E2764">
        <v>0.04</v>
      </c>
      <c r="F2764">
        <v>4.65</v>
      </c>
      <c r="G2764">
        <v>4.66</v>
      </c>
      <c r="H2764">
        <v>12038</v>
      </c>
      <c r="I2764">
        <v>860</v>
      </c>
      <c r="J2764">
        <v>0</v>
      </c>
      <c r="K2764">
        <v>0.45</v>
      </c>
      <c r="L2764">
        <v>557.57</v>
      </c>
      <c r="M2764" t="s">
        <v>5423</v>
      </c>
      <c r="N2764" t="s">
        <v>189</v>
      </c>
      <c r="O2764">
        <v>4.62</v>
      </c>
      <c r="P2764">
        <v>4.66</v>
      </c>
      <c r="Q2764">
        <v>4.59</v>
      </c>
      <c r="R2764">
        <v>4.62</v>
      </c>
      <c r="S2764" t="s">
        <v>40</v>
      </c>
      <c r="T2764">
        <v>0.6</v>
      </c>
      <c r="U2764" t="s">
        <v>102</v>
      </c>
    </row>
    <row r="2765" spans="1:21">
      <c r="A2765" t="str">
        <f>"600251"</f>
        <v>600251</v>
      </c>
      <c r="B2765" t="s">
        <v>5424</v>
      </c>
      <c r="C2765">
        <v>1.06</v>
      </c>
      <c r="D2765">
        <v>8.61</v>
      </c>
      <c r="E2765">
        <v>0.09</v>
      </c>
      <c r="F2765">
        <v>8.6</v>
      </c>
      <c r="G2765">
        <v>8.61</v>
      </c>
      <c r="H2765">
        <v>97960</v>
      </c>
      <c r="I2765">
        <v>1326</v>
      </c>
      <c r="J2765">
        <v>0</v>
      </c>
      <c r="K2765">
        <v>1.26</v>
      </c>
      <c r="L2765">
        <v>8392.53</v>
      </c>
      <c r="M2765" t="s">
        <v>5425</v>
      </c>
      <c r="N2765" t="s">
        <v>147</v>
      </c>
      <c r="O2765">
        <v>8.44</v>
      </c>
      <c r="P2765">
        <v>8.65</v>
      </c>
      <c r="Q2765">
        <v>8.43</v>
      </c>
      <c r="R2765">
        <v>8.52</v>
      </c>
      <c r="S2765">
        <v>21.97</v>
      </c>
      <c r="T2765">
        <v>0.9</v>
      </c>
      <c r="U2765" t="s">
        <v>210</v>
      </c>
    </row>
    <row r="2766" spans="1:21">
      <c r="A2766" t="str">
        <f>"600252"</f>
        <v>600252</v>
      </c>
      <c r="B2766" t="s">
        <v>5426</v>
      </c>
      <c r="C2766">
        <v>0.33</v>
      </c>
      <c r="D2766">
        <v>3.08</v>
      </c>
      <c r="E2766">
        <v>0.01</v>
      </c>
      <c r="F2766">
        <v>3.07</v>
      </c>
      <c r="G2766">
        <v>3.08</v>
      </c>
      <c r="H2766">
        <v>149171</v>
      </c>
      <c r="I2766">
        <v>1419</v>
      </c>
      <c r="J2766">
        <v>0</v>
      </c>
      <c r="K2766">
        <v>0.43</v>
      </c>
      <c r="L2766">
        <v>4589.13</v>
      </c>
      <c r="M2766" t="s">
        <v>5427</v>
      </c>
      <c r="N2766" t="s">
        <v>270</v>
      </c>
      <c r="O2766">
        <v>3.08</v>
      </c>
      <c r="P2766">
        <v>3.1</v>
      </c>
      <c r="Q2766">
        <v>3.06</v>
      </c>
      <c r="R2766">
        <v>3.07</v>
      </c>
      <c r="S2766">
        <v>15.41</v>
      </c>
      <c r="T2766">
        <v>1.14</v>
      </c>
      <c r="U2766" t="s">
        <v>342</v>
      </c>
    </row>
    <row r="2767" spans="1:21">
      <c r="A2767" t="str">
        <f>"600255"</f>
        <v>600255</v>
      </c>
      <c r="B2767" t="s">
        <v>5428</v>
      </c>
      <c r="C2767">
        <v>0</v>
      </c>
      <c r="D2767">
        <v>2.17</v>
      </c>
      <c r="E2767">
        <v>0</v>
      </c>
      <c r="F2767">
        <v>2.17</v>
      </c>
      <c r="G2767">
        <v>2.18</v>
      </c>
      <c r="H2767">
        <v>181471</v>
      </c>
      <c r="I2767">
        <v>1440</v>
      </c>
      <c r="J2767">
        <v>-0.45</v>
      </c>
      <c r="K2767">
        <v>1.03</v>
      </c>
      <c r="L2767">
        <v>3934.55</v>
      </c>
      <c r="M2767" t="s">
        <v>4041</v>
      </c>
      <c r="N2767" t="s">
        <v>526</v>
      </c>
      <c r="O2767">
        <v>2.17</v>
      </c>
      <c r="P2767">
        <v>2.19</v>
      </c>
      <c r="Q2767">
        <v>2.14</v>
      </c>
      <c r="R2767">
        <v>2.17</v>
      </c>
      <c r="S2767">
        <v>46.03</v>
      </c>
      <c r="T2767">
        <v>0.79</v>
      </c>
      <c r="U2767" t="s">
        <v>193</v>
      </c>
    </row>
    <row r="2768" spans="1:21">
      <c r="A2768" t="str">
        <f>"600256"</f>
        <v>600256</v>
      </c>
      <c r="B2768" t="s">
        <v>5429</v>
      </c>
      <c r="C2768">
        <v>1.74</v>
      </c>
      <c r="D2768">
        <v>6.42</v>
      </c>
      <c r="E2768">
        <v>0.11</v>
      </c>
      <c r="F2768">
        <v>6.41</v>
      </c>
      <c r="G2768">
        <v>6.42</v>
      </c>
      <c r="H2768">
        <v>1073842</v>
      </c>
      <c r="I2768">
        <v>11575</v>
      </c>
      <c r="J2768">
        <v>0</v>
      </c>
      <c r="K2768">
        <v>1.64</v>
      </c>
      <c r="L2768">
        <v>68482.44</v>
      </c>
      <c r="M2768" t="s">
        <v>5430</v>
      </c>
      <c r="N2768" t="s">
        <v>996</v>
      </c>
      <c r="O2768">
        <v>6.27</v>
      </c>
      <c r="P2768">
        <v>6.5</v>
      </c>
      <c r="Q2768">
        <v>6.17</v>
      </c>
      <c r="R2768">
        <v>6.31</v>
      </c>
      <c r="S2768">
        <v>11.45</v>
      </c>
      <c r="T2768">
        <v>1.05</v>
      </c>
      <c r="U2768" t="s">
        <v>210</v>
      </c>
    </row>
    <row r="2769" spans="1:21">
      <c r="A2769" t="str">
        <f>"600257"</f>
        <v>600257</v>
      </c>
      <c r="B2769" t="s">
        <v>5431</v>
      </c>
      <c r="C2769">
        <v>0.97</v>
      </c>
      <c r="D2769">
        <v>6.27</v>
      </c>
      <c r="E2769">
        <v>0.06</v>
      </c>
      <c r="F2769">
        <v>6.26</v>
      </c>
      <c r="G2769">
        <v>6.27</v>
      </c>
      <c r="H2769">
        <v>131135</v>
      </c>
      <c r="I2769">
        <v>1734</v>
      </c>
      <c r="J2769">
        <v>0</v>
      </c>
      <c r="K2769">
        <v>2.72</v>
      </c>
      <c r="L2769">
        <v>8179.18</v>
      </c>
      <c r="M2769" t="s">
        <v>5432</v>
      </c>
      <c r="N2769" t="s">
        <v>757</v>
      </c>
      <c r="O2769">
        <v>6.21</v>
      </c>
      <c r="P2769">
        <v>6.31</v>
      </c>
      <c r="Q2769">
        <v>6.15</v>
      </c>
      <c r="R2769">
        <v>6.21</v>
      </c>
      <c r="S2769">
        <v>111.75</v>
      </c>
      <c r="T2769">
        <v>0.74</v>
      </c>
      <c r="U2769" t="s">
        <v>204</v>
      </c>
    </row>
    <row r="2770" spans="1:21">
      <c r="A2770" t="str">
        <f>"600258"</f>
        <v>600258</v>
      </c>
      <c r="B2770" t="s">
        <v>5433</v>
      </c>
      <c r="C2770">
        <v>-0.86</v>
      </c>
      <c r="D2770">
        <v>25.26</v>
      </c>
      <c r="E2770">
        <v>-0.22</v>
      </c>
      <c r="F2770">
        <v>25.26</v>
      </c>
      <c r="G2770">
        <v>25.27</v>
      </c>
      <c r="H2770">
        <v>87964</v>
      </c>
      <c r="I2770">
        <v>1168</v>
      </c>
      <c r="J2770">
        <v>0</v>
      </c>
      <c r="K2770">
        <v>0.9</v>
      </c>
      <c r="L2770">
        <v>22195.23</v>
      </c>
      <c r="M2770" t="s">
        <v>5434</v>
      </c>
      <c r="N2770" t="s">
        <v>39</v>
      </c>
      <c r="O2770">
        <v>25.46</v>
      </c>
      <c r="P2770">
        <v>25.59</v>
      </c>
      <c r="Q2770">
        <v>24.98</v>
      </c>
      <c r="R2770">
        <v>25.48</v>
      </c>
      <c r="S2770">
        <v>149.49</v>
      </c>
      <c r="T2770">
        <v>0.72</v>
      </c>
      <c r="U2770" t="s">
        <v>44</v>
      </c>
    </row>
    <row r="2771" spans="1:21">
      <c r="A2771" t="str">
        <f>"600259"</f>
        <v>600259</v>
      </c>
      <c r="B2771" t="s">
        <v>5435</v>
      </c>
      <c r="C2771">
        <v>-0.61</v>
      </c>
      <c r="D2771">
        <v>46.9</v>
      </c>
      <c r="E2771">
        <v>-0.29</v>
      </c>
      <c r="F2771">
        <v>46.89</v>
      </c>
      <c r="G2771">
        <v>46.9</v>
      </c>
      <c r="H2771">
        <v>76288</v>
      </c>
      <c r="I2771">
        <v>730</v>
      </c>
      <c r="J2771">
        <v>-0.01</v>
      </c>
      <c r="K2771">
        <v>2.53</v>
      </c>
      <c r="L2771">
        <v>35905.52</v>
      </c>
      <c r="M2771" t="s">
        <v>5436</v>
      </c>
      <c r="N2771" t="s">
        <v>523</v>
      </c>
      <c r="O2771">
        <v>46.6</v>
      </c>
      <c r="P2771">
        <v>47.53</v>
      </c>
      <c r="Q2771">
        <v>46.5</v>
      </c>
      <c r="R2771">
        <v>47.19</v>
      </c>
      <c r="S2771">
        <v>84.29</v>
      </c>
      <c r="T2771">
        <v>0.85</v>
      </c>
      <c r="U2771" t="s">
        <v>294</v>
      </c>
    </row>
    <row r="2772" spans="1:21">
      <c r="A2772" t="str">
        <f>"600260"</f>
        <v>600260</v>
      </c>
      <c r="B2772" t="s">
        <v>5437</v>
      </c>
      <c r="C2772">
        <v>5.07</v>
      </c>
      <c r="D2772">
        <v>2.9</v>
      </c>
      <c r="E2772">
        <v>0.14</v>
      </c>
      <c r="F2772">
        <v>2.9</v>
      </c>
      <c r="G2772" t="s">
        <v>40</v>
      </c>
      <c r="H2772">
        <v>835183</v>
      </c>
      <c r="I2772">
        <v>800</v>
      </c>
      <c r="J2772">
        <v>0</v>
      </c>
      <c r="K2772">
        <v>8.39</v>
      </c>
      <c r="L2772">
        <v>23505.68</v>
      </c>
      <c r="M2772" t="s">
        <v>702</v>
      </c>
      <c r="N2772" t="s">
        <v>153</v>
      </c>
      <c r="O2772">
        <v>2.76</v>
      </c>
      <c r="P2772">
        <v>2.9</v>
      </c>
      <c r="Q2772">
        <v>2.69</v>
      </c>
      <c r="R2772">
        <v>2.76</v>
      </c>
      <c r="S2772" t="s">
        <v>40</v>
      </c>
      <c r="T2772">
        <v>1.98</v>
      </c>
      <c r="U2772" t="s">
        <v>267</v>
      </c>
    </row>
    <row r="2773" spans="1:21">
      <c r="A2773" t="str">
        <f>"600261"</f>
        <v>600261</v>
      </c>
      <c r="B2773" t="s">
        <v>5438</v>
      </c>
      <c r="C2773">
        <v>0.53</v>
      </c>
      <c r="D2773">
        <v>3.78</v>
      </c>
      <c r="E2773">
        <v>0.02</v>
      </c>
      <c r="F2773">
        <v>3.78</v>
      </c>
      <c r="G2773">
        <v>3.79</v>
      </c>
      <c r="H2773">
        <v>43460</v>
      </c>
      <c r="I2773">
        <v>729</v>
      </c>
      <c r="J2773">
        <v>-0.25</v>
      </c>
      <c r="K2773">
        <v>0.3</v>
      </c>
      <c r="L2773">
        <v>1631.57</v>
      </c>
      <c r="M2773" t="s">
        <v>5439</v>
      </c>
      <c r="N2773" t="s">
        <v>60</v>
      </c>
      <c r="O2773">
        <v>3.76</v>
      </c>
      <c r="P2773">
        <v>3.79</v>
      </c>
      <c r="Q2773">
        <v>3.72</v>
      </c>
      <c r="R2773">
        <v>3.76</v>
      </c>
      <c r="S2773">
        <v>12.03</v>
      </c>
      <c r="T2773">
        <v>1.16</v>
      </c>
      <c r="U2773" t="s">
        <v>200</v>
      </c>
    </row>
    <row r="2774" spans="1:21">
      <c r="A2774" t="str">
        <f>"600262"</f>
        <v>600262</v>
      </c>
      <c r="B2774" t="s">
        <v>5440</v>
      </c>
      <c r="C2774">
        <v>5.98</v>
      </c>
      <c r="D2774">
        <v>16.12</v>
      </c>
      <c r="E2774">
        <v>0.91</v>
      </c>
      <c r="F2774">
        <v>16.11</v>
      </c>
      <c r="G2774">
        <v>16.12</v>
      </c>
      <c r="H2774">
        <v>104227</v>
      </c>
      <c r="I2774">
        <v>826</v>
      </c>
      <c r="J2774">
        <v>0.12</v>
      </c>
      <c r="K2774">
        <v>6.13</v>
      </c>
      <c r="L2774">
        <v>16544.89</v>
      </c>
      <c r="M2774" t="s">
        <v>5441</v>
      </c>
      <c r="N2774" t="s">
        <v>385</v>
      </c>
      <c r="O2774">
        <v>15.5</v>
      </c>
      <c r="P2774">
        <v>16.47</v>
      </c>
      <c r="Q2774">
        <v>15.31</v>
      </c>
      <c r="R2774">
        <v>15.21</v>
      </c>
      <c r="S2774">
        <v>34.51</v>
      </c>
      <c r="T2774">
        <v>8.69</v>
      </c>
      <c r="U2774" t="s">
        <v>275</v>
      </c>
    </row>
    <row r="2775" spans="1:21">
      <c r="A2775" t="str">
        <f>"600265"</f>
        <v>600265</v>
      </c>
      <c r="B2775" t="s">
        <v>5442</v>
      </c>
      <c r="C2775">
        <v>-0.51</v>
      </c>
      <c r="D2775">
        <v>19.36</v>
      </c>
      <c r="E2775">
        <v>-0.1</v>
      </c>
      <c r="F2775">
        <v>19.22</v>
      </c>
      <c r="G2775">
        <v>19.36</v>
      </c>
      <c r="H2775">
        <v>1812</v>
      </c>
      <c r="I2775">
        <v>30</v>
      </c>
      <c r="J2775">
        <v>0.94</v>
      </c>
      <c r="K2775">
        <v>0.14</v>
      </c>
      <c r="L2775">
        <v>349.19</v>
      </c>
      <c r="M2775" t="s">
        <v>5443</v>
      </c>
      <c r="N2775" t="s">
        <v>454</v>
      </c>
      <c r="O2775">
        <v>19.45</v>
      </c>
      <c r="P2775">
        <v>19.49</v>
      </c>
      <c r="Q2775">
        <v>19.18</v>
      </c>
      <c r="R2775">
        <v>19.46</v>
      </c>
      <c r="S2775" t="s">
        <v>40</v>
      </c>
      <c r="T2775">
        <v>1.08</v>
      </c>
      <c r="U2775" t="s">
        <v>363</v>
      </c>
    </row>
    <row r="2776" spans="1:21">
      <c r="A2776" t="str">
        <f>"600266"</f>
        <v>600266</v>
      </c>
      <c r="B2776" t="s">
        <v>5444</v>
      </c>
      <c r="C2776">
        <v>1.39</v>
      </c>
      <c r="D2776">
        <v>4.37</v>
      </c>
      <c r="E2776">
        <v>0.06</v>
      </c>
      <c r="F2776">
        <v>4.36</v>
      </c>
      <c r="G2776">
        <v>4.37</v>
      </c>
      <c r="H2776">
        <v>82113</v>
      </c>
      <c r="I2776">
        <v>1103</v>
      </c>
      <c r="J2776">
        <v>0</v>
      </c>
      <c r="K2776">
        <v>0.36</v>
      </c>
      <c r="L2776">
        <v>3563.99</v>
      </c>
      <c r="M2776" t="s">
        <v>5445</v>
      </c>
      <c r="N2776" t="s">
        <v>36</v>
      </c>
      <c r="O2776">
        <v>4.32</v>
      </c>
      <c r="P2776">
        <v>4.38</v>
      </c>
      <c r="Q2776">
        <v>4.3</v>
      </c>
      <c r="R2776">
        <v>4.31</v>
      </c>
      <c r="S2776">
        <v>13.4</v>
      </c>
      <c r="T2776">
        <v>0.79</v>
      </c>
      <c r="U2776" t="s">
        <v>44</v>
      </c>
    </row>
    <row r="2777" spans="1:21">
      <c r="A2777" t="str">
        <f>"600267"</f>
        <v>600267</v>
      </c>
      <c r="B2777" t="s">
        <v>5446</v>
      </c>
      <c r="C2777">
        <v>0.08</v>
      </c>
      <c r="D2777">
        <v>12.66</v>
      </c>
      <c r="E2777">
        <v>0.01</v>
      </c>
      <c r="F2777">
        <v>12.65</v>
      </c>
      <c r="G2777">
        <v>12.66</v>
      </c>
      <c r="H2777">
        <v>36442</v>
      </c>
      <c r="I2777">
        <v>321</v>
      </c>
      <c r="J2777">
        <v>0</v>
      </c>
      <c r="K2777">
        <v>0.38</v>
      </c>
      <c r="L2777">
        <v>4621.06</v>
      </c>
      <c r="M2777" t="s">
        <v>5447</v>
      </c>
      <c r="N2777" t="s">
        <v>192</v>
      </c>
      <c r="O2777">
        <v>12.61</v>
      </c>
      <c r="P2777">
        <v>12.8</v>
      </c>
      <c r="Q2777">
        <v>12.61</v>
      </c>
      <c r="R2777">
        <v>12.65</v>
      </c>
      <c r="S2777">
        <v>22.74</v>
      </c>
      <c r="T2777">
        <v>0.69</v>
      </c>
      <c r="U2777" t="s">
        <v>200</v>
      </c>
    </row>
    <row r="2778" spans="1:21">
      <c r="A2778" t="str">
        <f>"600268"</f>
        <v>600268</v>
      </c>
      <c r="B2778" t="s">
        <v>5448</v>
      </c>
      <c r="C2778">
        <v>0.9</v>
      </c>
      <c r="D2778">
        <v>11.22</v>
      </c>
      <c r="E2778">
        <v>0.1</v>
      </c>
      <c r="F2778">
        <v>11.22</v>
      </c>
      <c r="G2778">
        <v>11.23</v>
      </c>
      <c r="H2778">
        <v>406230</v>
      </c>
      <c r="I2778">
        <v>4743</v>
      </c>
      <c r="J2778">
        <v>-0.08</v>
      </c>
      <c r="K2778">
        <v>5.84</v>
      </c>
      <c r="L2778">
        <v>45754.15</v>
      </c>
      <c r="M2778" t="s">
        <v>3780</v>
      </c>
      <c r="N2778" t="s">
        <v>47</v>
      </c>
      <c r="O2778">
        <v>10.95</v>
      </c>
      <c r="P2778">
        <v>11.54</v>
      </c>
      <c r="Q2778">
        <v>10.91</v>
      </c>
      <c r="R2778">
        <v>11.12</v>
      </c>
      <c r="S2778">
        <v>64.83</v>
      </c>
      <c r="T2778">
        <v>0.65</v>
      </c>
      <c r="U2778" t="s">
        <v>102</v>
      </c>
    </row>
    <row r="2779" spans="1:21">
      <c r="A2779" t="str">
        <f>"600269"</f>
        <v>600269</v>
      </c>
      <c r="B2779" t="s">
        <v>5449</v>
      </c>
      <c r="C2779">
        <v>0.61</v>
      </c>
      <c r="D2779">
        <v>3.31</v>
      </c>
      <c r="E2779">
        <v>0.02</v>
      </c>
      <c r="F2779">
        <v>3.3</v>
      </c>
      <c r="G2779">
        <v>3.31</v>
      </c>
      <c r="H2779">
        <v>52193</v>
      </c>
      <c r="I2779">
        <v>472</v>
      </c>
      <c r="J2779">
        <v>0</v>
      </c>
      <c r="K2779">
        <v>0.22</v>
      </c>
      <c r="L2779">
        <v>1720.6</v>
      </c>
      <c r="M2779" t="s">
        <v>5450</v>
      </c>
      <c r="N2779" t="s">
        <v>280</v>
      </c>
      <c r="O2779">
        <v>3.29</v>
      </c>
      <c r="P2779">
        <v>3.31</v>
      </c>
      <c r="Q2779">
        <v>3.28</v>
      </c>
      <c r="R2779">
        <v>3.29</v>
      </c>
      <c r="S2779">
        <v>9.61</v>
      </c>
      <c r="T2779">
        <v>0.94</v>
      </c>
      <c r="U2779" t="s">
        <v>235</v>
      </c>
    </row>
    <row r="2780" spans="1:21">
      <c r="A2780" t="str">
        <f>"600271"</f>
        <v>600271</v>
      </c>
      <c r="B2780" t="s">
        <v>5451</v>
      </c>
      <c r="C2780">
        <v>1.05</v>
      </c>
      <c r="D2780">
        <v>12.46</v>
      </c>
      <c r="E2780">
        <v>0.13</v>
      </c>
      <c r="F2780">
        <v>12.46</v>
      </c>
      <c r="G2780">
        <v>12.47</v>
      </c>
      <c r="H2780">
        <v>109188</v>
      </c>
      <c r="I2780">
        <v>647</v>
      </c>
      <c r="J2780">
        <v>0.08</v>
      </c>
      <c r="K2780">
        <v>0.59</v>
      </c>
      <c r="L2780">
        <v>13562.44</v>
      </c>
      <c r="M2780" t="s">
        <v>5452</v>
      </c>
      <c r="N2780" t="s">
        <v>72</v>
      </c>
      <c r="O2780">
        <v>12.31</v>
      </c>
      <c r="P2780">
        <v>12.55</v>
      </c>
      <c r="Q2780">
        <v>12.27</v>
      </c>
      <c r="R2780">
        <v>12.33</v>
      </c>
      <c r="S2780">
        <v>32.67</v>
      </c>
      <c r="T2780">
        <v>1.24</v>
      </c>
      <c r="U2780" t="s">
        <v>44</v>
      </c>
    </row>
    <row r="2781" spans="1:21">
      <c r="A2781" t="str">
        <f>"600272"</f>
        <v>600272</v>
      </c>
      <c r="B2781" t="s">
        <v>5453</v>
      </c>
      <c r="C2781">
        <v>0</v>
      </c>
      <c r="D2781">
        <v>6.81</v>
      </c>
      <c r="E2781">
        <v>0</v>
      </c>
      <c r="F2781">
        <v>6.8</v>
      </c>
      <c r="G2781">
        <v>6.81</v>
      </c>
      <c r="H2781">
        <v>7922</v>
      </c>
      <c r="I2781">
        <v>98</v>
      </c>
      <c r="J2781">
        <v>0</v>
      </c>
      <c r="K2781">
        <v>0.5</v>
      </c>
      <c r="L2781">
        <v>539.8</v>
      </c>
      <c r="M2781" t="s">
        <v>5454</v>
      </c>
      <c r="N2781" t="s">
        <v>86</v>
      </c>
      <c r="O2781">
        <v>6.81</v>
      </c>
      <c r="P2781">
        <v>6.84</v>
      </c>
      <c r="Q2781">
        <v>6.76</v>
      </c>
      <c r="R2781">
        <v>6.81</v>
      </c>
      <c r="S2781">
        <v>173.62</v>
      </c>
      <c r="T2781">
        <v>0.89</v>
      </c>
      <c r="U2781" t="s">
        <v>848</v>
      </c>
    </row>
    <row r="2782" spans="1:21">
      <c r="A2782" t="str">
        <f>"600273"</f>
        <v>600273</v>
      </c>
      <c r="B2782" t="s">
        <v>5455</v>
      </c>
      <c r="C2782">
        <v>3.07</v>
      </c>
      <c r="D2782">
        <v>10.4</v>
      </c>
      <c r="E2782">
        <v>0.31</v>
      </c>
      <c r="F2782">
        <v>10.4</v>
      </c>
      <c r="G2782">
        <v>10.41</v>
      </c>
      <c r="H2782">
        <v>404446</v>
      </c>
      <c r="I2782">
        <v>3399</v>
      </c>
      <c r="J2782">
        <v>-0.09</v>
      </c>
      <c r="K2782">
        <v>2.85</v>
      </c>
      <c r="L2782">
        <v>41711.66</v>
      </c>
      <c r="M2782" t="s">
        <v>5456</v>
      </c>
      <c r="N2782" t="s">
        <v>309</v>
      </c>
      <c r="O2782">
        <v>10.1</v>
      </c>
      <c r="P2782">
        <v>10.49</v>
      </c>
      <c r="Q2782">
        <v>9.98</v>
      </c>
      <c r="R2782">
        <v>10.09</v>
      </c>
      <c r="S2782">
        <v>9.17</v>
      </c>
      <c r="T2782">
        <v>1.48</v>
      </c>
      <c r="U2782" t="s">
        <v>200</v>
      </c>
    </row>
    <row r="2783" spans="1:21">
      <c r="A2783" t="str">
        <f>"600275"</f>
        <v>600275</v>
      </c>
      <c r="B2783" t="s">
        <v>5457</v>
      </c>
      <c r="C2783">
        <v>2.12</v>
      </c>
      <c r="D2783">
        <v>2.89</v>
      </c>
      <c r="E2783">
        <v>0.06</v>
      </c>
      <c r="F2783">
        <v>2.89</v>
      </c>
      <c r="G2783">
        <v>2.9</v>
      </c>
      <c r="H2783">
        <v>45465</v>
      </c>
      <c r="I2783">
        <v>273</v>
      </c>
      <c r="J2783">
        <v>-0.33</v>
      </c>
      <c r="K2783">
        <v>0.89</v>
      </c>
      <c r="L2783">
        <v>1301.41</v>
      </c>
      <c r="M2783" t="s">
        <v>5458</v>
      </c>
      <c r="N2783" t="s">
        <v>147</v>
      </c>
      <c r="O2783">
        <v>2.84</v>
      </c>
      <c r="P2783">
        <v>2.91</v>
      </c>
      <c r="Q2783">
        <v>2.81</v>
      </c>
      <c r="R2783">
        <v>2.83</v>
      </c>
      <c r="S2783" t="s">
        <v>40</v>
      </c>
      <c r="T2783">
        <v>0.73</v>
      </c>
      <c r="U2783" t="s">
        <v>267</v>
      </c>
    </row>
    <row r="2784" spans="1:21">
      <c r="A2784" t="str">
        <f>"600276"</f>
        <v>600276</v>
      </c>
      <c r="B2784" t="s">
        <v>5459</v>
      </c>
      <c r="C2784">
        <v>0.41</v>
      </c>
      <c r="D2784">
        <v>51.99</v>
      </c>
      <c r="E2784">
        <v>0.21</v>
      </c>
      <c r="F2784">
        <v>51.99</v>
      </c>
      <c r="G2784">
        <v>52</v>
      </c>
      <c r="H2784">
        <v>366586</v>
      </c>
      <c r="I2784">
        <v>4124</v>
      </c>
      <c r="J2784">
        <v>0.04</v>
      </c>
      <c r="K2784">
        <v>0.57</v>
      </c>
      <c r="L2784">
        <v>189874.64</v>
      </c>
      <c r="M2784" t="s">
        <v>5460</v>
      </c>
      <c r="N2784" t="s">
        <v>192</v>
      </c>
      <c r="O2784">
        <v>51.32</v>
      </c>
      <c r="P2784">
        <v>52.22</v>
      </c>
      <c r="Q2784">
        <v>51.24</v>
      </c>
      <c r="R2784">
        <v>51.78</v>
      </c>
      <c r="S2784">
        <v>59.29</v>
      </c>
      <c r="T2784">
        <v>0.63</v>
      </c>
      <c r="U2784" t="s">
        <v>102</v>
      </c>
    </row>
    <row r="2785" spans="1:21">
      <c r="A2785" t="str">
        <f>"600277"</f>
        <v>600277</v>
      </c>
      <c r="B2785" t="s">
        <v>5461</v>
      </c>
      <c r="C2785">
        <v>3.03</v>
      </c>
      <c r="D2785">
        <v>4.76</v>
      </c>
      <c r="E2785">
        <v>0.14</v>
      </c>
      <c r="F2785">
        <v>4.75</v>
      </c>
      <c r="G2785">
        <v>4.76</v>
      </c>
      <c r="H2785">
        <v>1913165</v>
      </c>
      <c r="I2785">
        <v>24859</v>
      </c>
      <c r="J2785">
        <v>-0.41</v>
      </c>
      <c r="K2785">
        <v>5.37</v>
      </c>
      <c r="L2785">
        <v>88995.64</v>
      </c>
      <c r="M2785" t="s">
        <v>5462</v>
      </c>
      <c r="N2785" t="s">
        <v>309</v>
      </c>
      <c r="O2785">
        <v>4.55</v>
      </c>
      <c r="P2785">
        <v>4.82</v>
      </c>
      <c r="Q2785">
        <v>4.46</v>
      </c>
      <c r="R2785">
        <v>4.62</v>
      </c>
      <c r="S2785">
        <v>20.25</v>
      </c>
      <c r="T2785">
        <v>1.11</v>
      </c>
      <c r="U2785" t="s">
        <v>275</v>
      </c>
    </row>
    <row r="2786" spans="1:21">
      <c r="A2786" t="str">
        <f>"600278"</f>
        <v>600278</v>
      </c>
      <c r="B2786" t="s">
        <v>5463</v>
      </c>
      <c r="C2786">
        <v>0.53</v>
      </c>
      <c r="D2786">
        <v>7.59</v>
      </c>
      <c r="E2786">
        <v>0.04</v>
      </c>
      <c r="F2786">
        <v>7.58</v>
      </c>
      <c r="G2786">
        <v>7.59</v>
      </c>
      <c r="H2786">
        <v>14499</v>
      </c>
      <c r="I2786">
        <v>340</v>
      </c>
      <c r="J2786">
        <v>0.13</v>
      </c>
      <c r="K2786">
        <v>0.21</v>
      </c>
      <c r="L2786">
        <v>1096.22</v>
      </c>
      <c r="M2786" t="s">
        <v>5464</v>
      </c>
      <c r="N2786" t="s">
        <v>189</v>
      </c>
      <c r="O2786">
        <v>7.54</v>
      </c>
      <c r="P2786">
        <v>7.59</v>
      </c>
      <c r="Q2786">
        <v>7.52</v>
      </c>
      <c r="R2786">
        <v>7.55</v>
      </c>
      <c r="S2786">
        <v>15.55</v>
      </c>
      <c r="T2786">
        <v>0.99</v>
      </c>
      <c r="U2786" t="s">
        <v>848</v>
      </c>
    </row>
    <row r="2787" spans="1:21">
      <c r="A2787" t="str">
        <f>"600279"</f>
        <v>600279</v>
      </c>
      <c r="B2787" t="s">
        <v>5465</v>
      </c>
      <c r="C2787">
        <v>0.27</v>
      </c>
      <c r="D2787">
        <v>3.68</v>
      </c>
      <c r="E2787">
        <v>0.01</v>
      </c>
      <c r="F2787">
        <v>3.68</v>
      </c>
      <c r="G2787">
        <v>3.69</v>
      </c>
      <c r="H2787">
        <v>14290</v>
      </c>
      <c r="I2787">
        <v>96</v>
      </c>
      <c r="J2787">
        <v>0</v>
      </c>
      <c r="K2787">
        <v>0.16</v>
      </c>
      <c r="L2787">
        <v>524.86</v>
      </c>
      <c r="M2787" t="s">
        <v>3480</v>
      </c>
      <c r="N2787" t="s">
        <v>169</v>
      </c>
      <c r="O2787">
        <v>3.66</v>
      </c>
      <c r="P2787">
        <v>3.7</v>
      </c>
      <c r="Q2787">
        <v>3.65</v>
      </c>
      <c r="R2787">
        <v>3.67</v>
      </c>
      <c r="S2787">
        <v>99.97</v>
      </c>
      <c r="T2787">
        <v>0.56</v>
      </c>
      <c r="U2787" t="s">
        <v>314</v>
      </c>
    </row>
    <row r="2788" spans="1:21">
      <c r="A2788" t="str">
        <f>"600280"</f>
        <v>600280</v>
      </c>
      <c r="B2788" t="s">
        <v>5466</v>
      </c>
      <c r="C2788">
        <v>-0.34</v>
      </c>
      <c r="D2788">
        <v>2.96</v>
      </c>
      <c r="E2788">
        <v>-0.01</v>
      </c>
      <c r="F2788">
        <v>2.96</v>
      </c>
      <c r="G2788">
        <v>2.97</v>
      </c>
      <c r="H2788">
        <v>44700</v>
      </c>
      <c r="I2788">
        <v>234</v>
      </c>
      <c r="J2788">
        <v>-0.33</v>
      </c>
      <c r="K2788">
        <v>0.39</v>
      </c>
      <c r="L2788">
        <v>1319.98</v>
      </c>
      <c r="M2788" t="s">
        <v>5467</v>
      </c>
      <c r="N2788" t="s">
        <v>258</v>
      </c>
      <c r="O2788">
        <v>2.97</v>
      </c>
      <c r="P2788">
        <v>3</v>
      </c>
      <c r="Q2788">
        <v>2.92</v>
      </c>
      <c r="R2788">
        <v>2.97</v>
      </c>
      <c r="S2788">
        <v>230.74</v>
      </c>
      <c r="T2788">
        <v>1</v>
      </c>
      <c r="U2788" t="s">
        <v>102</v>
      </c>
    </row>
    <row r="2789" spans="1:21">
      <c r="A2789" t="str">
        <f>"600281"</f>
        <v>600281</v>
      </c>
      <c r="B2789" t="s">
        <v>5468</v>
      </c>
      <c r="C2789">
        <v>-0.75</v>
      </c>
      <c r="D2789">
        <v>5.31</v>
      </c>
      <c r="E2789">
        <v>-0.04</v>
      </c>
      <c r="F2789">
        <v>5.31</v>
      </c>
      <c r="G2789">
        <v>5.32</v>
      </c>
      <c r="H2789">
        <v>127331</v>
      </c>
      <c r="I2789">
        <v>1485</v>
      </c>
      <c r="J2789">
        <v>0</v>
      </c>
      <c r="K2789">
        <v>2.48</v>
      </c>
      <c r="L2789">
        <v>6718.74</v>
      </c>
      <c r="M2789" t="s">
        <v>2743</v>
      </c>
      <c r="N2789" t="s">
        <v>99</v>
      </c>
      <c r="O2789">
        <v>5.43</v>
      </c>
      <c r="P2789">
        <v>5.43</v>
      </c>
      <c r="Q2789">
        <v>5.18</v>
      </c>
      <c r="R2789">
        <v>5.35</v>
      </c>
      <c r="S2789" t="s">
        <v>40</v>
      </c>
      <c r="T2789">
        <v>1.25</v>
      </c>
      <c r="U2789" t="s">
        <v>232</v>
      </c>
    </row>
    <row r="2790" spans="1:21">
      <c r="A2790" t="str">
        <f>"600282"</f>
        <v>600282</v>
      </c>
      <c r="B2790" t="s">
        <v>5469</v>
      </c>
      <c r="C2790">
        <v>3.75</v>
      </c>
      <c r="D2790">
        <v>3.6</v>
      </c>
      <c r="E2790">
        <v>0.13</v>
      </c>
      <c r="F2790">
        <v>3.6</v>
      </c>
      <c r="G2790">
        <v>3.61</v>
      </c>
      <c r="H2790">
        <v>826323</v>
      </c>
      <c r="I2790">
        <v>9539</v>
      </c>
      <c r="J2790">
        <v>-0.27</v>
      </c>
      <c r="K2790">
        <v>1.85</v>
      </c>
      <c r="L2790">
        <v>29334</v>
      </c>
      <c r="M2790" t="s">
        <v>5470</v>
      </c>
      <c r="N2790" t="s">
        <v>551</v>
      </c>
      <c r="O2790">
        <v>3.49</v>
      </c>
      <c r="P2790">
        <v>3.62</v>
      </c>
      <c r="Q2790">
        <v>3.49</v>
      </c>
      <c r="R2790">
        <v>3.47</v>
      </c>
      <c r="S2790">
        <v>4.79</v>
      </c>
      <c r="T2790">
        <v>1.72</v>
      </c>
      <c r="U2790" t="s">
        <v>102</v>
      </c>
    </row>
    <row r="2791" spans="1:21">
      <c r="A2791" t="str">
        <f>"600283"</f>
        <v>600283</v>
      </c>
      <c r="B2791" t="s">
        <v>5471</v>
      </c>
      <c r="C2791">
        <v>0.19</v>
      </c>
      <c r="D2791">
        <v>10.76</v>
      </c>
      <c r="E2791">
        <v>0.02</v>
      </c>
      <c r="F2791">
        <v>10.75</v>
      </c>
      <c r="G2791">
        <v>10.76</v>
      </c>
      <c r="H2791">
        <v>15960</v>
      </c>
      <c r="I2791">
        <v>339</v>
      </c>
      <c r="J2791">
        <v>0</v>
      </c>
      <c r="K2791">
        <v>0.45</v>
      </c>
      <c r="L2791">
        <v>1712.18</v>
      </c>
      <c r="M2791" t="s">
        <v>4806</v>
      </c>
      <c r="N2791" t="s">
        <v>465</v>
      </c>
      <c r="O2791">
        <v>10.74</v>
      </c>
      <c r="P2791">
        <v>10.81</v>
      </c>
      <c r="Q2791">
        <v>10.65</v>
      </c>
      <c r="R2791">
        <v>10.74</v>
      </c>
      <c r="S2791">
        <v>19.36</v>
      </c>
      <c r="T2791">
        <v>0.65</v>
      </c>
      <c r="U2791" t="s">
        <v>200</v>
      </c>
    </row>
    <row r="2792" spans="1:21">
      <c r="A2792" t="str">
        <f>"600284"</f>
        <v>600284</v>
      </c>
      <c r="B2792" t="s">
        <v>5472</v>
      </c>
      <c r="C2792">
        <v>1.04</v>
      </c>
      <c r="D2792">
        <v>5.85</v>
      </c>
      <c r="E2792">
        <v>0.06</v>
      </c>
      <c r="F2792">
        <v>5.84</v>
      </c>
      <c r="G2792">
        <v>5.85</v>
      </c>
      <c r="H2792">
        <v>23997</v>
      </c>
      <c r="I2792">
        <v>741</v>
      </c>
      <c r="J2792">
        <v>0.17</v>
      </c>
      <c r="K2792">
        <v>0.25</v>
      </c>
      <c r="L2792">
        <v>1400.01</v>
      </c>
      <c r="M2792" t="s">
        <v>5473</v>
      </c>
      <c r="N2792" t="s">
        <v>50</v>
      </c>
      <c r="O2792">
        <v>5.84</v>
      </c>
      <c r="P2792">
        <v>5.85</v>
      </c>
      <c r="Q2792">
        <v>5.81</v>
      </c>
      <c r="R2792">
        <v>5.79</v>
      </c>
      <c r="S2792">
        <v>13.09</v>
      </c>
      <c r="T2792">
        <v>1.11</v>
      </c>
      <c r="U2792" t="s">
        <v>848</v>
      </c>
    </row>
    <row r="2793" spans="1:21">
      <c r="A2793" t="str">
        <f>"600285"</f>
        <v>600285</v>
      </c>
      <c r="B2793" t="s">
        <v>5474</v>
      </c>
      <c r="C2793">
        <v>2.05</v>
      </c>
      <c r="D2793">
        <v>11.96</v>
      </c>
      <c r="E2793">
        <v>0.24</v>
      </c>
      <c r="F2793">
        <v>11.96</v>
      </c>
      <c r="G2793">
        <v>11.97</v>
      </c>
      <c r="H2793">
        <v>163456</v>
      </c>
      <c r="I2793">
        <v>2690</v>
      </c>
      <c r="J2793">
        <v>-0.32</v>
      </c>
      <c r="K2793">
        <v>2.95</v>
      </c>
      <c r="L2793">
        <v>19373.8</v>
      </c>
      <c r="M2793" t="s">
        <v>5475</v>
      </c>
      <c r="N2793" t="s">
        <v>270</v>
      </c>
      <c r="O2793">
        <v>11.73</v>
      </c>
      <c r="P2793">
        <v>12.08</v>
      </c>
      <c r="Q2793">
        <v>11.58</v>
      </c>
      <c r="R2793">
        <v>11.72</v>
      </c>
      <c r="S2793">
        <v>15.59</v>
      </c>
      <c r="T2793">
        <v>0.75</v>
      </c>
      <c r="U2793" t="s">
        <v>224</v>
      </c>
    </row>
    <row r="2794" spans="1:21">
      <c r="A2794" t="str">
        <f>"600287"</f>
        <v>600287</v>
      </c>
      <c r="B2794" t="s">
        <v>5476</v>
      </c>
      <c r="C2794">
        <v>1.96</v>
      </c>
      <c r="D2794">
        <v>4.16</v>
      </c>
      <c r="E2794">
        <v>0.08</v>
      </c>
      <c r="F2794">
        <v>4.16</v>
      </c>
      <c r="G2794">
        <v>4.17</v>
      </c>
      <c r="H2794">
        <v>18864</v>
      </c>
      <c r="I2794">
        <v>390</v>
      </c>
      <c r="J2794">
        <v>0</v>
      </c>
      <c r="K2794">
        <v>0.43</v>
      </c>
      <c r="L2794">
        <v>773.97</v>
      </c>
      <c r="M2794" t="s">
        <v>5477</v>
      </c>
      <c r="N2794" t="s">
        <v>189</v>
      </c>
      <c r="O2794">
        <v>4.09</v>
      </c>
      <c r="P2794">
        <v>4.17</v>
      </c>
      <c r="Q2794">
        <v>4.04</v>
      </c>
      <c r="R2794">
        <v>4.08</v>
      </c>
      <c r="S2794" t="s">
        <v>40</v>
      </c>
      <c r="T2794">
        <v>1.14</v>
      </c>
      <c r="U2794" t="s">
        <v>102</v>
      </c>
    </row>
    <row r="2795" spans="1:21">
      <c r="A2795" t="str">
        <f>"600288"</f>
        <v>600288</v>
      </c>
      <c r="B2795" t="s">
        <v>5478</v>
      </c>
      <c r="C2795">
        <v>2.41</v>
      </c>
      <c r="D2795">
        <v>12.3</v>
      </c>
      <c r="E2795">
        <v>0.29</v>
      </c>
      <c r="F2795">
        <v>12.29</v>
      </c>
      <c r="G2795">
        <v>12.3</v>
      </c>
      <c r="H2795">
        <v>34920</v>
      </c>
      <c r="I2795">
        <v>678</v>
      </c>
      <c r="J2795">
        <v>0.24</v>
      </c>
      <c r="K2795">
        <v>0.8</v>
      </c>
      <c r="L2795">
        <v>4251.74</v>
      </c>
      <c r="M2795" t="s">
        <v>747</v>
      </c>
      <c r="N2795" t="s">
        <v>30</v>
      </c>
      <c r="O2795">
        <v>12.07</v>
      </c>
      <c r="P2795">
        <v>12.32</v>
      </c>
      <c r="Q2795">
        <v>11.93</v>
      </c>
      <c r="R2795">
        <v>12.01</v>
      </c>
      <c r="S2795">
        <v>87.05</v>
      </c>
      <c r="T2795">
        <v>1.14</v>
      </c>
      <c r="U2795" t="s">
        <v>44</v>
      </c>
    </row>
    <row r="2796" spans="1:21">
      <c r="A2796" t="str">
        <f>"600289"</f>
        <v>600289</v>
      </c>
      <c r="B2796" t="s">
        <v>5479</v>
      </c>
      <c r="C2796">
        <v>-0.99</v>
      </c>
      <c r="D2796">
        <v>4.01</v>
      </c>
      <c r="E2796">
        <v>-0.04</v>
      </c>
      <c r="F2796">
        <v>4.01</v>
      </c>
      <c r="G2796">
        <v>4.02</v>
      </c>
      <c r="H2796">
        <v>63546</v>
      </c>
      <c r="I2796">
        <v>531</v>
      </c>
      <c r="J2796">
        <v>-0.24</v>
      </c>
      <c r="K2796">
        <v>1.12</v>
      </c>
      <c r="L2796">
        <v>2546.23</v>
      </c>
      <c r="M2796" t="s">
        <v>5157</v>
      </c>
      <c r="N2796" t="s">
        <v>30</v>
      </c>
      <c r="O2796">
        <v>4.04</v>
      </c>
      <c r="P2796">
        <v>4.08</v>
      </c>
      <c r="Q2796">
        <v>3.96</v>
      </c>
      <c r="R2796">
        <v>4.05</v>
      </c>
      <c r="S2796" t="s">
        <v>40</v>
      </c>
      <c r="T2796">
        <v>1.16</v>
      </c>
      <c r="U2796" t="s">
        <v>445</v>
      </c>
    </row>
    <row r="2797" spans="1:21">
      <c r="A2797" t="str">
        <f>"600290"</f>
        <v>600290</v>
      </c>
      <c r="B2797" t="s">
        <v>5480</v>
      </c>
      <c r="C2797">
        <v>-0.87</v>
      </c>
      <c r="D2797">
        <v>3.41</v>
      </c>
      <c r="E2797">
        <v>-0.03</v>
      </c>
      <c r="F2797">
        <v>3.41</v>
      </c>
      <c r="G2797">
        <v>3.42</v>
      </c>
      <c r="H2797">
        <v>72877</v>
      </c>
      <c r="I2797">
        <v>536</v>
      </c>
      <c r="J2797">
        <v>-0.28</v>
      </c>
      <c r="K2797">
        <v>0.96</v>
      </c>
      <c r="L2797">
        <v>2485</v>
      </c>
      <c r="M2797" t="s">
        <v>4577</v>
      </c>
      <c r="N2797" t="s">
        <v>47</v>
      </c>
      <c r="O2797">
        <v>3.41</v>
      </c>
      <c r="P2797">
        <v>3.45</v>
      </c>
      <c r="Q2797">
        <v>3.38</v>
      </c>
      <c r="R2797">
        <v>3.44</v>
      </c>
      <c r="S2797" t="s">
        <v>40</v>
      </c>
      <c r="T2797">
        <v>0.84</v>
      </c>
      <c r="U2797" t="s">
        <v>200</v>
      </c>
    </row>
    <row r="2798" spans="1:21">
      <c r="A2798" t="str">
        <f>"600291"</f>
        <v>600291</v>
      </c>
      <c r="B2798" t="s">
        <v>5481</v>
      </c>
      <c r="C2798">
        <v>5</v>
      </c>
      <c r="D2798">
        <v>7.35</v>
      </c>
      <c r="E2798">
        <v>0.35</v>
      </c>
      <c r="F2798">
        <v>7.35</v>
      </c>
      <c r="G2798" t="s">
        <v>40</v>
      </c>
      <c r="H2798">
        <v>343969</v>
      </c>
      <c r="I2798">
        <v>352</v>
      </c>
      <c r="J2798">
        <v>0</v>
      </c>
      <c r="K2798">
        <v>3.15</v>
      </c>
      <c r="L2798">
        <v>24930.26</v>
      </c>
      <c r="M2798" t="s">
        <v>5482</v>
      </c>
      <c r="N2798" t="s">
        <v>517</v>
      </c>
      <c r="O2798">
        <v>7</v>
      </c>
      <c r="P2798">
        <v>7.35</v>
      </c>
      <c r="Q2798">
        <v>7</v>
      </c>
      <c r="R2798">
        <v>7</v>
      </c>
      <c r="S2798">
        <v>67.81</v>
      </c>
      <c r="T2798">
        <v>1.04</v>
      </c>
      <c r="U2798" t="s">
        <v>275</v>
      </c>
    </row>
    <row r="2799" spans="1:21">
      <c r="A2799" t="str">
        <f>"600292"</f>
        <v>600292</v>
      </c>
      <c r="B2799" t="s">
        <v>5483</v>
      </c>
      <c r="C2799">
        <v>-0.64</v>
      </c>
      <c r="D2799">
        <v>7.77</v>
      </c>
      <c r="E2799">
        <v>-0.05</v>
      </c>
      <c r="F2799">
        <v>7.76</v>
      </c>
      <c r="G2799">
        <v>7.77</v>
      </c>
      <c r="H2799">
        <v>55127</v>
      </c>
      <c r="I2799">
        <v>1366</v>
      </c>
      <c r="J2799">
        <v>0</v>
      </c>
      <c r="K2799">
        <v>0.71</v>
      </c>
      <c r="L2799">
        <v>4263.73</v>
      </c>
      <c r="M2799" t="s">
        <v>5484</v>
      </c>
      <c r="N2799" t="s">
        <v>33</v>
      </c>
      <c r="O2799">
        <v>7.79</v>
      </c>
      <c r="P2799">
        <v>7.85</v>
      </c>
      <c r="Q2799">
        <v>7.67</v>
      </c>
      <c r="R2799">
        <v>7.82</v>
      </c>
      <c r="S2799">
        <v>56.63</v>
      </c>
      <c r="T2799">
        <v>1.12</v>
      </c>
      <c r="U2799" t="s">
        <v>314</v>
      </c>
    </row>
    <row r="2800" spans="1:21">
      <c r="A2800" t="str">
        <f>"600293"</f>
        <v>600293</v>
      </c>
      <c r="B2800" t="s">
        <v>5485</v>
      </c>
      <c r="C2800">
        <v>0.58</v>
      </c>
      <c r="D2800">
        <v>3.44</v>
      </c>
      <c r="E2800">
        <v>0.02</v>
      </c>
      <c r="F2800">
        <v>3.43</v>
      </c>
      <c r="G2800">
        <v>3.44</v>
      </c>
      <c r="H2800">
        <v>172548</v>
      </c>
      <c r="I2800">
        <v>2272</v>
      </c>
      <c r="J2800">
        <v>0.29</v>
      </c>
      <c r="K2800">
        <v>1.49</v>
      </c>
      <c r="L2800">
        <v>5870.03</v>
      </c>
      <c r="M2800" t="s">
        <v>5486</v>
      </c>
      <c r="N2800" t="s">
        <v>55</v>
      </c>
      <c r="O2800">
        <v>3.42</v>
      </c>
      <c r="P2800">
        <v>3.45</v>
      </c>
      <c r="Q2800">
        <v>3.36</v>
      </c>
      <c r="R2800">
        <v>3.42</v>
      </c>
      <c r="S2800">
        <v>23.83</v>
      </c>
      <c r="T2800">
        <v>0.78</v>
      </c>
      <c r="U2800" t="s">
        <v>267</v>
      </c>
    </row>
    <row r="2801" spans="1:21">
      <c r="A2801" t="str">
        <f>"600295"</f>
        <v>600295</v>
      </c>
      <c r="B2801" t="s">
        <v>5487</v>
      </c>
      <c r="C2801">
        <v>2.82</v>
      </c>
      <c r="D2801">
        <v>26.98</v>
      </c>
      <c r="E2801">
        <v>0.74</v>
      </c>
      <c r="F2801">
        <v>26.98</v>
      </c>
      <c r="G2801">
        <v>26.99</v>
      </c>
      <c r="H2801">
        <v>175404</v>
      </c>
      <c r="I2801">
        <v>1900</v>
      </c>
      <c r="J2801">
        <v>0.15</v>
      </c>
      <c r="K2801">
        <v>2.69</v>
      </c>
      <c r="L2801">
        <v>46502.95</v>
      </c>
      <c r="M2801" t="s">
        <v>5488</v>
      </c>
      <c r="N2801" t="s">
        <v>628</v>
      </c>
      <c r="O2801">
        <v>26</v>
      </c>
      <c r="P2801">
        <v>27.25</v>
      </c>
      <c r="Q2801">
        <v>25.61</v>
      </c>
      <c r="R2801">
        <v>26.24</v>
      </c>
      <c r="S2801">
        <v>7.78</v>
      </c>
      <c r="T2801">
        <v>1.41</v>
      </c>
      <c r="U2801" t="s">
        <v>275</v>
      </c>
    </row>
    <row r="2802" spans="1:21">
      <c r="A2802" t="str">
        <f>"600297"</f>
        <v>600297</v>
      </c>
      <c r="B2802" t="s">
        <v>5489</v>
      </c>
      <c r="C2802">
        <v>1.17</v>
      </c>
      <c r="D2802">
        <v>2.59</v>
      </c>
      <c r="E2802">
        <v>0.03</v>
      </c>
      <c r="F2802">
        <v>2.58</v>
      </c>
      <c r="G2802">
        <v>2.59</v>
      </c>
      <c r="H2802">
        <v>462568</v>
      </c>
      <c r="I2802">
        <v>6761</v>
      </c>
      <c r="J2802">
        <v>0</v>
      </c>
      <c r="K2802">
        <v>0.57</v>
      </c>
      <c r="L2802">
        <v>11832.18</v>
      </c>
      <c r="M2802" t="s">
        <v>5490</v>
      </c>
      <c r="N2802" t="s">
        <v>78</v>
      </c>
      <c r="O2802">
        <v>2.55</v>
      </c>
      <c r="P2802">
        <v>2.59</v>
      </c>
      <c r="Q2802">
        <v>2.53</v>
      </c>
      <c r="R2802">
        <v>2.56</v>
      </c>
      <c r="S2802">
        <v>9.68</v>
      </c>
      <c r="T2802">
        <v>0.78</v>
      </c>
      <c r="U2802" t="s">
        <v>141</v>
      </c>
    </row>
    <row r="2803" spans="1:21">
      <c r="A2803" t="str">
        <f>"600298"</f>
        <v>600298</v>
      </c>
      <c r="B2803" t="s">
        <v>5491</v>
      </c>
      <c r="C2803">
        <v>0.72</v>
      </c>
      <c r="D2803">
        <v>52.88</v>
      </c>
      <c r="E2803">
        <v>0.38</v>
      </c>
      <c r="F2803">
        <v>52.88</v>
      </c>
      <c r="G2803">
        <v>52.89</v>
      </c>
      <c r="H2803">
        <v>62351</v>
      </c>
      <c r="I2803">
        <v>504</v>
      </c>
      <c r="J2803">
        <v>0.06</v>
      </c>
      <c r="K2803">
        <v>0.76</v>
      </c>
      <c r="L2803">
        <v>32934.11</v>
      </c>
      <c r="M2803" t="s">
        <v>5492</v>
      </c>
      <c r="N2803" t="s">
        <v>299</v>
      </c>
      <c r="O2803">
        <v>52.64</v>
      </c>
      <c r="P2803">
        <v>53.35</v>
      </c>
      <c r="Q2803">
        <v>52.12</v>
      </c>
      <c r="R2803">
        <v>52.5</v>
      </c>
      <c r="S2803">
        <v>32.45</v>
      </c>
      <c r="T2803">
        <v>0.84</v>
      </c>
      <c r="U2803" t="s">
        <v>267</v>
      </c>
    </row>
    <row r="2804" spans="1:21">
      <c r="A2804" t="str">
        <f>"600299"</f>
        <v>600299</v>
      </c>
      <c r="B2804" t="s">
        <v>5493</v>
      </c>
      <c r="C2804">
        <v>0.95</v>
      </c>
      <c r="D2804">
        <v>12.69</v>
      </c>
      <c r="E2804">
        <v>0.12</v>
      </c>
      <c r="F2804">
        <v>12.69</v>
      </c>
      <c r="G2804">
        <v>12.7</v>
      </c>
      <c r="H2804">
        <v>84910</v>
      </c>
      <c r="I2804">
        <v>1278</v>
      </c>
      <c r="J2804">
        <v>-0.07</v>
      </c>
      <c r="K2804">
        <v>0.32</v>
      </c>
      <c r="L2804">
        <v>10729.59</v>
      </c>
      <c r="M2804" t="s">
        <v>5494</v>
      </c>
      <c r="N2804" t="s">
        <v>192</v>
      </c>
      <c r="O2804">
        <v>12.58</v>
      </c>
      <c r="P2804">
        <v>12.78</v>
      </c>
      <c r="Q2804">
        <v>12.43</v>
      </c>
      <c r="R2804">
        <v>12.57</v>
      </c>
      <c r="S2804">
        <v>20.41</v>
      </c>
      <c r="T2804">
        <v>1.04</v>
      </c>
      <c r="U2804" t="s">
        <v>44</v>
      </c>
    </row>
    <row r="2805" spans="1:21">
      <c r="A2805" t="str">
        <f>"600300"</f>
        <v>600300</v>
      </c>
      <c r="B2805" t="s">
        <v>5495</v>
      </c>
      <c r="C2805">
        <v>0.27</v>
      </c>
      <c r="D2805">
        <v>3.66</v>
      </c>
      <c r="E2805">
        <v>0.01</v>
      </c>
      <c r="F2805">
        <v>3.65</v>
      </c>
      <c r="G2805">
        <v>3.66</v>
      </c>
      <c r="H2805">
        <v>71751</v>
      </c>
      <c r="I2805">
        <v>1529</v>
      </c>
      <c r="J2805">
        <v>0.27</v>
      </c>
      <c r="K2805">
        <v>0.43</v>
      </c>
      <c r="L2805">
        <v>2618.38</v>
      </c>
      <c r="M2805" t="s">
        <v>5496</v>
      </c>
      <c r="N2805" t="s">
        <v>825</v>
      </c>
      <c r="O2805">
        <v>3.63</v>
      </c>
      <c r="P2805">
        <v>3.67</v>
      </c>
      <c r="Q2805">
        <v>3.62</v>
      </c>
      <c r="R2805">
        <v>3.65</v>
      </c>
      <c r="S2805">
        <v>26.1</v>
      </c>
      <c r="T2805">
        <v>0.56</v>
      </c>
      <c r="U2805" t="s">
        <v>102</v>
      </c>
    </row>
    <row r="2806" spans="1:21">
      <c r="A2806" t="str">
        <f>"600301"</f>
        <v>600301</v>
      </c>
      <c r="B2806" t="s">
        <v>5497</v>
      </c>
      <c r="C2806">
        <v>-0.7</v>
      </c>
      <c r="D2806">
        <v>11.38</v>
      </c>
      <c r="E2806">
        <v>-0.08</v>
      </c>
      <c r="F2806">
        <v>11.38</v>
      </c>
      <c r="G2806">
        <v>11.39</v>
      </c>
      <c r="H2806">
        <v>22739</v>
      </c>
      <c r="I2806">
        <v>1032</v>
      </c>
      <c r="J2806">
        <v>-0.08</v>
      </c>
      <c r="K2806">
        <v>0.97</v>
      </c>
      <c r="L2806">
        <v>2588.47</v>
      </c>
      <c r="M2806" t="s">
        <v>5498</v>
      </c>
      <c r="N2806" t="s">
        <v>189</v>
      </c>
      <c r="O2806">
        <v>11.45</v>
      </c>
      <c r="P2806">
        <v>11.56</v>
      </c>
      <c r="Q2806">
        <v>11.3</v>
      </c>
      <c r="R2806">
        <v>11.46</v>
      </c>
      <c r="S2806">
        <v>173.08</v>
      </c>
      <c r="T2806">
        <v>0.69</v>
      </c>
      <c r="U2806" t="s">
        <v>342</v>
      </c>
    </row>
    <row r="2807" spans="1:21">
      <c r="A2807" t="str">
        <f>"600302"</f>
        <v>600302</v>
      </c>
      <c r="B2807" t="s">
        <v>5499</v>
      </c>
      <c r="C2807">
        <v>0.7</v>
      </c>
      <c r="D2807">
        <v>4.31</v>
      </c>
      <c r="E2807">
        <v>0.03</v>
      </c>
      <c r="F2807">
        <v>4.3</v>
      </c>
      <c r="G2807">
        <v>4.31</v>
      </c>
      <c r="H2807">
        <v>14844</v>
      </c>
      <c r="I2807">
        <v>105</v>
      </c>
      <c r="J2807">
        <v>0.23</v>
      </c>
      <c r="K2807">
        <v>0.43</v>
      </c>
      <c r="L2807">
        <v>635.46</v>
      </c>
      <c r="M2807" t="s">
        <v>5500</v>
      </c>
      <c r="N2807" t="s">
        <v>1135</v>
      </c>
      <c r="O2807">
        <v>4.28</v>
      </c>
      <c r="P2807">
        <v>4.33</v>
      </c>
      <c r="Q2807">
        <v>4.23</v>
      </c>
      <c r="R2807">
        <v>4.28</v>
      </c>
      <c r="S2807" t="s">
        <v>40</v>
      </c>
      <c r="T2807">
        <v>0.67</v>
      </c>
      <c r="U2807" t="s">
        <v>317</v>
      </c>
    </row>
    <row r="2808" spans="1:21">
      <c r="A2808" t="str">
        <f>"600303"</f>
        <v>600303</v>
      </c>
      <c r="B2808" t="s">
        <v>5501</v>
      </c>
      <c r="C2808">
        <v>1.53</v>
      </c>
      <c r="D2808">
        <v>3.99</v>
      </c>
      <c r="E2808">
        <v>0.06</v>
      </c>
      <c r="F2808">
        <v>3.98</v>
      </c>
      <c r="G2808">
        <v>3.99</v>
      </c>
      <c r="H2808">
        <v>76247</v>
      </c>
      <c r="I2808">
        <v>1258</v>
      </c>
      <c r="J2808">
        <v>0.5</v>
      </c>
      <c r="K2808">
        <v>1.13</v>
      </c>
      <c r="L2808">
        <v>3022.49</v>
      </c>
      <c r="M2808" t="s">
        <v>5502</v>
      </c>
      <c r="N2808" t="s">
        <v>385</v>
      </c>
      <c r="O2808">
        <v>3.93</v>
      </c>
      <c r="P2808">
        <v>4.01</v>
      </c>
      <c r="Q2808">
        <v>3.89</v>
      </c>
      <c r="R2808">
        <v>3.93</v>
      </c>
      <c r="S2808" t="s">
        <v>40</v>
      </c>
      <c r="T2808">
        <v>0.9</v>
      </c>
      <c r="U2808" t="s">
        <v>141</v>
      </c>
    </row>
    <row r="2809" spans="1:21">
      <c r="A2809" t="str">
        <f>"600305"</f>
        <v>600305</v>
      </c>
      <c r="B2809" t="s">
        <v>5503</v>
      </c>
      <c r="C2809">
        <v>0.31</v>
      </c>
      <c r="D2809">
        <v>16.32</v>
      </c>
      <c r="E2809">
        <v>0.05</v>
      </c>
      <c r="F2809">
        <v>16.32</v>
      </c>
      <c r="G2809">
        <v>16.33</v>
      </c>
      <c r="H2809">
        <v>136853</v>
      </c>
      <c r="I2809">
        <v>2454</v>
      </c>
      <c r="J2809">
        <v>0.06</v>
      </c>
      <c r="K2809">
        <v>1.36</v>
      </c>
      <c r="L2809">
        <v>22239.51</v>
      </c>
      <c r="M2809" t="s">
        <v>5504</v>
      </c>
      <c r="N2809" t="s">
        <v>299</v>
      </c>
      <c r="O2809">
        <v>16.27</v>
      </c>
      <c r="P2809">
        <v>16.45</v>
      </c>
      <c r="Q2809">
        <v>16.02</v>
      </c>
      <c r="R2809">
        <v>16.27</v>
      </c>
      <c r="S2809">
        <v>91.17</v>
      </c>
      <c r="T2809">
        <v>0.59</v>
      </c>
      <c r="U2809" t="s">
        <v>102</v>
      </c>
    </row>
    <row r="2810" spans="1:21">
      <c r="A2810" t="str">
        <f>"600306"</f>
        <v>600306</v>
      </c>
      <c r="B2810" t="s">
        <v>5505</v>
      </c>
      <c r="C2810">
        <v>1.06</v>
      </c>
      <c r="D2810">
        <v>17.2</v>
      </c>
      <c r="E2810">
        <v>0.18</v>
      </c>
      <c r="F2810">
        <v>17.19</v>
      </c>
      <c r="G2810">
        <v>17.2</v>
      </c>
      <c r="H2810">
        <v>5163</v>
      </c>
      <c r="I2810">
        <v>160</v>
      </c>
      <c r="J2810">
        <v>0.06</v>
      </c>
      <c r="K2810">
        <v>0.29</v>
      </c>
      <c r="L2810">
        <v>878.84</v>
      </c>
      <c r="M2810" t="s">
        <v>5506</v>
      </c>
      <c r="N2810" t="s">
        <v>258</v>
      </c>
      <c r="O2810">
        <v>16.95</v>
      </c>
      <c r="P2810">
        <v>17.4</v>
      </c>
      <c r="Q2810">
        <v>16.73</v>
      </c>
      <c r="R2810">
        <v>17.02</v>
      </c>
      <c r="S2810" t="s">
        <v>40</v>
      </c>
      <c r="T2810">
        <v>0.31</v>
      </c>
      <c r="U2810" t="s">
        <v>141</v>
      </c>
    </row>
    <row r="2811" spans="1:21">
      <c r="A2811" t="str">
        <f>"600307"</f>
        <v>600307</v>
      </c>
      <c r="B2811" t="s">
        <v>5507</v>
      </c>
      <c r="C2811">
        <v>2.43</v>
      </c>
      <c r="D2811">
        <v>2.11</v>
      </c>
      <c r="E2811">
        <v>0.05</v>
      </c>
      <c r="F2811">
        <v>2.1</v>
      </c>
      <c r="G2811">
        <v>2.11</v>
      </c>
      <c r="H2811">
        <v>908428</v>
      </c>
      <c r="I2811">
        <v>11300</v>
      </c>
      <c r="J2811">
        <v>0.48</v>
      </c>
      <c r="K2811">
        <v>1.45</v>
      </c>
      <c r="L2811">
        <v>18810.47</v>
      </c>
      <c r="M2811" t="s">
        <v>5508</v>
      </c>
      <c r="N2811" t="s">
        <v>551</v>
      </c>
      <c r="O2811">
        <v>2.06</v>
      </c>
      <c r="P2811">
        <v>2.11</v>
      </c>
      <c r="Q2811">
        <v>2.03</v>
      </c>
      <c r="R2811">
        <v>2.06</v>
      </c>
      <c r="S2811">
        <v>3.99</v>
      </c>
      <c r="T2811">
        <v>1.23</v>
      </c>
      <c r="U2811" t="s">
        <v>391</v>
      </c>
    </row>
    <row r="2812" spans="1:21">
      <c r="A2812" t="str">
        <f>"600308"</f>
        <v>600308</v>
      </c>
      <c r="B2812" t="s">
        <v>5509</v>
      </c>
      <c r="C2812">
        <v>1.02</v>
      </c>
      <c r="D2812">
        <v>5.93</v>
      </c>
      <c r="E2812">
        <v>0.06</v>
      </c>
      <c r="F2812">
        <v>5.93</v>
      </c>
      <c r="G2812">
        <v>5.94</v>
      </c>
      <c r="H2812">
        <v>388297</v>
      </c>
      <c r="I2812">
        <v>10814</v>
      </c>
      <c r="J2812">
        <v>-0.33</v>
      </c>
      <c r="K2812">
        <v>3.33</v>
      </c>
      <c r="L2812">
        <v>22767.77</v>
      </c>
      <c r="M2812" t="s">
        <v>5510</v>
      </c>
      <c r="N2812" t="s">
        <v>285</v>
      </c>
      <c r="O2812">
        <v>5.87</v>
      </c>
      <c r="P2812">
        <v>5.98</v>
      </c>
      <c r="Q2812">
        <v>5.75</v>
      </c>
      <c r="R2812">
        <v>5.87</v>
      </c>
      <c r="S2812">
        <v>6.83</v>
      </c>
      <c r="T2812">
        <v>1.72</v>
      </c>
      <c r="U2812" t="s">
        <v>221</v>
      </c>
    </row>
    <row r="2813" spans="1:21">
      <c r="A2813" t="str">
        <f>"600309"</f>
        <v>600309</v>
      </c>
      <c r="B2813" t="s">
        <v>5511</v>
      </c>
      <c r="C2813">
        <v>2.7</v>
      </c>
      <c r="D2813">
        <v>100.24</v>
      </c>
      <c r="E2813">
        <v>2.64</v>
      </c>
      <c r="F2813">
        <v>100.24</v>
      </c>
      <c r="G2813">
        <v>100.25</v>
      </c>
      <c r="H2813">
        <v>144446</v>
      </c>
      <c r="I2813">
        <v>1567</v>
      </c>
      <c r="J2813">
        <v>0.01</v>
      </c>
      <c r="K2813">
        <v>1.01</v>
      </c>
      <c r="L2813">
        <v>143677.71</v>
      </c>
      <c r="M2813" t="s">
        <v>5512</v>
      </c>
      <c r="N2813" t="s">
        <v>309</v>
      </c>
      <c r="O2813">
        <v>97.88</v>
      </c>
      <c r="P2813">
        <v>101.11</v>
      </c>
      <c r="Q2813">
        <v>97.63</v>
      </c>
      <c r="R2813">
        <v>97.6</v>
      </c>
      <c r="S2813">
        <v>12.08</v>
      </c>
      <c r="T2813">
        <v>1.35</v>
      </c>
      <c r="U2813" t="s">
        <v>221</v>
      </c>
    </row>
    <row r="2814" spans="1:21">
      <c r="A2814" t="str">
        <f>"600310"</f>
        <v>600310</v>
      </c>
      <c r="B2814" t="s">
        <v>5513</v>
      </c>
      <c r="C2814">
        <v>-1.01</v>
      </c>
      <c r="D2814">
        <v>4.91</v>
      </c>
      <c r="E2814">
        <v>-0.05</v>
      </c>
      <c r="F2814">
        <v>4.9</v>
      </c>
      <c r="G2814">
        <v>4.91</v>
      </c>
      <c r="H2814">
        <v>266306</v>
      </c>
      <c r="I2814">
        <v>4580</v>
      </c>
      <c r="J2814">
        <v>0</v>
      </c>
      <c r="K2814">
        <v>3.22</v>
      </c>
      <c r="L2814">
        <v>12980.21</v>
      </c>
      <c r="M2814" t="s">
        <v>4751</v>
      </c>
      <c r="N2814" t="s">
        <v>472</v>
      </c>
      <c r="O2814">
        <v>4.97</v>
      </c>
      <c r="P2814">
        <v>4.99</v>
      </c>
      <c r="Q2814">
        <v>4.8</v>
      </c>
      <c r="R2814">
        <v>4.96</v>
      </c>
      <c r="S2814">
        <v>78.53</v>
      </c>
      <c r="T2814">
        <v>0.92</v>
      </c>
      <c r="U2814" t="s">
        <v>342</v>
      </c>
    </row>
    <row r="2815" spans="1:21">
      <c r="A2815" t="str">
        <f>"600311"</f>
        <v>600311</v>
      </c>
      <c r="B2815" t="s">
        <v>5514</v>
      </c>
      <c r="C2815">
        <v>-0.98</v>
      </c>
      <c r="D2815">
        <v>2.03</v>
      </c>
      <c r="E2815">
        <v>-0.02</v>
      </c>
      <c r="F2815">
        <v>2.03</v>
      </c>
      <c r="G2815">
        <v>2.04</v>
      </c>
      <c r="H2815">
        <v>59974</v>
      </c>
      <c r="I2815">
        <v>1726</v>
      </c>
      <c r="J2815">
        <v>0.5</v>
      </c>
      <c r="K2815">
        <v>0.9</v>
      </c>
      <c r="L2815">
        <v>1230.34</v>
      </c>
      <c r="M2815" t="s">
        <v>5515</v>
      </c>
      <c r="N2815" t="s">
        <v>302</v>
      </c>
      <c r="O2815">
        <v>2.05</v>
      </c>
      <c r="P2815">
        <v>2.09</v>
      </c>
      <c r="Q2815">
        <v>2.02</v>
      </c>
      <c r="R2815">
        <v>2.05</v>
      </c>
      <c r="S2815" t="s">
        <v>40</v>
      </c>
      <c r="T2815">
        <v>0.98</v>
      </c>
      <c r="U2815" t="s">
        <v>391</v>
      </c>
    </row>
    <row r="2816" spans="1:21">
      <c r="A2816" t="str">
        <f>"600312"</f>
        <v>600312</v>
      </c>
      <c r="B2816" t="s">
        <v>5516</v>
      </c>
      <c r="C2816">
        <v>-0.47</v>
      </c>
      <c r="D2816">
        <v>8.4</v>
      </c>
      <c r="E2816">
        <v>-0.04</v>
      </c>
      <c r="F2816">
        <v>8.39</v>
      </c>
      <c r="G2816">
        <v>8.4</v>
      </c>
      <c r="H2816">
        <v>367167</v>
      </c>
      <c r="I2816">
        <v>4680</v>
      </c>
      <c r="J2816">
        <v>0.12</v>
      </c>
      <c r="K2816">
        <v>2.71</v>
      </c>
      <c r="L2816">
        <v>30577.54</v>
      </c>
      <c r="M2816" t="s">
        <v>5517</v>
      </c>
      <c r="N2816" t="s">
        <v>47</v>
      </c>
      <c r="O2816">
        <v>8.39</v>
      </c>
      <c r="P2816">
        <v>8.53</v>
      </c>
      <c r="Q2816">
        <v>8.21</v>
      </c>
      <c r="R2816">
        <v>8.44</v>
      </c>
      <c r="S2816">
        <v>81.87</v>
      </c>
      <c r="T2816">
        <v>0.82</v>
      </c>
      <c r="U2816" t="s">
        <v>224</v>
      </c>
    </row>
    <row r="2817" spans="1:21">
      <c r="A2817" t="str">
        <f>"600313"</f>
        <v>600313</v>
      </c>
      <c r="B2817" t="s">
        <v>5518</v>
      </c>
      <c r="C2817">
        <v>-0.19</v>
      </c>
      <c r="D2817">
        <v>5.25</v>
      </c>
      <c r="E2817">
        <v>-0.01</v>
      </c>
      <c r="F2817">
        <v>5.25</v>
      </c>
      <c r="G2817">
        <v>5.26</v>
      </c>
      <c r="H2817">
        <v>228683</v>
      </c>
      <c r="I2817">
        <v>3174</v>
      </c>
      <c r="J2817">
        <v>0</v>
      </c>
      <c r="K2817">
        <v>2.24</v>
      </c>
      <c r="L2817">
        <v>11986.67</v>
      </c>
      <c r="M2817" t="s">
        <v>5519</v>
      </c>
      <c r="N2817" t="s">
        <v>639</v>
      </c>
      <c r="O2817">
        <v>5.25</v>
      </c>
      <c r="P2817">
        <v>5.28</v>
      </c>
      <c r="Q2817">
        <v>5.18</v>
      </c>
      <c r="R2817">
        <v>5.26</v>
      </c>
      <c r="S2817" t="s">
        <v>40</v>
      </c>
      <c r="T2817">
        <v>0.56</v>
      </c>
      <c r="U2817" t="s">
        <v>44</v>
      </c>
    </row>
    <row r="2818" spans="1:21">
      <c r="A2818" t="str">
        <f>"600315"</f>
        <v>600315</v>
      </c>
      <c r="B2818" t="s">
        <v>5520</v>
      </c>
      <c r="C2818">
        <v>-0.5</v>
      </c>
      <c r="D2818">
        <v>41.95</v>
      </c>
      <c r="E2818">
        <v>-0.21</v>
      </c>
      <c r="F2818">
        <v>41.95</v>
      </c>
      <c r="G2818">
        <v>41.96</v>
      </c>
      <c r="H2818">
        <v>28619</v>
      </c>
      <c r="I2818">
        <v>350</v>
      </c>
      <c r="J2818">
        <v>-0.06</v>
      </c>
      <c r="K2818">
        <v>0.43</v>
      </c>
      <c r="L2818">
        <v>12004.69</v>
      </c>
      <c r="M2818" t="s">
        <v>5521</v>
      </c>
      <c r="N2818" t="s">
        <v>332</v>
      </c>
      <c r="O2818">
        <v>42.08</v>
      </c>
      <c r="P2818">
        <v>42.45</v>
      </c>
      <c r="Q2818">
        <v>41.6</v>
      </c>
      <c r="R2818">
        <v>42.16</v>
      </c>
      <c r="S2818">
        <v>50.86</v>
      </c>
      <c r="T2818">
        <v>0.86</v>
      </c>
      <c r="U2818" t="s">
        <v>848</v>
      </c>
    </row>
    <row r="2819" spans="1:21">
      <c r="A2819" t="str">
        <f>"600316"</f>
        <v>600316</v>
      </c>
      <c r="B2819" t="s">
        <v>5522</v>
      </c>
      <c r="C2819">
        <v>-0.45</v>
      </c>
      <c r="D2819">
        <v>41.76</v>
      </c>
      <c r="E2819">
        <v>-0.19</v>
      </c>
      <c r="F2819">
        <v>41.75</v>
      </c>
      <c r="G2819">
        <v>41.76</v>
      </c>
      <c r="H2819">
        <v>128447</v>
      </c>
      <c r="I2819">
        <v>1510</v>
      </c>
      <c r="J2819">
        <v>-0.04</v>
      </c>
      <c r="K2819">
        <v>1.79</v>
      </c>
      <c r="L2819">
        <v>53770.16</v>
      </c>
      <c r="M2819" t="s">
        <v>5523</v>
      </c>
      <c r="N2819" t="s">
        <v>611</v>
      </c>
      <c r="O2819">
        <v>41.75</v>
      </c>
      <c r="P2819">
        <v>42.22</v>
      </c>
      <c r="Q2819">
        <v>41.6</v>
      </c>
      <c r="R2819">
        <v>41.95</v>
      </c>
      <c r="S2819">
        <v>334.54</v>
      </c>
      <c r="T2819">
        <v>0.63</v>
      </c>
      <c r="U2819" t="s">
        <v>235</v>
      </c>
    </row>
    <row r="2820" spans="1:21">
      <c r="A2820" t="str">
        <f>"600318"</f>
        <v>600318</v>
      </c>
      <c r="B2820" t="s">
        <v>5524</v>
      </c>
      <c r="C2820">
        <v>0</v>
      </c>
      <c r="D2820">
        <v>9.15</v>
      </c>
      <c r="E2820">
        <v>0</v>
      </c>
      <c r="G2820" t="s">
        <v>40</v>
      </c>
      <c r="H2820">
        <v>0</v>
      </c>
      <c r="I2820">
        <v>0</v>
      </c>
      <c r="J2820">
        <v>0</v>
      </c>
      <c r="K2820" t="s">
        <v>40</v>
      </c>
      <c r="L2820">
        <v>0</v>
      </c>
      <c r="M2820" t="s">
        <v>5525</v>
      </c>
      <c r="N2820" t="s">
        <v>121</v>
      </c>
      <c r="O2820" t="s">
        <v>40</v>
      </c>
      <c r="P2820" t="s">
        <v>40</v>
      </c>
      <c r="Q2820" t="s">
        <v>40</v>
      </c>
      <c r="R2820">
        <v>9.15</v>
      </c>
      <c r="S2820">
        <v>396.03</v>
      </c>
      <c r="T2820">
        <v>0</v>
      </c>
      <c r="U2820" t="s">
        <v>193</v>
      </c>
    </row>
    <row r="2821" spans="1:21">
      <c r="A2821" t="str">
        <f>"600319"</f>
        <v>600319</v>
      </c>
      <c r="B2821" t="s">
        <v>5526</v>
      </c>
      <c r="C2821">
        <v>-0.18</v>
      </c>
      <c r="D2821">
        <v>5.59</v>
      </c>
      <c r="E2821">
        <v>-0.01</v>
      </c>
      <c r="F2821">
        <v>5.59</v>
      </c>
      <c r="G2821">
        <v>5.6</v>
      </c>
      <c r="H2821">
        <v>12420</v>
      </c>
      <c r="I2821">
        <v>209</v>
      </c>
      <c r="J2821">
        <v>-0.35</v>
      </c>
      <c r="K2821">
        <v>0.39</v>
      </c>
      <c r="L2821">
        <v>690.29</v>
      </c>
      <c r="M2821" t="s">
        <v>5527</v>
      </c>
      <c r="N2821" t="s">
        <v>309</v>
      </c>
      <c r="O2821">
        <v>5.63</v>
      </c>
      <c r="P2821">
        <v>5.63</v>
      </c>
      <c r="Q2821">
        <v>5.52</v>
      </c>
      <c r="R2821">
        <v>5.6</v>
      </c>
      <c r="S2821" t="s">
        <v>40</v>
      </c>
      <c r="T2821">
        <v>1.26</v>
      </c>
      <c r="U2821" t="s">
        <v>221</v>
      </c>
    </row>
    <row r="2822" spans="1:21">
      <c r="A2822" t="str">
        <f>"600320"</f>
        <v>600320</v>
      </c>
      <c r="B2822" t="s">
        <v>5528</v>
      </c>
      <c r="C2822">
        <v>0.53</v>
      </c>
      <c r="D2822">
        <v>3.78</v>
      </c>
      <c r="E2822">
        <v>0.02</v>
      </c>
      <c r="F2822">
        <v>3.77</v>
      </c>
      <c r="G2822">
        <v>3.78</v>
      </c>
      <c r="H2822">
        <v>289698</v>
      </c>
      <c r="I2822">
        <v>4389</v>
      </c>
      <c r="J2822">
        <v>0.27</v>
      </c>
      <c r="K2822">
        <v>0.87</v>
      </c>
      <c r="L2822">
        <v>10943.09</v>
      </c>
      <c r="M2822" t="s">
        <v>5529</v>
      </c>
      <c r="N2822" t="s">
        <v>203</v>
      </c>
      <c r="O2822">
        <v>3.75</v>
      </c>
      <c r="P2822">
        <v>3.85</v>
      </c>
      <c r="Q2822">
        <v>3.68</v>
      </c>
      <c r="R2822">
        <v>3.76</v>
      </c>
      <c r="S2822">
        <v>106.1</v>
      </c>
      <c r="T2822">
        <v>1.06</v>
      </c>
      <c r="U2822" t="s">
        <v>848</v>
      </c>
    </row>
    <row r="2823" spans="1:21">
      <c r="A2823" t="str">
        <f>"600321"</f>
        <v>600321</v>
      </c>
      <c r="B2823" t="s">
        <v>5530</v>
      </c>
      <c r="C2823">
        <v>1.04</v>
      </c>
      <c r="D2823">
        <v>1.94</v>
      </c>
      <c r="E2823">
        <v>0.02</v>
      </c>
      <c r="F2823">
        <v>1.93</v>
      </c>
      <c r="G2823">
        <v>1.94</v>
      </c>
      <c r="H2823">
        <v>61907</v>
      </c>
      <c r="I2823">
        <v>985</v>
      </c>
      <c r="J2823">
        <v>0.52</v>
      </c>
      <c r="K2823">
        <v>0.41</v>
      </c>
      <c r="L2823">
        <v>1192.38</v>
      </c>
      <c r="M2823" t="s">
        <v>5531</v>
      </c>
      <c r="N2823" t="s">
        <v>131</v>
      </c>
      <c r="O2823">
        <v>1.93</v>
      </c>
      <c r="P2823">
        <v>1.94</v>
      </c>
      <c r="Q2823">
        <v>1.91</v>
      </c>
      <c r="R2823">
        <v>1.92</v>
      </c>
      <c r="S2823" t="s">
        <v>40</v>
      </c>
      <c r="T2823">
        <v>0.94</v>
      </c>
      <c r="U2823" t="s">
        <v>196</v>
      </c>
    </row>
    <row r="2824" spans="1:21">
      <c r="A2824" t="str">
        <f>"600322"</f>
        <v>600322</v>
      </c>
      <c r="B2824" t="s">
        <v>5532</v>
      </c>
      <c r="C2824">
        <v>1.59</v>
      </c>
      <c r="D2824">
        <v>1.92</v>
      </c>
      <c r="E2824">
        <v>0.03</v>
      </c>
      <c r="F2824">
        <v>1.91</v>
      </c>
      <c r="G2824">
        <v>1.92</v>
      </c>
      <c r="H2824">
        <v>85090</v>
      </c>
      <c r="I2824">
        <v>1690</v>
      </c>
      <c r="J2824">
        <v>0.52</v>
      </c>
      <c r="K2824">
        <v>0.77</v>
      </c>
      <c r="L2824">
        <v>1608.74</v>
      </c>
      <c r="M2824" t="s">
        <v>2569</v>
      </c>
      <c r="N2824" t="s">
        <v>36</v>
      </c>
      <c r="O2824">
        <v>1.88</v>
      </c>
      <c r="P2824">
        <v>1.92</v>
      </c>
      <c r="Q2824">
        <v>1.86</v>
      </c>
      <c r="R2824">
        <v>1.89</v>
      </c>
      <c r="S2824" t="s">
        <v>40</v>
      </c>
      <c r="T2824">
        <v>0.77</v>
      </c>
      <c r="U2824" t="s">
        <v>360</v>
      </c>
    </row>
    <row r="2825" spans="1:21">
      <c r="A2825" t="str">
        <f>"600323"</f>
        <v>600323</v>
      </c>
      <c r="B2825" t="s">
        <v>5533</v>
      </c>
      <c r="C2825">
        <v>-0.19</v>
      </c>
      <c r="D2825">
        <v>21.58</v>
      </c>
      <c r="E2825">
        <v>-0.04</v>
      </c>
      <c r="F2825">
        <v>21.58</v>
      </c>
      <c r="G2825">
        <v>21.59</v>
      </c>
      <c r="H2825">
        <v>46053</v>
      </c>
      <c r="I2825">
        <v>369</v>
      </c>
      <c r="J2825">
        <v>-0.04</v>
      </c>
      <c r="K2825">
        <v>0.56</v>
      </c>
      <c r="L2825">
        <v>9867.15</v>
      </c>
      <c r="M2825" t="s">
        <v>5534</v>
      </c>
      <c r="N2825" t="s">
        <v>33</v>
      </c>
      <c r="O2825">
        <v>21.62</v>
      </c>
      <c r="P2825">
        <v>21.65</v>
      </c>
      <c r="Q2825">
        <v>21.27</v>
      </c>
      <c r="R2825">
        <v>21.62</v>
      </c>
      <c r="S2825">
        <v>14.21</v>
      </c>
      <c r="T2825">
        <v>1.16</v>
      </c>
      <c r="U2825" t="s">
        <v>183</v>
      </c>
    </row>
    <row r="2826" spans="1:21">
      <c r="A2826" t="str">
        <f>"600325"</f>
        <v>600325</v>
      </c>
      <c r="B2826" t="s">
        <v>5535</v>
      </c>
      <c r="C2826">
        <v>1.51</v>
      </c>
      <c r="D2826">
        <v>5.37</v>
      </c>
      <c r="E2826">
        <v>0.08</v>
      </c>
      <c r="F2826">
        <v>5.36</v>
      </c>
      <c r="G2826">
        <v>5.37</v>
      </c>
      <c r="H2826">
        <v>136356</v>
      </c>
      <c r="I2826">
        <v>1262</v>
      </c>
      <c r="J2826">
        <v>0.19</v>
      </c>
      <c r="K2826">
        <v>0.65</v>
      </c>
      <c r="L2826">
        <v>7270.25</v>
      </c>
      <c r="M2826" t="s">
        <v>5536</v>
      </c>
      <c r="N2826" t="s">
        <v>36</v>
      </c>
      <c r="O2826">
        <v>5.27</v>
      </c>
      <c r="P2826">
        <v>5.42</v>
      </c>
      <c r="Q2826">
        <v>5.26</v>
      </c>
      <c r="R2826">
        <v>5.29</v>
      </c>
      <c r="S2826">
        <v>4.15</v>
      </c>
      <c r="T2826">
        <v>1.07</v>
      </c>
      <c r="U2826" t="s">
        <v>183</v>
      </c>
    </row>
    <row r="2827" spans="1:21">
      <c r="A2827" t="str">
        <f>"600326"</f>
        <v>600326</v>
      </c>
      <c r="B2827" t="s">
        <v>5537</v>
      </c>
      <c r="C2827">
        <v>1.44</v>
      </c>
      <c r="D2827">
        <v>6.35</v>
      </c>
      <c r="E2827">
        <v>0.09</v>
      </c>
      <c r="F2827">
        <v>6.34</v>
      </c>
      <c r="G2827">
        <v>6.35</v>
      </c>
      <c r="H2827">
        <v>63412</v>
      </c>
      <c r="I2827">
        <v>1225</v>
      </c>
      <c r="J2827">
        <v>0</v>
      </c>
      <c r="K2827">
        <v>0.69</v>
      </c>
      <c r="L2827">
        <v>3998.24</v>
      </c>
      <c r="M2827" t="s">
        <v>5538</v>
      </c>
      <c r="N2827" t="s">
        <v>75</v>
      </c>
      <c r="O2827">
        <v>6.27</v>
      </c>
      <c r="P2827">
        <v>6.35</v>
      </c>
      <c r="Q2827">
        <v>6.25</v>
      </c>
      <c r="R2827">
        <v>6.26</v>
      </c>
      <c r="S2827">
        <v>88.66</v>
      </c>
      <c r="T2827">
        <v>1.23</v>
      </c>
      <c r="U2827" t="s">
        <v>694</v>
      </c>
    </row>
    <row r="2828" spans="1:21">
      <c r="A2828" t="str">
        <f>"600327"</f>
        <v>600327</v>
      </c>
      <c r="B2828" t="s">
        <v>5539</v>
      </c>
      <c r="C2828">
        <v>-0.49</v>
      </c>
      <c r="D2828">
        <v>6.13</v>
      </c>
      <c r="E2828">
        <v>-0.03</v>
      </c>
      <c r="F2828">
        <v>6.12</v>
      </c>
      <c r="G2828">
        <v>6.13</v>
      </c>
      <c r="H2828">
        <v>162247</v>
      </c>
      <c r="I2828">
        <v>2499</v>
      </c>
      <c r="J2828">
        <v>0.66</v>
      </c>
      <c r="K2828">
        <v>1.83</v>
      </c>
      <c r="L2828">
        <v>9891.79</v>
      </c>
      <c r="M2828" t="s">
        <v>5540</v>
      </c>
      <c r="N2828" t="s">
        <v>78</v>
      </c>
      <c r="O2828">
        <v>6.25</v>
      </c>
      <c r="P2828">
        <v>6.27</v>
      </c>
      <c r="Q2828">
        <v>6.04</v>
      </c>
      <c r="R2828">
        <v>6.16</v>
      </c>
      <c r="S2828">
        <v>10.13</v>
      </c>
      <c r="T2828">
        <v>0.85</v>
      </c>
      <c r="U2828" t="s">
        <v>102</v>
      </c>
    </row>
    <row r="2829" spans="1:21">
      <c r="A2829" t="str">
        <f>"600328"</f>
        <v>600328</v>
      </c>
      <c r="B2829" t="s">
        <v>5541</v>
      </c>
      <c r="C2829">
        <v>4.94</v>
      </c>
      <c r="D2829">
        <v>17.2</v>
      </c>
      <c r="E2829">
        <v>0.81</v>
      </c>
      <c r="F2829">
        <v>17.19</v>
      </c>
      <c r="G2829">
        <v>17.2</v>
      </c>
      <c r="H2829">
        <v>544380</v>
      </c>
      <c r="I2829">
        <v>4501</v>
      </c>
      <c r="J2829">
        <v>0.17</v>
      </c>
      <c r="K2829">
        <v>9.73</v>
      </c>
      <c r="L2829">
        <v>91570.05</v>
      </c>
      <c r="M2829" t="s">
        <v>5542</v>
      </c>
      <c r="N2829" t="s">
        <v>309</v>
      </c>
      <c r="O2829">
        <v>16.26</v>
      </c>
      <c r="P2829">
        <v>17.5</v>
      </c>
      <c r="Q2829">
        <v>16.04</v>
      </c>
      <c r="R2829">
        <v>16.39</v>
      </c>
      <c r="S2829">
        <v>10.25</v>
      </c>
      <c r="T2829">
        <v>1.74</v>
      </c>
      <c r="U2829" t="s">
        <v>275</v>
      </c>
    </row>
    <row r="2830" spans="1:21">
      <c r="A2830" t="str">
        <f>"600329"</f>
        <v>600329</v>
      </c>
      <c r="B2830" t="s">
        <v>5543</v>
      </c>
      <c r="C2830">
        <v>0</v>
      </c>
      <c r="D2830">
        <v>23.55</v>
      </c>
      <c r="E2830">
        <v>0</v>
      </c>
      <c r="F2830">
        <v>23.55</v>
      </c>
      <c r="G2830">
        <v>23.56</v>
      </c>
      <c r="H2830">
        <v>28627</v>
      </c>
      <c r="I2830">
        <v>217</v>
      </c>
      <c r="J2830">
        <v>-0.16</v>
      </c>
      <c r="K2830">
        <v>0.51</v>
      </c>
      <c r="L2830">
        <v>6713.1</v>
      </c>
      <c r="M2830" t="s">
        <v>5544</v>
      </c>
      <c r="N2830" t="s">
        <v>270</v>
      </c>
      <c r="O2830">
        <v>23.51</v>
      </c>
      <c r="P2830">
        <v>23.67</v>
      </c>
      <c r="Q2830">
        <v>23.3</v>
      </c>
      <c r="R2830">
        <v>23.55</v>
      </c>
      <c r="S2830">
        <v>20.65</v>
      </c>
      <c r="T2830">
        <v>0.45</v>
      </c>
      <c r="U2830" t="s">
        <v>360</v>
      </c>
    </row>
    <row r="2831" spans="1:21">
      <c r="A2831" t="str">
        <f>"600330"</f>
        <v>600330</v>
      </c>
      <c r="B2831" t="s">
        <v>5545</v>
      </c>
      <c r="C2831">
        <v>5.79</v>
      </c>
      <c r="D2831">
        <v>16.45</v>
      </c>
      <c r="E2831">
        <v>0.9</v>
      </c>
      <c r="F2831">
        <v>16.44</v>
      </c>
      <c r="G2831">
        <v>16.45</v>
      </c>
      <c r="H2831">
        <v>720167</v>
      </c>
      <c r="I2831">
        <v>8195</v>
      </c>
      <c r="J2831">
        <v>0.12</v>
      </c>
      <c r="K2831">
        <v>7.23</v>
      </c>
      <c r="L2831">
        <v>117404.1</v>
      </c>
      <c r="M2831" t="s">
        <v>5546</v>
      </c>
      <c r="N2831" t="s">
        <v>69</v>
      </c>
      <c r="O2831">
        <v>15.71</v>
      </c>
      <c r="P2831">
        <v>16.76</v>
      </c>
      <c r="Q2831">
        <v>15.58</v>
      </c>
      <c r="R2831">
        <v>15.55</v>
      </c>
      <c r="S2831">
        <v>35.54</v>
      </c>
      <c r="T2831">
        <v>0.9</v>
      </c>
      <c r="U2831" t="s">
        <v>200</v>
      </c>
    </row>
    <row r="2832" spans="1:21">
      <c r="A2832" t="str">
        <f>"600331"</f>
        <v>600331</v>
      </c>
      <c r="B2832" t="s">
        <v>5547</v>
      </c>
      <c r="C2832">
        <v>2.94</v>
      </c>
      <c r="D2832">
        <v>3.5</v>
      </c>
      <c r="E2832">
        <v>0.1</v>
      </c>
      <c r="F2832">
        <v>3.5</v>
      </c>
      <c r="G2832">
        <v>3.51</v>
      </c>
      <c r="H2832">
        <v>590617</v>
      </c>
      <c r="I2832">
        <v>7485</v>
      </c>
      <c r="J2832">
        <v>0</v>
      </c>
      <c r="K2832">
        <v>2.91</v>
      </c>
      <c r="L2832">
        <v>20286.21</v>
      </c>
      <c r="M2832" t="s">
        <v>5548</v>
      </c>
      <c r="N2832" t="s">
        <v>144</v>
      </c>
      <c r="O2832">
        <v>3.37</v>
      </c>
      <c r="P2832">
        <v>3.52</v>
      </c>
      <c r="Q2832">
        <v>3.33</v>
      </c>
      <c r="R2832">
        <v>3.4</v>
      </c>
      <c r="S2832">
        <v>18.18</v>
      </c>
      <c r="T2832">
        <v>1.06</v>
      </c>
      <c r="U2832" t="s">
        <v>196</v>
      </c>
    </row>
    <row r="2833" spans="1:21">
      <c r="A2833" t="str">
        <f>"600332"</f>
        <v>600332</v>
      </c>
      <c r="B2833" t="s">
        <v>5549</v>
      </c>
      <c r="C2833">
        <v>0.34</v>
      </c>
      <c r="D2833">
        <v>29.23</v>
      </c>
      <c r="E2833">
        <v>0.1</v>
      </c>
      <c r="F2833">
        <v>29.22</v>
      </c>
      <c r="G2833">
        <v>29.23</v>
      </c>
      <c r="H2833">
        <v>35577</v>
      </c>
      <c r="I2833">
        <v>432</v>
      </c>
      <c r="J2833">
        <v>0.03</v>
      </c>
      <c r="K2833">
        <v>0.25</v>
      </c>
      <c r="L2833">
        <v>10351.27</v>
      </c>
      <c r="M2833" t="s">
        <v>5550</v>
      </c>
      <c r="N2833" t="s">
        <v>270</v>
      </c>
      <c r="O2833">
        <v>29.08</v>
      </c>
      <c r="P2833">
        <v>29.29</v>
      </c>
      <c r="Q2833">
        <v>28.96</v>
      </c>
      <c r="R2833">
        <v>29.13</v>
      </c>
      <c r="S2833">
        <v>10.76</v>
      </c>
      <c r="T2833">
        <v>0.78</v>
      </c>
      <c r="U2833" t="s">
        <v>183</v>
      </c>
    </row>
    <row r="2834" spans="1:21">
      <c r="A2834" t="str">
        <f>"600333"</f>
        <v>600333</v>
      </c>
      <c r="B2834" t="s">
        <v>5551</v>
      </c>
      <c r="C2834">
        <v>4.2</v>
      </c>
      <c r="D2834">
        <v>6.94</v>
      </c>
      <c r="E2834">
        <v>0.28</v>
      </c>
      <c r="F2834">
        <v>6.94</v>
      </c>
      <c r="G2834">
        <v>6.95</v>
      </c>
      <c r="H2834">
        <v>335883</v>
      </c>
      <c r="I2834">
        <v>6281</v>
      </c>
      <c r="J2834">
        <v>0.14</v>
      </c>
      <c r="K2834">
        <v>5.52</v>
      </c>
      <c r="L2834">
        <v>22839.61</v>
      </c>
      <c r="M2834" t="s">
        <v>5552</v>
      </c>
      <c r="N2834" t="s">
        <v>238</v>
      </c>
      <c r="O2834">
        <v>6.66</v>
      </c>
      <c r="P2834">
        <v>6.97</v>
      </c>
      <c r="Q2834">
        <v>6.52</v>
      </c>
      <c r="R2834">
        <v>6.66</v>
      </c>
      <c r="S2834" t="s">
        <v>40</v>
      </c>
      <c r="T2834">
        <v>1.7</v>
      </c>
      <c r="U2834" t="s">
        <v>92</v>
      </c>
    </row>
    <row r="2835" spans="1:21">
      <c r="A2835" t="str">
        <f>"600335"</f>
        <v>600335</v>
      </c>
      <c r="B2835" t="s">
        <v>5553</v>
      </c>
      <c r="C2835">
        <v>-0.78</v>
      </c>
      <c r="D2835">
        <v>6.39</v>
      </c>
      <c r="E2835">
        <v>-0.05</v>
      </c>
      <c r="F2835">
        <v>6.39</v>
      </c>
      <c r="G2835">
        <v>6.4</v>
      </c>
      <c r="H2835">
        <v>256833</v>
      </c>
      <c r="I2835">
        <v>3330</v>
      </c>
      <c r="J2835">
        <v>-0.15</v>
      </c>
      <c r="K2835">
        <v>2.49</v>
      </c>
      <c r="L2835">
        <v>16338.2</v>
      </c>
      <c r="M2835" t="s">
        <v>428</v>
      </c>
      <c r="N2835" t="s">
        <v>91</v>
      </c>
      <c r="O2835">
        <v>6.4</v>
      </c>
      <c r="P2835">
        <v>6.48</v>
      </c>
      <c r="Q2835">
        <v>6.25</v>
      </c>
      <c r="R2835">
        <v>6.44</v>
      </c>
      <c r="S2835">
        <v>36.97</v>
      </c>
      <c r="T2835">
        <v>0.55</v>
      </c>
      <c r="U2835" t="s">
        <v>360</v>
      </c>
    </row>
    <row r="2836" spans="1:21">
      <c r="A2836" t="str">
        <f>"600336"</f>
        <v>600336</v>
      </c>
      <c r="B2836" t="s">
        <v>5554</v>
      </c>
      <c r="C2836">
        <v>-0.75</v>
      </c>
      <c r="D2836">
        <v>9.21</v>
      </c>
      <c r="E2836">
        <v>-0.07</v>
      </c>
      <c r="F2836">
        <v>9.21</v>
      </c>
      <c r="G2836">
        <v>9.22</v>
      </c>
      <c r="H2836">
        <v>239882</v>
      </c>
      <c r="I2836">
        <v>2644</v>
      </c>
      <c r="J2836">
        <v>-0.1</v>
      </c>
      <c r="K2836">
        <v>3.06</v>
      </c>
      <c r="L2836">
        <v>22044.73</v>
      </c>
      <c r="M2836" t="s">
        <v>5555</v>
      </c>
      <c r="N2836" t="s">
        <v>60</v>
      </c>
      <c r="O2836">
        <v>9.24</v>
      </c>
      <c r="P2836">
        <v>9.4</v>
      </c>
      <c r="Q2836">
        <v>9.04</v>
      </c>
      <c r="R2836">
        <v>9.28</v>
      </c>
      <c r="S2836">
        <v>37.71</v>
      </c>
      <c r="T2836">
        <v>0.47</v>
      </c>
      <c r="U2836" t="s">
        <v>221</v>
      </c>
    </row>
    <row r="2837" spans="1:21">
      <c r="A2837" t="str">
        <f>"600337"</f>
        <v>600337</v>
      </c>
      <c r="B2837" t="s">
        <v>5556</v>
      </c>
      <c r="C2837">
        <v>0</v>
      </c>
      <c r="D2837">
        <v>3.37</v>
      </c>
      <c r="E2837">
        <v>0</v>
      </c>
      <c r="F2837">
        <v>3.37</v>
      </c>
      <c r="G2837">
        <v>3.38</v>
      </c>
      <c r="H2837">
        <v>136111</v>
      </c>
      <c r="I2837">
        <v>1169</v>
      </c>
      <c r="J2837">
        <v>-0.29</v>
      </c>
      <c r="K2837">
        <v>0.84</v>
      </c>
      <c r="L2837">
        <v>4574.42</v>
      </c>
      <c r="M2837" t="s">
        <v>5557</v>
      </c>
      <c r="N2837" t="s">
        <v>910</v>
      </c>
      <c r="O2837">
        <v>3.37</v>
      </c>
      <c r="P2837">
        <v>3.4</v>
      </c>
      <c r="Q2837">
        <v>3.33</v>
      </c>
      <c r="R2837">
        <v>3.37</v>
      </c>
      <c r="S2837">
        <v>27.28</v>
      </c>
      <c r="T2837">
        <v>0.74</v>
      </c>
      <c r="U2837" t="s">
        <v>210</v>
      </c>
    </row>
    <row r="2838" spans="1:21">
      <c r="A2838" t="str">
        <f>"600338"</f>
        <v>600338</v>
      </c>
      <c r="B2838" t="s">
        <v>5558</v>
      </c>
      <c r="C2838">
        <v>8.34</v>
      </c>
      <c r="D2838">
        <v>34.68</v>
      </c>
      <c r="E2838">
        <v>2.67</v>
      </c>
      <c r="F2838">
        <v>34.67</v>
      </c>
      <c r="G2838">
        <v>34.68</v>
      </c>
      <c r="H2838">
        <v>1466638</v>
      </c>
      <c r="I2838">
        <v>12566</v>
      </c>
      <c r="J2838">
        <v>0.52</v>
      </c>
      <c r="K2838">
        <v>16.04</v>
      </c>
      <c r="L2838">
        <v>504933.73</v>
      </c>
      <c r="M2838" t="s">
        <v>5559</v>
      </c>
      <c r="N2838" t="s">
        <v>144</v>
      </c>
      <c r="O2838">
        <v>33.3</v>
      </c>
      <c r="P2838">
        <v>35.21</v>
      </c>
      <c r="Q2838">
        <v>33.03</v>
      </c>
      <c r="R2838">
        <v>32.01</v>
      </c>
      <c r="S2838">
        <v>38.42</v>
      </c>
      <c r="T2838">
        <v>4.45</v>
      </c>
      <c r="U2838" t="s">
        <v>694</v>
      </c>
    </row>
    <row r="2839" spans="1:21">
      <c r="A2839" t="str">
        <f>"600339"</f>
        <v>600339</v>
      </c>
      <c r="B2839" t="s">
        <v>5560</v>
      </c>
      <c r="C2839">
        <v>1.75</v>
      </c>
      <c r="D2839">
        <v>2.91</v>
      </c>
      <c r="E2839">
        <v>0.05</v>
      </c>
      <c r="F2839">
        <v>2.9</v>
      </c>
      <c r="G2839">
        <v>2.91</v>
      </c>
      <c r="H2839">
        <v>362130</v>
      </c>
      <c r="I2839">
        <v>5725</v>
      </c>
      <c r="J2839">
        <v>0</v>
      </c>
      <c r="K2839">
        <v>0.65</v>
      </c>
      <c r="L2839">
        <v>10456.08</v>
      </c>
      <c r="M2839" t="s">
        <v>5561</v>
      </c>
      <c r="N2839" t="s">
        <v>140</v>
      </c>
      <c r="O2839">
        <v>2.87</v>
      </c>
      <c r="P2839">
        <v>2.91</v>
      </c>
      <c r="Q2839">
        <v>2.84</v>
      </c>
      <c r="R2839">
        <v>2.86</v>
      </c>
      <c r="S2839">
        <v>14.98</v>
      </c>
      <c r="T2839">
        <v>1.1</v>
      </c>
      <c r="U2839" t="s">
        <v>210</v>
      </c>
    </row>
    <row r="2840" spans="1:21">
      <c r="A2840" t="str">
        <f>"600340"</f>
        <v>600340</v>
      </c>
      <c r="B2840" t="s">
        <v>5562</v>
      </c>
      <c r="C2840">
        <v>2.9</v>
      </c>
      <c r="D2840">
        <v>3.55</v>
      </c>
      <c r="E2840">
        <v>0.1</v>
      </c>
      <c r="F2840">
        <v>3.54</v>
      </c>
      <c r="G2840">
        <v>3.55</v>
      </c>
      <c r="H2840">
        <v>330528</v>
      </c>
      <c r="I2840">
        <v>3452</v>
      </c>
      <c r="J2840">
        <v>0.28</v>
      </c>
      <c r="K2840">
        <v>0.85</v>
      </c>
      <c r="L2840">
        <v>11582.74</v>
      </c>
      <c r="M2840" t="s">
        <v>5563</v>
      </c>
      <c r="N2840" t="s">
        <v>36</v>
      </c>
      <c r="O2840">
        <v>3.44</v>
      </c>
      <c r="P2840">
        <v>3.57</v>
      </c>
      <c r="Q2840">
        <v>3.43</v>
      </c>
      <c r="R2840">
        <v>3.45</v>
      </c>
      <c r="S2840" t="s">
        <v>40</v>
      </c>
      <c r="T2840">
        <v>1.19</v>
      </c>
      <c r="U2840" t="s">
        <v>207</v>
      </c>
    </row>
    <row r="2841" spans="1:21">
      <c r="A2841" t="str">
        <f>"600343"</f>
        <v>600343</v>
      </c>
      <c r="B2841" t="s">
        <v>5564</v>
      </c>
      <c r="C2841">
        <v>0.79</v>
      </c>
      <c r="D2841">
        <v>10.2</v>
      </c>
      <c r="E2841">
        <v>0.08</v>
      </c>
      <c r="F2841">
        <v>10.19</v>
      </c>
      <c r="G2841">
        <v>10.2</v>
      </c>
      <c r="H2841">
        <v>96691</v>
      </c>
      <c r="I2841">
        <v>668</v>
      </c>
      <c r="J2841">
        <v>-0.09</v>
      </c>
      <c r="K2841">
        <v>1.52</v>
      </c>
      <c r="L2841">
        <v>9828.42</v>
      </c>
      <c r="M2841" t="s">
        <v>5565</v>
      </c>
      <c r="N2841" t="s">
        <v>611</v>
      </c>
      <c r="O2841">
        <v>10</v>
      </c>
      <c r="P2841">
        <v>10.27</v>
      </c>
      <c r="Q2841">
        <v>9.98</v>
      </c>
      <c r="R2841">
        <v>10.12</v>
      </c>
      <c r="S2841" t="s">
        <v>40</v>
      </c>
      <c r="T2841">
        <v>0.93</v>
      </c>
      <c r="U2841" t="s">
        <v>317</v>
      </c>
    </row>
    <row r="2842" spans="1:21">
      <c r="A2842" t="str">
        <f>"600345"</f>
        <v>600345</v>
      </c>
      <c r="B2842" t="s">
        <v>5566</v>
      </c>
      <c r="C2842">
        <v>1.98</v>
      </c>
      <c r="D2842">
        <v>15.48</v>
      </c>
      <c r="E2842">
        <v>0.3</v>
      </c>
      <c r="F2842">
        <v>15.47</v>
      </c>
      <c r="G2842">
        <v>15.48</v>
      </c>
      <c r="H2842">
        <v>11030</v>
      </c>
      <c r="I2842">
        <v>223</v>
      </c>
      <c r="J2842">
        <v>0.13</v>
      </c>
      <c r="K2842">
        <v>0.56</v>
      </c>
      <c r="L2842">
        <v>1694.77</v>
      </c>
      <c r="M2842" t="s">
        <v>1956</v>
      </c>
      <c r="N2842" t="s">
        <v>153</v>
      </c>
      <c r="O2842">
        <v>15.21</v>
      </c>
      <c r="P2842">
        <v>15.5</v>
      </c>
      <c r="Q2842">
        <v>15.17</v>
      </c>
      <c r="R2842">
        <v>15.18</v>
      </c>
      <c r="S2842">
        <v>29.88</v>
      </c>
      <c r="T2842">
        <v>0.75</v>
      </c>
      <c r="U2842" t="s">
        <v>267</v>
      </c>
    </row>
    <row r="2843" spans="1:21">
      <c r="A2843" t="str">
        <f>"600346"</f>
        <v>600346</v>
      </c>
      <c r="B2843" t="s">
        <v>5567</v>
      </c>
      <c r="C2843">
        <v>2.36</v>
      </c>
      <c r="D2843">
        <v>21.72</v>
      </c>
      <c r="E2843">
        <v>0.5</v>
      </c>
      <c r="F2843">
        <v>21.72</v>
      </c>
      <c r="G2843">
        <v>21.73</v>
      </c>
      <c r="H2843">
        <v>281960</v>
      </c>
      <c r="I2843">
        <v>3798</v>
      </c>
      <c r="J2843">
        <v>-0.04</v>
      </c>
      <c r="K2843">
        <v>0.4</v>
      </c>
      <c r="L2843">
        <v>60632.45</v>
      </c>
      <c r="M2843" t="s">
        <v>5568</v>
      </c>
      <c r="N2843" t="s">
        <v>216</v>
      </c>
      <c r="O2843">
        <v>21.3</v>
      </c>
      <c r="P2843">
        <v>21.74</v>
      </c>
      <c r="Q2843">
        <v>21.09</v>
      </c>
      <c r="R2843">
        <v>21.22</v>
      </c>
      <c r="S2843">
        <v>9.02</v>
      </c>
      <c r="T2843">
        <v>1.12</v>
      </c>
      <c r="U2843" t="s">
        <v>141</v>
      </c>
    </row>
    <row r="2844" spans="1:21">
      <c r="A2844" t="str">
        <f>"600348"</f>
        <v>600348</v>
      </c>
      <c r="B2844" t="s">
        <v>5569</v>
      </c>
      <c r="C2844">
        <v>2.9</v>
      </c>
      <c r="D2844">
        <v>10.29</v>
      </c>
      <c r="E2844">
        <v>0.29</v>
      </c>
      <c r="F2844">
        <v>10.28</v>
      </c>
      <c r="G2844">
        <v>10.29</v>
      </c>
      <c r="H2844">
        <v>478693</v>
      </c>
      <c r="I2844">
        <v>4062</v>
      </c>
      <c r="J2844">
        <v>0.1</v>
      </c>
      <c r="K2844">
        <v>1.99</v>
      </c>
      <c r="L2844">
        <v>48239.38</v>
      </c>
      <c r="M2844" t="s">
        <v>5570</v>
      </c>
      <c r="N2844" t="s">
        <v>390</v>
      </c>
      <c r="O2844">
        <v>10.05</v>
      </c>
      <c r="P2844">
        <v>10.38</v>
      </c>
      <c r="Q2844">
        <v>9.75</v>
      </c>
      <c r="R2844">
        <v>10</v>
      </c>
      <c r="S2844">
        <v>8.1</v>
      </c>
      <c r="T2844">
        <v>1.13</v>
      </c>
      <c r="U2844" t="s">
        <v>232</v>
      </c>
    </row>
    <row r="2845" spans="1:21">
      <c r="A2845" t="str">
        <f>"600350"</f>
        <v>600350</v>
      </c>
      <c r="B2845" t="s">
        <v>5571</v>
      </c>
      <c r="C2845">
        <v>0.58</v>
      </c>
      <c r="D2845">
        <v>5.17</v>
      </c>
      <c r="E2845">
        <v>0.03</v>
      </c>
      <c r="F2845">
        <v>5.17</v>
      </c>
      <c r="G2845">
        <v>5.19</v>
      </c>
      <c r="H2845">
        <v>48040</v>
      </c>
      <c r="I2845">
        <v>1350</v>
      </c>
      <c r="J2845">
        <v>0</v>
      </c>
      <c r="K2845">
        <v>0.1</v>
      </c>
      <c r="L2845">
        <v>2481.99</v>
      </c>
      <c r="M2845" t="s">
        <v>5572</v>
      </c>
      <c r="N2845" t="s">
        <v>280</v>
      </c>
      <c r="O2845">
        <v>5.14</v>
      </c>
      <c r="P2845">
        <v>5.23</v>
      </c>
      <c r="Q2845">
        <v>5.13</v>
      </c>
      <c r="R2845">
        <v>5.14</v>
      </c>
      <c r="S2845">
        <v>9.04</v>
      </c>
      <c r="T2845">
        <v>1.1</v>
      </c>
      <c r="U2845" t="s">
        <v>221</v>
      </c>
    </row>
    <row r="2846" spans="1:21">
      <c r="A2846" t="str">
        <f>"600351"</f>
        <v>600351</v>
      </c>
      <c r="B2846" t="s">
        <v>5573</v>
      </c>
      <c r="C2846">
        <v>-0.79</v>
      </c>
      <c r="D2846">
        <v>6.28</v>
      </c>
      <c r="E2846">
        <v>-0.05</v>
      </c>
      <c r="F2846">
        <v>6.27</v>
      </c>
      <c r="G2846">
        <v>6.28</v>
      </c>
      <c r="H2846">
        <v>156731</v>
      </c>
      <c r="I2846">
        <v>2159</v>
      </c>
      <c r="J2846">
        <v>-0.31</v>
      </c>
      <c r="K2846">
        <v>2.04</v>
      </c>
      <c r="L2846">
        <v>9775.88</v>
      </c>
      <c r="M2846" t="s">
        <v>5574</v>
      </c>
      <c r="N2846" t="s">
        <v>270</v>
      </c>
      <c r="O2846">
        <v>6.31</v>
      </c>
      <c r="P2846">
        <v>6.35</v>
      </c>
      <c r="Q2846">
        <v>6.12</v>
      </c>
      <c r="R2846">
        <v>6.33</v>
      </c>
      <c r="S2846">
        <v>24.96</v>
      </c>
      <c r="T2846">
        <v>0.91</v>
      </c>
      <c r="U2846" t="s">
        <v>232</v>
      </c>
    </row>
    <row r="2847" spans="1:21">
      <c r="A2847" t="str">
        <f>"600352"</f>
        <v>600352</v>
      </c>
      <c r="B2847" t="s">
        <v>5575</v>
      </c>
      <c r="C2847">
        <v>0.47</v>
      </c>
      <c r="D2847">
        <v>12.95</v>
      </c>
      <c r="E2847">
        <v>0.06</v>
      </c>
      <c r="F2847">
        <v>12.95</v>
      </c>
      <c r="G2847">
        <v>12.96</v>
      </c>
      <c r="H2847">
        <v>180389</v>
      </c>
      <c r="I2847">
        <v>3089</v>
      </c>
      <c r="J2847">
        <v>-0.07</v>
      </c>
      <c r="K2847">
        <v>0.55</v>
      </c>
      <c r="L2847">
        <v>23322.19</v>
      </c>
      <c r="M2847" t="s">
        <v>5576</v>
      </c>
      <c r="N2847" t="s">
        <v>416</v>
      </c>
      <c r="O2847">
        <v>12.87</v>
      </c>
      <c r="P2847">
        <v>13.02</v>
      </c>
      <c r="Q2847">
        <v>12.84</v>
      </c>
      <c r="R2847">
        <v>12.89</v>
      </c>
      <c r="S2847">
        <v>10.51</v>
      </c>
      <c r="T2847">
        <v>0.97</v>
      </c>
      <c r="U2847" t="s">
        <v>200</v>
      </c>
    </row>
    <row r="2848" spans="1:21">
      <c r="A2848" t="str">
        <f>"600353"</f>
        <v>600353</v>
      </c>
      <c r="B2848" t="s">
        <v>5577</v>
      </c>
      <c r="C2848">
        <v>0.72</v>
      </c>
      <c r="D2848">
        <v>5.59</v>
      </c>
      <c r="E2848">
        <v>0.04</v>
      </c>
      <c r="F2848">
        <v>5.58</v>
      </c>
      <c r="G2848">
        <v>5.59</v>
      </c>
      <c r="H2848">
        <v>63899</v>
      </c>
      <c r="I2848">
        <v>229</v>
      </c>
      <c r="J2848">
        <v>0.18</v>
      </c>
      <c r="K2848">
        <v>1.18</v>
      </c>
      <c r="L2848">
        <v>3533.58</v>
      </c>
      <c r="M2848" t="s">
        <v>5578</v>
      </c>
      <c r="N2848" t="s">
        <v>69</v>
      </c>
      <c r="O2848">
        <v>5.53</v>
      </c>
      <c r="P2848">
        <v>5.6</v>
      </c>
      <c r="Q2848">
        <v>5.42</v>
      </c>
      <c r="R2848">
        <v>5.55</v>
      </c>
      <c r="S2848">
        <v>48.73</v>
      </c>
      <c r="T2848">
        <v>1.34</v>
      </c>
      <c r="U2848" t="s">
        <v>196</v>
      </c>
    </row>
    <row r="2849" spans="1:21">
      <c r="A2849" t="str">
        <f>"600354"</f>
        <v>600354</v>
      </c>
      <c r="B2849" t="s">
        <v>5579</v>
      </c>
      <c r="C2849">
        <v>0.16</v>
      </c>
      <c r="D2849">
        <v>6.35</v>
      </c>
      <c r="E2849">
        <v>0.01</v>
      </c>
      <c r="F2849">
        <v>6.35</v>
      </c>
      <c r="G2849">
        <v>6.36</v>
      </c>
      <c r="H2849">
        <v>162183</v>
      </c>
      <c r="I2849">
        <v>4012</v>
      </c>
      <c r="J2849">
        <v>0</v>
      </c>
      <c r="K2849">
        <v>3.07</v>
      </c>
      <c r="L2849">
        <v>10253.91</v>
      </c>
      <c r="M2849" t="s">
        <v>5580</v>
      </c>
      <c r="N2849" t="s">
        <v>639</v>
      </c>
      <c r="O2849">
        <v>6.29</v>
      </c>
      <c r="P2849">
        <v>6.39</v>
      </c>
      <c r="Q2849">
        <v>6.26</v>
      </c>
      <c r="R2849">
        <v>6.34</v>
      </c>
      <c r="S2849" t="s">
        <v>40</v>
      </c>
      <c r="T2849">
        <v>0.44</v>
      </c>
      <c r="U2849" t="s">
        <v>391</v>
      </c>
    </row>
    <row r="2850" spans="1:21">
      <c r="A2850" t="str">
        <f>"600355"</f>
        <v>600355</v>
      </c>
      <c r="B2850" t="s">
        <v>5581</v>
      </c>
      <c r="C2850">
        <v>2.27</v>
      </c>
      <c r="D2850">
        <v>3.16</v>
      </c>
      <c r="E2850">
        <v>0.07</v>
      </c>
      <c r="F2850">
        <v>3.15</v>
      </c>
      <c r="G2850">
        <v>3.16</v>
      </c>
      <c r="H2850">
        <v>160231</v>
      </c>
      <c r="I2850">
        <v>5574</v>
      </c>
      <c r="J2850">
        <v>0</v>
      </c>
      <c r="K2850">
        <v>3.26</v>
      </c>
      <c r="L2850">
        <v>5046.8</v>
      </c>
      <c r="M2850" t="s">
        <v>5582</v>
      </c>
      <c r="N2850" t="s">
        <v>69</v>
      </c>
      <c r="O2850">
        <v>3.1</v>
      </c>
      <c r="P2850">
        <v>3.18</v>
      </c>
      <c r="Q2850">
        <v>3.08</v>
      </c>
      <c r="R2850">
        <v>3.09</v>
      </c>
      <c r="S2850">
        <v>496.38</v>
      </c>
      <c r="T2850">
        <v>1.23</v>
      </c>
      <c r="U2850" t="s">
        <v>267</v>
      </c>
    </row>
    <row r="2851" spans="1:21">
      <c r="A2851" t="str">
        <f>"600356"</f>
        <v>600356</v>
      </c>
      <c r="B2851" t="s">
        <v>5583</v>
      </c>
      <c r="C2851">
        <v>0</v>
      </c>
      <c r="D2851">
        <v>7.19</v>
      </c>
      <c r="E2851">
        <v>0</v>
      </c>
      <c r="F2851">
        <v>7.19</v>
      </c>
      <c r="G2851">
        <v>7.2</v>
      </c>
      <c r="H2851">
        <v>7507</v>
      </c>
      <c r="I2851">
        <v>97</v>
      </c>
      <c r="J2851">
        <v>0</v>
      </c>
      <c r="K2851">
        <v>0.25</v>
      </c>
      <c r="L2851">
        <v>537.25</v>
      </c>
      <c r="M2851" t="s">
        <v>3668</v>
      </c>
      <c r="N2851" t="s">
        <v>285</v>
      </c>
      <c r="O2851">
        <v>7.16</v>
      </c>
      <c r="P2851">
        <v>7.2</v>
      </c>
      <c r="Q2851">
        <v>7.11</v>
      </c>
      <c r="R2851">
        <v>7.19</v>
      </c>
      <c r="S2851">
        <v>15.07</v>
      </c>
      <c r="T2851">
        <v>0.61</v>
      </c>
      <c r="U2851" t="s">
        <v>445</v>
      </c>
    </row>
    <row r="2852" spans="1:21">
      <c r="A2852" t="str">
        <f>"600358"</f>
        <v>600358</v>
      </c>
      <c r="B2852" t="s">
        <v>5584</v>
      </c>
      <c r="C2852">
        <v>0.72</v>
      </c>
      <c r="D2852">
        <v>4.18</v>
      </c>
      <c r="E2852">
        <v>0.03</v>
      </c>
      <c r="F2852">
        <v>4.17</v>
      </c>
      <c r="G2852">
        <v>4.18</v>
      </c>
      <c r="H2852">
        <v>59721</v>
      </c>
      <c r="I2852">
        <v>2178</v>
      </c>
      <c r="J2852">
        <v>-0.7</v>
      </c>
      <c r="K2852">
        <v>1.18</v>
      </c>
      <c r="L2852">
        <v>2499.61</v>
      </c>
      <c r="M2852" t="s">
        <v>5585</v>
      </c>
      <c r="N2852" t="s">
        <v>489</v>
      </c>
      <c r="O2852">
        <v>4.22</v>
      </c>
      <c r="P2852">
        <v>4.25</v>
      </c>
      <c r="Q2852">
        <v>4.12</v>
      </c>
      <c r="R2852">
        <v>4.15</v>
      </c>
      <c r="S2852">
        <v>151.39</v>
      </c>
      <c r="T2852">
        <v>0.44</v>
      </c>
      <c r="U2852" t="s">
        <v>102</v>
      </c>
    </row>
    <row r="2853" spans="1:21">
      <c r="A2853" t="str">
        <f>"600359"</f>
        <v>600359</v>
      </c>
      <c r="B2853" t="s">
        <v>5586</v>
      </c>
      <c r="C2853">
        <v>0.26</v>
      </c>
      <c r="D2853">
        <v>7.85</v>
      </c>
      <c r="E2853">
        <v>0.02</v>
      </c>
      <c r="F2853">
        <v>7.85</v>
      </c>
      <c r="G2853">
        <v>7.86</v>
      </c>
      <c r="H2853">
        <v>111574</v>
      </c>
      <c r="I2853">
        <v>4534</v>
      </c>
      <c r="J2853">
        <v>-0.37</v>
      </c>
      <c r="K2853">
        <v>2.92</v>
      </c>
      <c r="L2853">
        <v>8724.97</v>
      </c>
      <c r="M2853" t="s">
        <v>4549</v>
      </c>
      <c r="N2853" t="s">
        <v>147</v>
      </c>
      <c r="O2853">
        <v>7.84</v>
      </c>
      <c r="P2853">
        <v>7.9</v>
      </c>
      <c r="Q2853">
        <v>7.73</v>
      </c>
      <c r="R2853">
        <v>7.83</v>
      </c>
      <c r="S2853">
        <v>43.1</v>
      </c>
      <c r="T2853">
        <v>0.76</v>
      </c>
      <c r="U2853" t="s">
        <v>210</v>
      </c>
    </row>
    <row r="2854" spans="1:21">
      <c r="A2854" t="str">
        <f>"600360"</f>
        <v>600360</v>
      </c>
      <c r="B2854" t="s">
        <v>5587</v>
      </c>
      <c r="C2854">
        <v>0.3</v>
      </c>
      <c r="D2854">
        <v>9.97</v>
      </c>
      <c r="E2854">
        <v>0.03</v>
      </c>
      <c r="F2854">
        <v>9.96</v>
      </c>
      <c r="G2854">
        <v>9.97</v>
      </c>
      <c r="H2854">
        <v>355976</v>
      </c>
      <c r="I2854">
        <v>3407</v>
      </c>
      <c r="J2854">
        <v>0</v>
      </c>
      <c r="K2854">
        <v>3.71</v>
      </c>
      <c r="L2854">
        <v>35428.63</v>
      </c>
      <c r="M2854" t="s">
        <v>5588</v>
      </c>
      <c r="N2854" t="s">
        <v>1246</v>
      </c>
      <c r="O2854">
        <v>10.01</v>
      </c>
      <c r="P2854">
        <v>10.1</v>
      </c>
      <c r="Q2854">
        <v>9.8</v>
      </c>
      <c r="R2854">
        <v>9.94</v>
      </c>
      <c r="S2854">
        <v>116.54</v>
      </c>
      <c r="T2854">
        <v>0.7</v>
      </c>
      <c r="U2854" t="s">
        <v>92</v>
      </c>
    </row>
    <row r="2855" spans="1:21">
      <c r="A2855" t="str">
        <f>"600361"</f>
        <v>600361</v>
      </c>
      <c r="B2855" t="s">
        <v>5589</v>
      </c>
      <c r="C2855">
        <v>0.19</v>
      </c>
      <c r="D2855">
        <v>5.4</v>
      </c>
      <c r="E2855">
        <v>0.01</v>
      </c>
      <c r="F2855">
        <v>5.39</v>
      </c>
      <c r="G2855">
        <v>5.4</v>
      </c>
      <c r="H2855">
        <v>79034</v>
      </c>
      <c r="I2855">
        <v>4855</v>
      </c>
      <c r="J2855">
        <v>0.93</v>
      </c>
      <c r="K2855">
        <v>1.19</v>
      </c>
      <c r="L2855">
        <v>4231.64</v>
      </c>
      <c r="M2855" t="s">
        <v>5590</v>
      </c>
      <c r="N2855" t="s">
        <v>707</v>
      </c>
      <c r="O2855">
        <v>5.38</v>
      </c>
      <c r="P2855">
        <v>5.46</v>
      </c>
      <c r="Q2855">
        <v>5.28</v>
      </c>
      <c r="R2855">
        <v>5.39</v>
      </c>
      <c r="S2855" t="s">
        <v>40</v>
      </c>
      <c r="T2855">
        <v>0.68</v>
      </c>
      <c r="U2855" t="s">
        <v>44</v>
      </c>
    </row>
    <row r="2856" spans="1:21">
      <c r="A2856" t="str">
        <f>"600362"</f>
        <v>600362</v>
      </c>
      <c r="B2856" t="s">
        <v>5591</v>
      </c>
      <c r="C2856">
        <v>2.17</v>
      </c>
      <c r="D2856">
        <v>23.5</v>
      </c>
      <c r="E2856">
        <v>0.5</v>
      </c>
      <c r="F2856">
        <v>23.49</v>
      </c>
      <c r="G2856">
        <v>23.5</v>
      </c>
      <c r="H2856">
        <v>283093</v>
      </c>
      <c r="I2856">
        <v>5598</v>
      </c>
      <c r="J2856">
        <v>0.04</v>
      </c>
      <c r="K2856">
        <v>1.36</v>
      </c>
      <c r="L2856">
        <v>65975.91</v>
      </c>
      <c r="M2856" t="s">
        <v>5592</v>
      </c>
      <c r="N2856" t="s">
        <v>526</v>
      </c>
      <c r="O2856">
        <v>23.01</v>
      </c>
      <c r="P2856">
        <v>23.56</v>
      </c>
      <c r="Q2856">
        <v>22.9</v>
      </c>
      <c r="R2856">
        <v>23</v>
      </c>
      <c r="S2856">
        <v>13.54</v>
      </c>
      <c r="T2856">
        <v>1.74</v>
      </c>
      <c r="U2856" t="s">
        <v>235</v>
      </c>
    </row>
    <row r="2857" spans="1:21">
      <c r="A2857" t="str">
        <f>"600363"</f>
        <v>600363</v>
      </c>
      <c r="B2857" t="s">
        <v>5593</v>
      </c>
      <c r="C2857">
        <v>0.06</v>
      </c>
      <c r="D2857">
        <v>30.91</v>
      </c>
      <c r="E2857">
        <v>0.02</v>
      </c>
      <c r="F2857">
        <v>30.91</v>
      </c>
      <c r="G2857">
        <v>30.93</v>
      </c>
      <c r="H2857">
        <v>42133</v>
      </c>
      <c r="I2857">
        <v>437</v>
      </c>
      <c r="J2857">
        <v>-0.05</v>
      </c>
      <c r="K2857">
        <v>0.95</v>
      </c>
      <c r="L2857">
        <v>12986.08</v>
      </c>
      <c r="M2857" t="s">
        <v>5594</v>
      </c>
      <c r="N2857" t="s">
        <v>69</v>
      </c>
      <c r="O2857">
        <v>30.88</v>
      </c>
      <c r="P2857">
        <v>31.04</v>
      </c>
      <c r="Q2857">
        <v>30.61</v>
      </c>
      <c r="R2857">
        <v>30.89</v>
      </c>
      <c r="S2857">
        <v>42.39</v>
      </c>
      <c r="T2857">
        <v>0.68</v>
      </c>
      <c r="U2857" t="s">
        <v>235</v>
      </c>
    </row>
    <row r="2858" spans="1:21">
      <c r="A2858" t="str">
        <f>"600365"</f>
        <v>600365</v>
      </c>
      <c r="B2858" t="s">
        <v>5595</v>
      </c>
      <c r="C2858">
        <v>1.08</v>
      </c>
      <c r="D2858">
        <v>3.73</v>
      </c>
      <c r="E2858">
        <v>0.04</v>
      </c>
      <c r="F2858">
        <v>3.72</v>
      </c>
      <c r="G2858">
        <v>3.73</v>
      </c>
      <c r="H2858">
        <v>22793</v>
      </c>
      <c r="I2858">
        <v>176</v>
      </c>
      <c r="J2858">
        <v>0.27</v>
      </c>
      <c r="K2858">
        <v>0.57</v>
      </c>
      <c r="L2858">
        <v>846.92</v>
      </c>
      <c r="M2858" t="s">
        <v>5596</v>
      </c>
      <c r="N2858" t="s">
        <v>853</v>
      </c>
      <c r="O2858">
        <v>3.69</v>
      </c>
      <c r="P2858">
        <v>3.73</v>
      </c>
      <c r="Q2858">
        <v>3.68</v>
      </c>
      <c r="R2858">
        <v>3.69</v>
      </c>
      <c r="S2858" t="s">
        <v>40</v>
      </c>
      <c r="T2858">
        <v>0.67</v>
      </c>
      <c r="U2858" t="s">
        <v>92</v>
      </c>
    </row>
    <row r="2859" spans="1:21">
      <c r="A2859" t="str">
        <f>"600366"</f>
        <v>600366</v>
      </c>
      <c r="B2859" t="s">
        <v>5597</v>
      </c>
      <c r="C2859">
        <v>-4.68</v>
      </c>
      <c r="D2859">
        <v>12.23</v>
      </c>
      <c r="E2859">
        <v>-0.6</v>
      </c>
      <c r="F2859">
        <v>12.22</v>
      </c>
      <c r="G2859">
        <v>12.23</v>
      </c>
      <c r="H2859">
        <v>830724</v>
      </c>
      <c r="I2859">
        <v>6774</v>
      </c>
      <c r="J2859">
        <v>0.25</v>
      </c>
      <c r="K2859">
        <v>8.4</v>
      </c>
      <c r="L2859">
        <v>102198.03</v>
      </c>
      <c r="M2859" t="s">
        <v>5598</v>
      </c>
      <c r="N2859" t="s">
        <v>750</v>
      </c>
      <c r="O2859">
        <v>12.51</v>
      </c>
      <c r="P2859">
        <v>12.6</v>
      </c>
      <c r="Q2859">
        <v>12.08</v>
      </c>
      <c r="R2859">
        <v>12.83</v>
      </c>
      <c r="S2859">
        <v>24.25</v>
      </c>
      <c r="T2859">
        <v>1.27</v>
      </c>
      <c r="U2859" t="s">
        <v>200</v>
      </c>
    </row>
    <row r="2860" spans="1:21">
      <c r="A2860" t="str">
        <f>"600367"</f>
        <v>600367</v>
      </c>
      <c r="B2860" t="s">
        <v>5599</v>
      </c>
      <c r="C2860">
        <v>0.51</v>
      </c>
      <c r="D2860">
        <v>15.63</v>
      </c>
      <c r="E2860">
        <v>0.08</v>
      </c>
      <c r="F2860">
        <v>15.62</v>
      </c>
      <c r="G2860">
        <v>15.63</v>
      </c>
      <c r="H2860">
        <v>249358</v>
      </c>
      <c r="I2860">
        <v>2235</v>
      </c>
      <c r="J2860">
        <v>-0.05</v>
      </c>
      <c r="K2860">
        <v>8.56</v>
      </c>
      <c r="L2860">
        <v>39169.5</v>
      </c>
      <c r="M2860" t="s">
        <v>5600</v>
      </c>
      <c r="N2860" t="s">
        <v>309</v>
      </c>
      <c r="O2860">
        <v>15.47</v>
      </c>
      <c r="P2860">
        <v>16.28</v>
      </c>
      <c r="Q2860">
        <v>15.25</v>
      </c>
      <c r="R2860">
        <v>15.55</v>
      </c>
      <c r="S2860">
        <v>25.17</v>
      </c>
      <c r="T2860">
        <v>1.78</v>
      </c>
      <c r="U2860" t="s">
        <v>368</v>
      </c>
    </row>
    <row r="2861" spans="1:21">
      <c r="A2861" t="str">
        <f>"600368"</f>
        <v>600368</v>
      </c>
      <c r="B2861" t="s">
        <v>5601</v>
      </c>
      <c r="C2861">
        <v>1.63</v>
      </c>
      <c r="D2861">
        <v>3.75</v>
      </c>
      <c r="E2861">
        <v>0.06</v>
      </c>
      <c r="F2861">
        <v>3.74</v>
      </c>
      <c r="G2861">
        <v>3.75</v>
      </c>
      <c r="H2861">
        <v>123342</v>
      </c>
      <c r="I2861">
        <v>3295</v>
      </c>
      <c r="J2861">
        <v>0</v>
      </c>
      <c r="K2861">
        <v>1.1</v>
      </c>
      <c r="L2861">
        <v>4591.04</v>
      </c>
      <c r="M2861" t="s">
        <v>4904</v>
      </c>
      <c r="N2861" t="s">
        <v>280</v>
      </c>
      <c r="O2861">
        <v>3.7</v>
      </c>
      <c r="P2861">
        <v>3.77</v>
      </c>
      <c r="Q2861">
        <v>3.66</v>
      </c>
      <c r="R2861">
        <v>3.69</v>
      </c>
      <c r="S2861">
        <v>5.4</v>
      </c>
      <c r="T2861">
        <v>1.71</v>
      </c>
      <c r="U2861" t="s">
        <v>342</v>
      </c>
    </row>
    <row r="2862" spans="1:21">
      <c r="A2862" t="str">
        <f>"600369"</f>
        <v>600369</v>
      </c>
      <c r="B2862" t="s">
        <v>5602</v>
      </c>
      <c r="C2862">
        <v>2.11</v>
      </c>
      <c r="D2862">
        <v>4.84</v>
      </c>
      <c r="E2862">
        <v>0.1</v>
      </c>
      <c r="F2862">
        <v>4.84</v>
      </c>
      <c r="G2862">
        <v>4.85</v>
      </c>
      <c r="H2862">
        <v>287987</v>
      </c>
      <c r="I2862">
        <v>7006</v>
      </c>
      <c r="J2862">
        <v>-0.4</v>
      </c>
      <c r="K2862">
        <v>0.51</v>
      </c>
      <c r="L2862">
        <v>13867.45</v>
      </c>
      <c r="M2862" t="s">
        <v>5603</v>
      </c>
      <c r="N2862" t="s">
        <v>213</v>
      </c>
      <c r="O2862">
        <v>4.75</v>
      </c>
      <c r="P2862">
        <v>4.88</v>
      </c>
      <c r="Q2862">
        <v>4.73</v>
      </c>
      <c r="R2862">
        <v>4.74</v>
      </c>
      <c r="S2862">
        <v>26.68</v>
      </c>
      <c r="T2862">
        <v>1.68</v>
      </c>
      <c r="U2862" t="s">
        <v>314</v>
      </c>
    </row>
    <row r="2863" spans="1:21">
      <c r="A2863" t="str">
        <f>"600370"</f>
        <v>600370</v>
      </c>
      <c r="B2863" t="s">
        <v>5604</v>
      </c>
      <c r="C2863">
        <v>0</v>
      </c>
      <c r="D2863">
        <v>3.03</v>
      </c>
      <c r="E2863">
        <v>0</v>
      </c>
      <c r="F2863">
        <v>3.02</v>
      </c>
      <c r="G2863">
        <v>3.03</v>
      </c>
      <c r="H2863">
        <v>44658</v>
      </c>
      <c r="I2863">
        <v>2111</v>
      </c>
      <c r="J2863">
        <v>0</v>
      </c>
      <c r="K2863">
        <v>0.48</v>
      </c>
      <c r="L2863">
        <v>1346.34</v>
      </c>
      <c r="M2863" t="s">
        <v>5605</v>
      </c>
      <c r="N2863" t="s">
        <v>309</v>
      </c>
      <c r="O2863">
        <v>3.03</v>
      </c>
      <c r="P2863">
        <v>3.03</v>
      </c>
      <c r="Q2863">
        <v>2.99</v>
      </c>
      <c r="R2863">
        <v>3.03</v>
      </c>
      <c r="S2863">
        <v>20.58</v>
      </c>
      <c r="T2863">
        <v>0.59</v>
      </c>
      <c r="U2863" t="s">
        <v>102</v>
      </c>
    </row>
    <row r="2864" spans="1:21">
      <c r="A2864" t="str">
        <f>"600371"</f>
        <v>600371</v>
      </c>
      <c r="B2864" t="s">
        <v>5606</v>
      </c>
      <c r="C2864">
        <v>0.61</v>
      </c>
      <c r="D2864">
        <v>11.48</v>
      </c>
      <c r="E2864">
        <v>0.07</v>
      </c>
      <c r="F2864">
        <v>11.48</v>
      </c>
      <c r="G2864">
        <v>11.49</v>
      </c>
      <c r="H2864">
        <v>34016</v>
      </c>
      <c r="I2864">
        <v>777</v>
      </c>
      <c r="J2864">
        <v>0.26</v>
      </c>
      <c r="K2864">
        <v>1.16</v>
      </c>
      <c r="L2864">
        <v>3889.77</v>
      </c>
      <c r="M2864" t="s">
        <v>5607</v>
      </c>
      <c r="N2864" t="s">
        <v>639</v>
      </c>
      <c r="O2864">
        <v>11.37</v>
      </c>
      <c r="P2864">
        <v>11.55</v>
      </c>
      <c r="Q2864">
        <v>11.3</v>
      </c>
      <c r="R2864">
        <v>11.41</v>
      </c>
      <c r="S2864">
        <v>107.72</v>
      </c>
      <c r="T2864">
        <v>0.49</v>
      </c>
      <c r="U2864" t="s">
        <v>445</v>
      </c>
    </row>
    <row r="2865" spans="1:21">
      <c r="A2865" t="str">
        <f>"600372"</f>
        <v>600372</v>
      </c>
      <c r="B2865" t="s">
        <v>5608</v>
      </c>
      <c r="C2865">
        <v>1.76</v>
      </c>
      <c r="D2865">
        <v>19.11</v>
      </c>
      <c r="E2865">
        <v>0.33</v>
      </c>
      <c r="F2865">
        <v>19.1</v>
      </c>
      <c r="G2865">
        <v>19.11</v>
      </c>
      <c r="H2865">
        <v>154110</v>
      </c>
      <c r="I2865">
        <v>1147</v>
      </c>
      <c r="J2865">
        <v>0</v>
      </c>
      <c r="K2865">
        <v>0.8</v>
      </c>
      <c r="L2865">
        <v>29212.4</v>
      </c>
      <c r="M2865" t="s">
        <v>5609</v>
      </c>
      <c r="N2865" t="s">
        <v>611</v>
      </c>
      <c r="O2865">
        <v>18.76</v>
      </c>
      <c r="P2865">
        <v>19.26</v>
      </c>
      <c r="Q2865">
        <v>18.6</v>
      </c>
      <c r="R2865">
        <v>18.78</v>
      </c>
      <c r="S2865">
        <v>48.05</v>
      </c>
      <c r="T2865">
        <v>0.71</v>
      </c>
      <c r="U2865" t="s">
        <v>44</v>
      </c>
    </row>
    <row r="2866" spans="1:21">
      <c r="A2866" t="str">
        <f>"600373"</f>
        <v>600373</v>
      </c>
      <c r="B2866" t="s">
        <v>5610</v>
      </c>
      <c r="C2866">
        <v>-0.18</v>
      </c>
      <c r="D2866">
        <v>11.18</v>
      </c>
      <c r="E2866">
        <v>-0.02</v>
      </c>
      <c r="F2866">
        <v>11.18</v>
      </c>
      <c r="G2866">
        <v>11.19</v>
      </c>
      <c r="H2866">
        <v>103362</v>
      </c>
      <c r="I2866">
        <v>1266</v>
      </c>
      <c r="J2866">
        <v>0</v>
      </c>
      <c r="K2866">
        <v>0.76</v>
      </c>
      <c r="L2866">
        <v>11570.77</v>
      </c>
      <c r="M2866" t="s">
        <v>5611</v>
      </c>
      <c r="N2866" t="s">
        <v>650</v>
      </c>
      <c r="O2866">
        <v>11.12</v>
      </c>
      <c r="P2866">
        <v>11.3</v>
      </c>
      <c r="Q2866">
        <v>11.08</v>
      </c>
      <c r="R2866">
        <v>11.2</v>
      </c>
      <c r="S2866">
        <v>6.66</v>
      </c>
      <c r="T2866">
        <v>0.66</v>
      </c>
      <c r="U2866" t="s">
        <v>235</v>
      </c>
    </row>
    <row r="2867" spans="1:21">
      <c r="A2867" t="str">
        <f>"600375"</f>
        <v>600375</v>
      </c>
      <c r="B2867" t="s">
        <v>5612</v>
      </c>
      <c r="C2867">
        <v>-0.68</v>
      </c>
      <c r="D2867">
        <v>10.28</v>
      </c>
      <c r="E2867">
        <v>-0.07</v>
      </c>
      <c r="F2867">
        <v>10.28</v>
      </c>
      <c r="G2867">
        <v>10.29</v>
      </c>
      <c r="H2867">
        <v>143812</v>
      </c>
      <c r="I2867">
        <v>2517</v>
      </c>
      <c r="J2867">
        <v>-0.09</v>
      </c>
      <c r="K2867">
        <v>2.59</v>
      </c>
      <c r="L2867">
        <v>14837.53</v>
      </c>
      <c r="M2867" t="s">
        <v>5613</v>
      </c>
      <c r="N2867" t="s">
        <v>385</v>
      </c>
      <c r="O2867">
        <v>10.3</v>
      </c>
      <c r="P2867">
        <v>10.49</v>
      </c>
      <c r="Q2867">
        <v>10.2</v>
      </c>
      <c r="R2867">
        <v>10.35</v>
      </c>
      <c r="S2867" t="s">
        <v>40</v>
      </c>
      <c r="T2867">
        <v>0.54</v>
      </c>
      <c r="U2867" t="s">
        <v>193</v>
      </c>
    </row>
    <row r="2868" spans="1:21">
      <c r="A2868" t="str">
        <f>"600376"</f>
        <v>600376</v>
      </c>
      <c r="B2868" t="s">
        <v>5614</v>
      </c>
      <c r="C2868">
        <v>1.06</v>
      </c>
      <c r="D2868">
        <v>4.76</v>
      </c>
      <c r="E2868">
        <v>0.05</v>
      </c>
      <c r="F2868">
        <v>4.75</v>
      </c>
      <c r="G2868">
        <v>4.76</v>
      </c>
      <c r="H2868">
        <v>82633</v>
      </c>
      <c r="I2868">
        <v>2213</v>
      </c>
      <c r="J2868">
        <v>-0.2</v>
      </c>
      <c r="K2868">
        <v>0.32</v>
      </c>
      <c r="L2868">
        <v>3907.73</v>
      </c>
      <c r="M2868" t="s">
        <v>5615</v>
      </c>
      <c r="N2868" t="s">
        <v>36</v>
      </c>
      <c r="O2868">
        <v>4.69</v>
      </c>
      <c r="P2868">
        <v>4.8</v>
      </c>
      <c r="Q2868">
        <v>4.65</v>
      </c>
      <c r="R2868">
        <v>4.71</v>
      </c>
      <c r="S2868">
        <v>13.17</v>
      </c>
      <c r="T2868">
        <v>1.53</v>
      </c>
      <c r="U2868" t="s">
        <v>44</v>
      </c>
    </row>
    <row r="2869" spans="1:21">
      <c r="A2869" t="str">
        <f>"600377"</f>
        <v>600377</v>
      </c>
      <c r="B2869" t="s">
        <v>5616</v>
      </c>
      <c r="C2869">
        <v>0.83</v>
      </c>
      <c r="D2869">
        <v>8.5</v>
      </c>
      <c r="E2869">
        <v>0.07</v>
      </c>
      <c r="F2869">
        <v>8.49</v>
      </c>
      <c r="G2869">
        <v>8.5</v>
      </c>
      <c r="H2869">
        <v>56775</v>
      </c>
      <c r="I2869">
        <v>624</v>
      </c>
      <c r="J2869">
        <v>-0.11</v>
      </c>
      <c r="K2869">
        <v>0.15</v>
      </c>
      <c r="L2869">
        <v>4815.91</v>
      </c>
      <c r="M2869" t="s">
        <v>5617</v>
      </c>
      <c r="N2869" t="s">
        <v>280</v>
      </c>
      <c r="O2869">
        <v>8.44</v>
      </c>
      <c r="P2869">
        <v>8.53</v>
      </c>
      <c r="Q2869">
        <v>8.4</v>
      </c>
      <c r="R2869">
        <v>8.43</v>
      </c>
      <c r="S2869">
        <v>8.48</v>
      </c>
      <c r="T2869">
        <v>1.37</v>
      </c>
      <c r="U2869" t="s">
        <v>102</v>
      </c>
    </row>
    <row r="2870" spans="1:21">
      <c r="A2870" t="str">
        <f>"600378"</f>
        <v>600378</v>
      </c>
      <c r="B2870" t="s">
        <v>5618</v>
      </c>
      <c r="C2870">
        <v>-1.64</v>
      </c>
      <c r="D2870">
        <v>34.72</v>
      </c>
      <c r="E2870">
        <v>-0.58</v>
      </c>
      <c r="F2870">
        <v>34.71</v>
      </c>
      <c r="G2870">
        <v>34.72</v>
      </c>
      <c r="H2870">
        <v>53468</v>
      </c>
      <c r="I2870">
        <v>628</v>
      </c>
      <c r="J2870">
        <v>0.06</v>
      </c>
      <c r="K2870">
        <v>1.5</v>
      </c>
      <c r="L2870">
        <v>18472.21</v>
      </c>
      <c r="M2870" t="s">
        <v>5619</v>
      </c>
      <c r="N2870" t="s">
        <v>309</v>
      </c>
      <c r="O2870">
        <v>35.79</v>
      </c>
      <c r="P2870">
        <v>35.79</v>
      </c>
      <c r="Q2870">
        <v>34</v>
      </c>
      <c r="R2870">
        <v>35.3</v>
      </c>
      <c r="S2870">
        <v>37.4</v>
      </c>
      <c r="T2870">
        <v>1.04</v>
      </c>
      <c r="U2870" t="s">
        <v>196</v>
      </c>
    </row>
    <row r="2871" spans="1:21">
      <c r="A2871" t="str">
        <f>"600379"</f>
        <v>600379</v>
      </c>
      <c r="B2871" t="s">
        <v>5620</v>
      </c>
      <c r="C2871">
        <v>6.75</v>
      </c>
      <c r="D2871">
        <v>14.54</v>
      </c>
      <c r="E2871">
        <v>0.92</v>
      </c>
      <c r="F2871">
        <v>14.53</v>
      </c>
      <c r="G2871">
        <v>14.54</v>
      </c>
      <c r="H2871">
        <v>291684</v>
      </c>
      <c r="I2871">
        <v>1931</v>
      </c>
      <c r="J2871">
        <v>0.07</v>
      </c>
      <c r="K2871">
        <v>8.83</v>
      </c>
      <c r="L2871">
        <v>41167.38</v>
      </c>
      <c r="M2871" t="s">
        <v>5621</v>
      </c>
      <c r="N2871" t="s">
        <v>47</v>
      </c>
      <c r="O2871">
        <v>13.57</v>
      </c>
      <c r="P2871">
        <v>14.88</v>
      </c>
      <c r="Q2871">
        <v>13.23</v>
      </c>
      <c r="R2871">
        <v>13.62</v>
      </c>
      <c r="S2871">
        <v>109.17</v>
      </c>
      <c r="T2871">
        <v>1.13</v>
      </c>
      <c r="U2871" t="s">
        <v>317</v>
      </c>
    </row>
    <row r="2872" spans="1:21">
      <c r="A2872" t="str">
        <f>"600380"</f>
        <v>600380</v>
      </c>
      <c r="B2872" t="s">
        <v>5622</v>
      </c>
      <c r="C2872">
        <v>0.68</v>
      </c>
      <c r="D2872">
        <v>11.83</v>
      </c>
      <c r="E2872">
        <v>0.08</v>
      </c>
      <c r="F2872">
        <v>11.83</v>
      </c>
      <c r="G2872">
        <v>11.84</v>
      </c>
      <c r="H2872">
        <v>87023</v>
      </c>
      <c r="I2872">
        <v>946</v>
      </c>
      <c r="J2872">
        <v>-0.24</v>
      </c>
      <c r="K2872">
        <v>0.46</v>
      </c>
      <c r="L2872">
        <v>10246</v>
      </c>
      <c r="M2872" t="s">
        <v>5623</v>
      </c>
      <c r="N2872" t="s">
        <v>192</v>
      </c>
      <c r="O2872">
        <v>11.71</v>
      </c>
      <c r="P2872">
        <v>11.87</v>
      </c>
      <c r="Q2872">
        <v>11.67</v>
      </c>
      <c r="R2872">
        <v>11.75</v>
      </c>
      <c r="S2872">
        <v>16.76</v>
      </c>
      <c r="T2872">
        <v>0.74</v>
      </c>
      <c r="U2872" t="s">
        <v>24</v>
      </c>
    </row>
    <row r="2873" spans="1:21">
      <c r="A2873" t="str">
        <f>"600381"</f>
        <v>600381</v>
      </c>
      <c r="B2873" t="s">
        <v>5624</v>
      </c>
      <c r="C2873">
        <v>1.28</v>
      </c>
      <c r="D2873">
        <v>6.35</v>
      </c>
      <c r="E2873">
        <v>0.08</v>
      </c>
      <c r="F2873">
        <v>6.34</v>
      </c>
      <c r="G2873">
        <v>6.35</v>
      </c>
      <c r="H2873">
        <v>63512</v>
      </c>
      <c r="I2873">
        <v>1617</v>
      </c>
      <c r="J2873">
        <v>0.16</v>
      </c>
      <c r="K2873">
        <v>1.08</v>
      </c>
      <c r="L2873">
        <v>4026.65</v>
      </c>
      <c r="M2873" t="s">
        <v>5625</v>
      </c>
      <c r="N2873" t="s">
        <v>186</v>
      </c>
      <c r="O2873">
        <v>6.28</v>
      </c>
      <c r="P2873">
        <v>6.4</v>
      </c>
      <c r="Q2873">
        <v>6.28</v>
      </c>
      <c r="R2873">
        <v>6.27</v>
      </c>
      <c r="S2873" t="s">
        <v>40</v>
      </c>
      <c r="T2873">
        <v>0.66</v>
      </c>
      <c r="U2873" t="s">
        <v>242</v>
      </c>
    </row>
    <row r="2874" spans="1:21">
      <c r="A2874" t="str">
        <f>"600382"</f>
        <v>600382</v>
      </c>
      <c r="B2874" t="s">
        <v>5626</v>
      </c>
      <c r="C2874">
        <v>1.19</v>
      </c>
      <c r="D2874">
        <v>5.09</v>
      </c>
      <c r="E2874">
        <v>0.06</v>
      </c>
      <c r="F2874">
        <v>5.09</v>
      </c>
      <c r="G2874">
        <v>5.1</v>
      </c>
      <c r="H2874">
        <v>65252</v>
      </c>
      <c r="I2874">
        <v>908</v>
      </c>
      <c r="J2874">
        <v>0</v>
      </c>
      <c r="K2874">
        <v>0.83</v>
      </c>
      <c r="L2874">
        <v>3290.6</v>
      </c>
      <c r="M2874" t="s">
        <v>5627</v>
      </c>
      <c r="N2874" t="s">
        <v>189</v>
      </c>
      <c r="O2874">
        <v>5.03</v>
      </c>
      <c r="P2874">
        <v>5.13</v>
      </c>
      <c r="Q2874">
        <v>4.96</v>
      </c>
      <c r="R2874">
        <v>5.03</v>
      </c>
      <c r="S2874">
        <v>26.76</v>
      </c>
      <c r="T2874">
        <v>0.66</v>
      </c>
      <c r="U2874" t="s">
        <v>183</v>
      </c>
    </row>
    <row r="2875" spans="1:21">
      <c r="A2875" t="str">
        <f>"600383"</f>
        <v>600383</v>
      </c>
      <c r="B2875" t="s">
        <v>5628</v>
      </c>
      <c r="C2875">
        <v>4.95</v>
      </c>
      <c r="D2875">
        <v>11.02</v>
      </c>
      <c r="E2875">
        <v>0.52</v>
      </c>
      <c r="F2875">
        <v>11.01</v>
      </c>
      <c r="G2875">
        <v>11.02</v>
      </c>
      <c r="H2875">
        <v>931745</v>
      </c>
      <c r="I2875">
        <v>6086</v>
      </c>
      <c r="J2875">
        <v>-0.17</v>
      </c>
      <c r="K2875">
        <v>2.06</v>
      </c>
      <c r="L2875">
        <v>101336.37</v>
      </c>
      <c r="M2875" t="s">
        <v>5629</v>
      </c>
      <c r="N2875" t="s">
        <v>27</v>
      </c>
      <c r="O2875">
        <v>10.46</v>
      </c>
      <c r="P2875">
        <v>11.24</v>
      </c>
      <c r="Q2875">
        <v>10.36</v>
      </c>
      <c r="R2875">
        <v>10.5</v>
      </c>
      <c r="S2875">
        <v>11.28</v>
      </c>
      <c r="T2875">
        <v>1.36</v>
      </c>
      <c r="U2875" t="s">
        <v>24</v>
      </c>
    </row>
    <row r="2876" spans="1:21">
      <c r="A2876" t="str">
        <f>"600385"</f>
        <v>600385</v>
      </c>
      <c r="B2876" t="s">
        <v>5630</v>
      </c>
      <c r="C2876">
        <v>1.28</v>
      </c>
      <c r="D2876">
        <v>6.32</v>
      </c>
      <c r="E2876">
        <v>0.08</v>
      </c>
      <c r="F2876">
        <v>6.3</v>
      </c>
      <c r="G2876">
        <v>6.32</v>
      </c>
      <c r="H2876">
        <v>4345</v>
      </c>
      <c r="I2876">
        <v>25</v>
      </c>
      <c r="J2876">
        <v>0</v>
      </c>
      <c r="K2876">
        <v>0.3</v>
      </c>
      <c r="L2876">
        <v>272.78</v>
      </c>
      <c r="M2876" t="s">
        <v>5631</v>
      </c>
      <c r="N2876" t="s">
        <v>192</v>
      </c>
      <c r="O2876">
        <v>6.18</v>
      </c>
      <c r="P2876">
        <v>6.42</v>
      </c>
      <c r="Q2876">
        <v>6.16</v>
      </c>
      <c r="R2876">
        <v>6.24</v>
      </c>
      <c r="S2876" t="s">
        <v>40</v>
      </c>
      <c r="T2876">
        <v>0.79</v>
      </c>
      <c r="U2876" t="s">
        <v>221</v>
      </c>
    </row>
    <row r="2877" spans="1:21">
      <c r="A2877" t="str">
        <f>"600386"</f>
        <v>600386</v>
      </c>
      <c r="B2877" t="s">
        <v>5632</v>
      </c>
      <c r="C2877">
        <v>-0.96</v>
      </c>
      <c r="D2877">
        <v>4.13</v>
      </c>
      <c r="E2877">
        <v>-0.04</v>
      </c>
      <c r="F2877">
        <v>4.13</v>
      </c>
      <c r="G2877">
        <v>4.14</v>
      </c>
      <c r="H2877">
        <v>92801</v>
      </c>
      <c r="I2877">
        <v>591</v>
      </c>
      <c r="J2877">
        <v>-0.23</v>
      </c>
      <c r="K2877">
        <v>1.15</v>
      </c>
      <c r="L2877">
        <v>3854.84</v>
      </c>
      <c r="M2877" t="s">
        <v>5633</v>
      </c>
      <c r="N2877" t="s">
        <v>78</v>
      </c>
      <c r="O2877">
        <v>4.19</v>
      </c>
      <c r="P2877">
        <v>4.26</v>
      </c>
      <c r="Q2877">
        <v>4.12</v>
      </c>
      <c r="R2877">
        <v>4.17</v>
      </c>
      <c r="S2877">
        <v>24.6</v>
      </c>
      <c r="T2877">
        <v>0.77</v>
      </c>
      <c r="U2877" t="s">
        <v>44</v>
      </c>
    </row>
    <row r="2878" spans="1:21">
      <c r="A2878" t="str">
        <f>"600387"</f>
        <v>600387</v>
      </c>
      <c r="B2878" t="s">
        <v>5634</v>
      </c>
      <c r="C2878">
        <v>4.39</v>
      </c>
      <c r="D2878">
        <v>5.23</v>
      </c>
      <c r="E2878">
        <v>0.22</v>
      </c>
      <c r="F2878">
        <v>5.23</v>
      </c>
      <c r="G2878">
        <v>5.24</v>
      </c>
      <c r="H2878">
        <v>72945</v>
      </c>
      <c r="I2878">
        <v>69</v>
      </c>
      <c r="J2878">
        <v>-0.18</v>
      </c>
      <c r="K2878">
        <v>1.81</v>
      </c>
      <c r="L2878">
        <v>3786.07</v>
      </c>
      <c r="M2878" t="s">
        <v>2975</v>
      </c>
      <c r="N2878" t="s">
        <v>177</v>
      </c>
      <c r="O2878">
        <v>5.07</v>
      </c>
      <c r="P2878">
        <v>5.26</v>
      </c>
      <c r="Q2878">
        <v>4.97</v>
      </c>
      <c r="R2878">
        <v>5.01</v>
      </c>
      <c r="S2878">
        <v>101.54</v>
      </c>
      <c r="T2878">
        <v>3.66</v>
      </c>
      <c r="U2878" t="s">
        <v>200</v>
      </c>
    </row>
    <row r="2879" spans="1:21">
      <c r="A2879" t="str">
        <f>"600388"</f>
        <v>600388</v>
      </c>
      <c r="B2879" t="s">
        <v>5635</v>
      </c>
      <c r="C2879">
        <v>0.24</v>
      </c>
      <c r="D2879">
        <v>8.3</v>
      </c>
      <c r="E2879">
        <v>0.02</v>
      </c>
      <c r="F2879">
        <v>8.29</v>
      </c>
      <c r="G2879">
        <v>8.3</v>
      </c>
      <c r="H2879">
        <v>93617</v>
      </c>
      <c r="I2879">
        <v>520</v>
      </c>
      <c r="J2879">
        <v>0</v>
      </c>
      <c r="K2879">
        <v>0.88</v>
      </c>
      <c r="L2879">
        <v>7730.57</v>
      </c>
      <c r="M2879" t="s">
        <v>5636</v>
      </c>
      <c r="N2879" t="s">
        <v>33</v>
      </c>
      <c r="O2879">
        <v>8.24</v>
      </c>
      <c r="P2879">
        <v>8.31</v>
      </c>
      <c r="Q2879">
        <v>8.18</v>
      </c>
      <c r="R2879">
        <v>8.28</v>
      </c>
      <c r="S2879">
        <v>9.6</v>
      </c>
      <c r="T2879">
        <v>0.9</v>
      </c>
      <c r="U2879" t="s">
        <v>339</v>
      </c>
    </row>
    <row r="2880" spans="1:21">
      <c r="A2880" t="str">
        <f>"600389"</f>
        <v>600389</v>
      </c>
      <c r="B2880" t="s">
        <v>5637</v>
      </c>
      <c r="C2880">
        <v>1.58</v>
      </c>
      <c r="D2880">
        <v>41.9</v>
      </c>
      <c r="E2880">
        <v>0.65</v>
      </c>
      <c r="F2880">
        <v>41.9</v>
      </c>
      <c r="G2880">
        <v>41.91</v>
      </c>
      <c r="H2880">
        <v>62513</v>
      </c>
      <c r="I2880">
        <v>770</v>
      </c>
      <c r="J2880">
        <v>-0.06</v>
      </c>
      <c r="K2880">
        <v>2.1</v>
      </c>
      <c r="L2880">
        <v>25983.98</v>
      </c>
      <c r="M2880" t="s">
        <v>5638</v>
      </c>
      <c r="N2880" t="s">
        <v>241</v>
      </c>
      <c r="O2880">
        <v>40.89</v>
      </c>
      <c r="P2880">
        <v>42</v>
      </c>
      <c r="Q2880">
        <v>40.68</v>
      </c>
      <c r="R2880">
        <v>41.25</v>
      </c>
      <c r="S2880">
        <v>17.79</v>
      </c>
      <c r="T2880">
        <v>0.5</v>
      </c>
      <c r="U2880" t="s">
        <v>102</v>
      </c>
    </row>
    <row r="2881" spans="1:21">
      <c r="A2881" t="str">
        <f>"600390"</f>
        <v>600390</v>
      </c>
      <c r="B2881" t="s">
        <v>5639</v>
      </c>
      <c r="C2881">
        <v>1.57</v>
      </c>
      <c r="D2881">
        <v>5.18</v>
      </c>
      <c r="E2881">
        <v>0.08</v>
      </c>
      <c r="F2881">
        <v>5.17</v>
      </c>
      <c r="G2881">
        <v>5.18</v>
      </c>
      <c r="H2881">
        <v>159823</v>
      </c>
      <c r="I2881">
        <v>1786</v>
      </c>
      <c r="J2881">
        <v>0.19</v>
      </c>
      <c r="K2881">
        <v>0.36</v>
      </c>
      <c r="L2881">
        <v>8206.7</v>
      </c>
      <c r="M2881" t="s">
        <v>5640</v>
      </c>
      <c r="N2881" t="s">
        <v>121</v>
      </c>
      <c r="O2881">
        <v>5.11</v>
      </c>
      <c r="P2881">
        <v>5.18</v>
      </c>
      <c r="Q2881">
        <v>5.08</v>
      </c>
      <c r="R2881">
        <v>5.1</v>
      </c>
      <c r="S2881">
        <v>5.34</v>
      </c>
      <c r="T2881">
        <v>1.18</v>
      </c>
      <c r="U2881" t="s">
        <v>204</v>
      </c>
    </row>
    <row r="2882" spans="1:21">
      <c r="A2882" t="str">
        <f>"600391"</f>
        <v>600391</v>
      </c>
      <c r="B2882" t="s">
        <v>5641</v>
      </c>
      <c r="C2882">
        <v>0.09</v>
      </c>
      <c r="D2882">
        <v>22.07</v>
      </c>
      <c r="E2882">
        <v>0.02</v>
      </c>
      <c r="F2882">
        <v>22.06</v>
      </c>
      <c r="G2882">
        <v>22.07</v>
      </c>
      <c r="H2882">
        <v>50866</v>
      </c>
      <c r="I2882">
        <v>752</v>
      </c>
      <c r="J2882">
        <v>0.05</v>
      </c>
      <c r="K2882">
        <v>1.54</v>
      </c>
      <c r="L2882">
        <v>11224.26</v>
      </c>
      <c r="M2882" t="s">
        <v>5642</v>
      </c>
      <c r="N2882" t="s">
        <v>611</v>
      </c>
      <c r="O2882">
        <v>22.06</v>
      </c>
      <c r="P2882">
        <v>22.31</v>
      </c>
      <c r="Q2882">
        <v>21.8</v>
      </c>
      <c r="R2882">
        <v>22.05</v>
      </c>
      <c r="S2882" t="s">
        <v>40</v>
      </c>
      <c r="T2882">
        <v>0.66</v>
      </c>
      <c r="U2882" t="s">
        <v>196</v>
      </c>
    </row>
    <row r="2883" spans="1:21">
      <c r="A2883" t="str">
        <f>"600392"</f>
        <v>600392</v>
      </c>
      <c r="B2883" t="s">
        <v>5643</v>
      </c>
      <c r="C2883">
        <v>0.35</v>
      </c>
      <c r="D2883">
        <v>19.89</v>
      </c>
      <c r="E2883">
        <v>0.07</v>
      </c>
      <c r="F2883">
        <v>19.89</v>
      </c>
      <c r="G2883">
        <v>19.9</v>
      </c>
      <c r="H2883">
        <v>331997</v>
      </c>
      <c r="I2883">
        <v>4418</v>
      </c>
      <c r="J2883">
        <v>0.05</v>
      </c>
      <c r="K2883">
        <v>1.89</v>
      </c>
      <c r="L2883">
        <v>65811.99</v>
      </c>
      <c r="M2883" t="s">
        <v>5644</v>
      </c>
      <c r="N2883" t="s">
        <v>523</v>
      </c>
      <c r="O2883">
        <v>19.76</v>
      </c>
      <c r="P2883">
        <v>20.07</v>
      </c>
      <c r="Q2883">
        <v>19.58</v>
      </c>
      <c r="R2883">
        <v>19.82</v>
      </c>
      <c r="S2883">
        <v>31.49</v>
      </c>
      <c r="T2883">
        <v>0.87</v>
      </c>
      <c r="U2883" t="s">
        <v>196</v>
      </c>
    </row>
    <row r="2884" spans="1:21">
      <c r="A2884" t="str">
        <f>"600393"</f>
        <v>600393</v>
      </c>
      <c r="B2884" t="s">
        <v>5645</v>
      </c>
      <c r="C2884">
        <v>0</v>
      </c>
      <c r="D2884">
        <v>1.39</v>
      </c>
      <c r="E2884">
        <v>0</v>
      </c>
      <c r="F2884">
        <v>1.39</v>
      </c>
      <c r="G2884">
        <v>1.4</v>
      </c>
      <c r="H2884">
        <v>220258</v>
      </c>
      <c r="I2884">
        <v>8782</v>
      </c>
      <c r="J2884">
        <v>-0.7</v>
      </c>
      <c r="K2884">
        <v>2.23</v>
      </c>
      <c r="L2884">
        <v>3053.11</v>
      </c>
      <c r="M2884" t="s">
        <v>3627</v>
      </c>
      <c r="N2884" t="s">
        <v>27</v>
      </c>
      <c r="O2884">
        <v>1.38</v>
      </c>
      <c r="P2884">
        <v>1.4</v>
      </c>
      <c r="Q2884">
        <v>1.37</v>
      </c>
      <c r="R2884">
        <v>1.39</v>
      </c>
      <c r="S2884" t="s">
        <v>40</v>
      </c>
      <c r="T2884">
        <v>1.06</v>
      </c>
      <c r="U2884" t="s">
        <v>183</v>
      </c>
    </row>
    <row r="2885" spans="1:21">
      <c r="A2885" t="str">
        <f>"600395"</f>
        <v>600395</v>
      </c>
      <c r="B2885" t="s">
        <v>5646</v>
      </c>
      <c r="C2885">
        <v>0.98</v>
      </c>
      <c r="D2885">
        <v>7.19</v>
      </c>
      <c r="E2885">
        <v>0.07</v>
      </c>
      <c r="F2885">
        <v>7.19</v>
      </c>
      <c r="G2885">
        <v>7.2</v>
      </c>
      <c r="H2885">
        <v>110691</v>
      </c>
      <c r="I2885">
        <v>1548</v>
      </c>
      <c r="J2885">
        <v>-0.27</v>
      </c>
      <c r="K2885">
        <v>0.67</v>
      </c>
      <c r="L2885">
        <v>7912.53</v>
      </c>
      <c r="M2885" t="s">
        <v>5647</v>
      </c>
      <c r="N2885" t="s">
        <v>390</v>
      </c>
      <c r="O2885">
        <v>7.09</v>
      </c>
      <c r="P2885">
        <v>7.22</v>
      </c>
      <c r="Q2885">
        <v>7.03</v>
      </c>
      <c r="R2885">
        <v>7.12</v>
      </c>
      <c r="S2885">
        <v>11.15</v>
      </c>
      <c r="T2885">
        <v>0.91</v>
      </c>
      <c r="U2885" t="s">
        <v>368</v>
      </c>
    </row>
    <row r="2886" spans="1:21">
      <c r="A2886" t="str">
        <f>"600396"</f>
        <v>600396</v>
      </c>
      <c r="B2886" t="s">
        <v>5648</v>
      </c>
      <c r="C2886">
        <v>0.42</v>
      </c>
      <c r="D2886">
        <v>2.41</v>
      </c>
      <c r="E2886">
        <v>0.01</v>
      </c>
      <c r="F2886">
        <v>2.4</v>
      </c>
      <c r="G2886">
        <v>2.41</v>
      </c>
      <c r="H2886">
        <v>142134</v>
      </c>
      <c r="I2886">
        <v>2854</v>
      </c>
      <c r="J2886">
        <v>0</v>
      </c>
      <c r="K2886">
        <v>0.97</v>
      </c>
      <c r="L2886">
        <v>3376.54</v>
      </c>
      <c r="M2886" t="s">
        <v>5649</v>
      </c>
      <c r="N2886" t="s">
        <v>83</v>
      </c>
      <c r="O2886">
        <v>2.4</v>
      </c>
      <c r="P2886">
        <v>2.41</v>
      </c>
      <c r="Q2886">
        <v>2.34</v>
      </c>
      <c r="R2886">
        <v>2.4</v>
      </c>
      <c r="S2886" t="s">
        <v>40</v>
      </c>
      <c r="T2886">
        <v>1.66</v>
      </c>
      <c r="U2886" t="s">
        <v>141</v>
      </c>
    </row>
    <row r="2887" spans="1:21">
      <c r="A2887" t="str">
        <f>"600397"</f>
        <v>600397</v>
      </c>
      <c r="B2887" t="s">
        <v>5650</v>
      </c>
      <c r="C2887">
        <v>0.35</v>
      </c>
      <c r="D2887">
        <v>2.84</v>
      </c>
      <c r="E2887">
        <v>0.01</v>
      </c>
      <c r="F2887">
        <v>2.83</v>
      </c>
      <c r="G2887">
        <v>2.84</v>
      </c>
      <c r="H2887">
        <v>194883</v>
      </c>
      <c r="I2887">
        <v>3271</v>
      </c>
      <c r="J2887">
        <v>0</v>
      </c>
      <c r="K2887">
        <v>1.97</v>
      </c>
      <c r="L2887">
        <v>5415.87</v>
      </c>
      <c r="M2887" t="s">
        <v>4229</v>
      </c>
      <c r="N2887" t="s">
        <v>390</v>
      </c>
      <c r="O2887">
        <v>2.82</v>
      </c>
      <c r="P2887">
        <v>2.84</v>
      </c>
      <c r="Q2887">
        <v>2.73</v>
      </c>
      <c r="R2887">
        <v>2.83</v>
      </c>
      <c r="S2887" t="s">
        <v>40</v>
      </c>
      <c r="T2887">
        <v>0.98</v>
      </c>
      <c r="U2887" t="s">
        <v>235</v>
      </c>
    </row>
    <row r="2888" spans="1:21">
      <c r="A2888" t="str">
        <f>"600398"</f>
        <v>600398</v>
      </c>
      <c r="B2888" t="s">
        <v>5651</v>
      </c>
      <c r="C2888">
        <v>-0.31</v>
      </c>
      <c r="D2888">
        <v>6.41</v>
      </c>
      <c r="E2888">
        <v>-0.02</v>
      </c>
      <c r="F2888">
        <v>6.41</v>
      </c>
      <c r="G2888">
        <v>6.42</v>
      </c>
      <c r="H2888">
        <v>92919</v>
      </c>
      <c r="I2888">
        <v>885</v>
      </c>
      <c r="J2888">
        <v>-0.15</v>
      </c>
      <c r="K2888">
        <v>0.22</v>
      </c>
      <c r="L2888">
        <v>5946.95</v>
      </c>
      <c r="M2888" t="s">
        <v>5652</v>
      </c>
      <c r="N2888" t="s">
        <v>1061</v>
      </c>
      <c r="O2888">
        <v>6.45</v>
      </c>
      <c r="P2888">
        <v>6.45</v>
      </c>
      <c r="Q2888">
        <v>6.36</v>
      </c>
      <c r="R2888">
        <v>6.43</v>
      </c>
      <c r="S2888">
        <v>10.14</v>
      </c>
      <c r="T2888">
        <v>0.92</v>
      </c>
      <c r="U2888" t="s">
        <v>102</v>
      </c>
    </row>
    <row r="2889" spans="1:21">
      <c r="A2889" t="str">
        <f>"600399"</f>
        <v>600399</v>
      </c>
      <c r="B2889" t="s">
        <v>5653</v>
      </c>
      <c r="C2889">
        <v>1</v>
      </c>
      <c r="D2889">
        <v>25.15</v>
      </c>
      <c r="E2889">
        <v>0.25</v>
      </c>
      <c r="F2889">
        <v>25.15</v>
      </c>
      <c r="G2889">
        <v>25.16</v>
      </c>
      <c r="H2889">
        <v>336478</v>
      </c>
      <c r="I2889">
        <v>1330</v>
      </c>
      <c r="J2889">
        <v>-0.07</v>
      </c>
      <c r="K2889">
        <v>1.71</v>
      </c>
      <c r="L2889">
        <v>86020.74</v>
      </c>
      <c r="M2889" t="s">
        <v>5654</v>
      </c>
      <c r="N2889" t="s">
        <v>628</v>
      </c>
      <c r="O2889">
        <v>24.79</v>
      </c>
      <c r="P2889">
        <v>26.45</v>
      </c>
      <c r="Q2889">
        <v>24.77</v>
      </c>
      <c r="R2889">
        <v>24.9</v>
      </c>
      <c r="S2889">
        <v>54.29</v>
      </c>
      <c r="T2889">
        <v>1.2</v>
      </c>
      <c r="U2889" t="s">
        <v>141</v>
      </c>
    </row>
    <row r="2890" spans="1:21">
      <c r="A2890" t="str">
        <f>"600400"</f>
        <v>600400</v>
      </c>
      <c r="B2890" t="s">
        <v>5655</v>
      </c>
      <c r="C2890">
        <v>6.63</v>
      </c>
      <c r="D2890">
        <v>3.7</v>
      </c>
      <c r="E2890">
        <v>0.23</v>
      </c>
      <c r="F2890">
        <v>3.69</v>
      </c>
      <c r="G2890">
        <v>3.7</v>
      </c>
      <c r="H2890">
        <v>567507</v>
      </c>
      <c r="I2890">
        <v>10791</v>
      </c>
      <c r="J2890">
        <v>0.27</v>
      </c>
      <c r="K2890">
        <v>2.48</v>
      </c>
      <c r="L2890">
        <v>20600.31</v>
      </c>
      <c r="M2890" t="s">
        <v>5656</v>
      </c>
      <c r="N2890" t="s">
        <v>1061</v>
      </c>
      <c r="O2890">
        <v>3.5</v>
      </c>
      <c r="P2890">
        <v>3.74</v>
      </c>
      <c r="Q2890">
        <v>3.49</v>
      </c>
      <c r="R2890">
        <v>3.47</v>
      </c>
      <c r="S2890">
        <v>82.94</v>
      </c>
      <c r="T2890">
        <v>1.77</v>
      </c>
      <c r="U2890" t="s">
        <v>102</v>
      </c>
    </row>
    <row r="2891" spans="1:21">
      <c r="A2891" t="str">
        <f>"600403"</f>
        <v>600403</v>
      </c>
      <c r="B2891" t="s">
        <v>5657</v>
      </c>
      <c r="C2891">
        <v>0</v>
      </c>
      <c r="D2891">
        <v>3.94</v>
      </c>
      <c r="E2891">
        <v>0</v>
      </c>
      <c r="F2891">
        <v>3.94</v>
      </c>
      <c r="G2891">
        <v>3.95</v>
      </c>
      <c r="H2891">
        <v>44122</v>
      </c>
      <c r="I2891">
        <v>462</v>
      </c>
      <c r="J2891">
        <v>0</v>
      </c>
      <c r="K2891">
        <v>0.18</v>
      </c>
      <c r="L2891">
        <v>1732.18</v>
      </c>
      <c r="M2891" t="s">
        <v>5658</v>
      </c>
      <c r="N2891" t="s">
        <v>390</v>
      </c>
      <c r="O2891">
        <v>3.93</v>
      </c>
      <c r="P2891">
        <v>3.95</v>
      </c>
      <c r="Q2891">
        <v>3.9</v>
      </c>
      <c r="R2891">
        <v>3.94</v>
      </c>
      <c r="S2891">
        <v>13.07</v>
      </c>
      <c r="T2891">
        <v>1.08</v>
      </c>
      <c r="U2891" t="s">
        <v>224</v>
      </c>
    </row>
    <row r="2892" spans="1:21">
      <c r="A2892" t="str">
        <f>"600405"</f>
        <v>600405</v>
      </c>
      <c r="B2892" t="s">
        <v>5659</v>
      </c>
      <c r="C2892">
        <v>0.44</v>
      </c>
      <c r="D2892">
        <v>6.92</v>
      </c>
      <c r="E2892">
        <v>0.03</v>
      </c>
      <c r="F2892">
        <v>6.92</v>
      </c>
      <c r="G2892">
        <v>6.93</v>
      </c>
      <c r="H2892">
        <v>319096</v>
      </c>
      <c r="I2892">
        <v>3445</v>
      </c>
      <c r="J2892">
        <v>0</v>
      </c>
      <c r="K2892">
        <v>5.77</v>
      </c>
      <c r="L2892">
        <v>22079.47</v>
      </c>
      <c r="M2892" t="s">
        <v>5660</v>
      </c>
      <c r="N2892" t="s">
        <v>47</v>
      </c>
      <c r="O2892">
        <v>6.87</v>
      </c>
      <c r="P2892">
        <v>7.05</v>
      </c>
      <c r="Q2892">
        <v>6.71</v>
      </c>
      <c r="R2892">
        <v>6.89</v>
      </c>
      <c r="S2892" t="s">
        <v>40</v>
      </c>
      <c r="T2892">
        <v>1.07</v>
      </c>
      <c r="U2892" t="s">
        <v>44</v>
      </c>
    </row>
    <row r="2893" spans="1:21">
      <c r="A2893" t="str">
        <f>"600406"</f>
        <v>600406</v>
      </c>
      <c r="B2893" t="s">
        <v>5661</v>
      </c>
      <c r="C2893">
        <v>-0.64</v>
      </c>
      <c r="D2893">
        <v>40.12</v>
      </c>
      <c r="E2893">
        <v>-0.26</v>
      </c>
      <c r="F2893">
        <v>40.11</v>
      </c>
      <c r="G2893">
        <v>40.12</v>
      </c>
      <c r="H2893">
        <v>262937</v>
      </c>
      <c r="I2893">
        <v>8980</v>
      </c>
      <c r="J2893">
        <v>-0.04</v>
      </c>
      <c r="K2893">
        <v>0.48</v>
      </c>
      <c r="L2893">
        <v>105129.9</v>
      </c>
      <c r="M2893" t="s">
        <v>5662</v>
      </c>
      <c r="N2893" t="s">
        <v>47</v>
      </c>
      <c r="O2893">
        <v>40</v>
      </c>
      <c r="P2893">
        <v>40.96</v>
      </c>
      <c r="Q2893">
        <v>39.4</v>
      </c>
      <c r="R2893">
        <v>40.38</v>
      </c>
      <c r="S2893">
        <v>52.26</v>
      </c>
      <c r="T2893">
        <v>0.59</v>
      </c>
      <c r="U2893" t="s">
        <v>102</v>
      </c>
    </row>
    <row r="2894" spans="1:21">
      <c r="A2894" t="str">
        <f>"600408"</f>
        <v>600408</v>
      </c>
      <c r="B2894" t="s">
        <v>5663</v>
      </c>
      <c r="C2894">
        <v>0.67</v>
      </c>
      <c r="D2894">
        <v>3.01</v>
      </c>
      <c r="E2894">
        <v>0.02</v>
      </c>
      <c r="F2894">
        <v>3</v>
      </c>
      <c r="G2894">
        <v>3.01</v>
      </c>
      <c r="H2894">
        <v>147873</v>
      </c>
      <c r="I2894">
        <v>1117</v>
      </c>
      <c r="J2894">
        <v>0.33</v>
      </c>
      <c r="K2894">
        <v>1.47</v>
      </c>
      <c r="L2894">
        <v>4408.64</v>
      </c>
      <c r="M2894" t="s">
        <v>5664</v>
      </c>
      <c r="N2894" t="s">
        <v>659</v>
      </c>
      <c r="O2894">
        <v>2.99</v>
      </c>
      <c r="P2894">
        <v>3.02</v>
      </c>
      <c r="Q2894">
        <v>2.94</v>
      </c>
      <c r="R2894">
        <v>2.99</v>
      </c>
      <c r="S2894">
        <v>5.02</v>
      </c>
      <c r="T2894">
        <v>0.64</v>
      </c>
      <c r="U2894" t="s">
        <v>232</v>
      </c>
    </row>
    <row r="2895" spans="1:21">
      <c r="A2895" t="str">
        <f>"600409"</f>
        <v>600409</v>
      </c>
      <c r="B2895" t="s">
        <v>5665</v>
      </c>
      <c r="C2895">
        <v>5.7</v>
      </c>
      <c r="D2895">
        <v>9.65</v>
      </c>
      <c r="E2895">
        <v>0.52</v>
      </c>
      <c r="F2895">
        <v>9.64</v>
      </c>
      <c r="G2895">
        <v>9.65</v>
      </c>
      <c r="H2895">
        <v>1328015</v>
      </c>
      <c r="I2895">
        <v>18701</v>
      </c>
      <c r="J2895">
        <v>0.31</v>
      </c>
      <c r="K2895">
        <v>6.43</v>
      </c>
      <c r="L2895">
        <v>124444.81</v>
      </c>
      <c r="M2895" t="s">
        <v>5666</v>
      </c>
      <c r="N2895" t="s">
        <v>309</v>
      </c>
      <c r="O2895">
        <v>9.1</v>
      </c>
      <c r="P2895">
        <v>9.65</v>
      </c>
      <c r="Q2895">
        <v>8.91</v>
      </c>
      <c r="R2895">
        <v>9.13</v>
      </c>
      <c r="S2895">
        <v>9.81</v>
      </c>
      <c r="T2895">
        <v>2.05</v>
      </c>
      <c r="U2895" t="s">
        <v>207</v>
      </c>
    </row>
    <row r="2896" spans="1:21">
      <c r="A2896" t="str">
        <f>"600410"</f>
        <v>600410</v>
      </c>
      <c r="B2896" t="s">
        <v>5667</v>
      </c>
      <c r="C2896">
        <v>0</v>
      </c>
      <c r="D2896">
        <v>6.78</v>
      </c>
      <c r="E2896">
        <v>0</v>
      </c>
      <c r="F2896">
        <v>6.78</v>
      </c>
      <c r="G2896">
        <v>6.79</v>
      </c>
      <c r="H2896">
        <v>112147</v>
      </c>
      <c r="I2896">
        <v>1046</v>
      </c>
      <c r="J2896">
        <v>0</v>
      </c>
      <c r="K2896">
        <v>1.02</v>
      </c>
      <c r="L2896">
        <v>7580.49</v>
      </c>
      <c r="M2896" t="s">
        <v>5668</v>
      </c>
      <c r="N2896" t="s">
        <v>30</v>
      </c>
      <c r="O2896">
        <v>6.83</v>
      </c>
      <c r="P2896">
        <v>6.83</v>
      </c>
      <c r="Q2896">
        <v>6.68</v>
      </c>
      <c r="R2896">
        <v>6.78</v>
      </c>
      <c r="S2896" t="s">
        <v>40</v>
      </c>
      <c r="T2896">
        <v>0.61</v>
      </c>
      <c r="U2896" t="s">
        <v>44</v>
      </c>
    </row>
    <row r="2897" spans="1:21">
      <c r="A2897" t="str">
        <f>"600415"</f>
        <v>600415</v>
      </c>
      <c r="B2897" t="s">
        <v>5669</v>
      </c>
      <c r="C2897">
        <v>0.65</v>
      </c>
      <c r="D2897">
        <v>4.64</v>
      </c>
      <c r="E2897">
        <v>0.03</v>
      </c>
      <c r="F2897">
        <v>4.64</v>
      </c>
      <c r="G2897">
        <v>4.65</v>
      </c>
      <c r="H2897">
        <v>215034</v>
      </c>
      <c r="I2897">
        <v>2971</v>
      </c>
      <c r="J2897">
        <v>0</v>
      </c>
      <c r="K2897">
        <v>0.4</v>
      </c>
      <c r="L2897">
        <v>9973.51</v>
      </c>
      <c r="M2897" t="s">
        <v>5670</v>
      </c>
      <c r="N2897" t="s">
        <v>137</v>
      </c>
      <c r="O2897">
        <v>4.62</v>
      </c>
      <c r="P2897">
        <v>4.67</v>
      </c>
      <c r="Q2897">
        <v>4.61</v>
      </c>
      <c r="R2897">
        <v>4.61</v>
      </c>
      <c r="S2897">
        <v>15.81</v>
      </c>
      <c r="T2897">
        <v>0.69</v>
      </c>
      <c r="U2897" t="s">
        <v>200</v>
      </c>
    </row>
    <row r="2898" spans="1:21">
      <c r="A2898" t="str">
        <f>"600416"</f>
        <v>600416</v>
      </c>
      <c r="B2898" t="s">
        <v>5671</v>
      </c>
      <c r="C2898">
        <v>-0.06</v>
      </c>
      <c r="D2898">
        <v>17.74</v>
      </c>
      <c r="E2898">
        <v>-0.01</v>
      </c>
      <c r="F2898">
        <v>17.74</v>
      </c>
      <c r="G2898">
        <v>17.75</v>
      </c>
      <c r="H2898">
        <v>221888</v>
      </c>
      <c r="I2898">
        <v>3707</v>
      </c>
      <c r="J2898">
        <v>-0.1</v>
      </c>
      <c r="K2898">
        <v>3.53</v>
      </c>
      <c r="L2898">
        <v>39732.81</v>
      </c>
      <c r="M2898" t="s">
        <v>5672</v>
      </c>
      <c r="N2898" t="s">
        <v>47</v>
      </c>
      <c r="O2898">
        <v>17.78</v>
      </c>
      <c r="P2898">
        <v>18.25</v>
      </c>
      <c r="Q2898">
        <v>17.63</v>
      </c>
      <c r="R2898">
        <v>17.75</v>
      </c>
      <c r="S2898">
        <v>202.62</v>
      </c>
      <c r="T2898">
        <v>0.71</v>
      </c>
      <c r="U2898" t="s">
        <v>204</v>
      </c>
    </row>
    <row r="2899" spans="1:21">
      <c r="A2899" t="str">
        <f>"600418"</f>
        <v>600418</v>
      </c>
      <c r="B2899" t="s">
        <v>5673</v>
      </c>
      <c r="C2899">
        <v>10.03</v>
      </c>
      <c r="D2899">
        <v>16.46</v>
      </c>
      <c r="E2899">
        <v>1.5</v>
      </c>
      <c r="F2899">
        <v>16.46</v>
      </c>
      <c r="G2899" t="s">
        <v>40</v>
      </c>
      <c r="H2899">
        <v>2225861</v>
      </c>
      <c r="I2899">
        <v>4095</v>
      </c>
      <c r="J2899">
        <v>0</v>
      </c>
      <c r="K2899">
        <v>11.76</v>
      </c>
      <c r="L2899">
        <v>354421.5</v>
      </c>
      <c r="M2899" t="s">
        <v>5674</v>
      </c>
      <c r="N2899" t="s">
        <v>385</v>
      </c>
      <c r="O2899">
        <v>14.94</v>
      </c>
      <c r="P2899">
        <v>16.46</v>
      </c>
      <c r="Q2899">
        <v>14.48</v>
      </c>
      <c r="R2899">
        <v>14.96</v>
      </c>
      <c r="S2899">
        <v>119.97</v>
      </c>
      <c r="T2899">
        <v>2.66</v>
      </c>
      <c r="U2899" t="s">
        <v>193</v>
      </c>
    </row>
    <row r="2900" spans="1:21">
      <c r="A2900" t="str">
        <f>"600419"</f>
        <v>600419</v>
      </c>
      <c r="B2900" t="s">
        <v>5675</v>
      </c>
      <c r="C2900">
        <v>0.66</v>
      </c>
      <c r="D2900">
        <v>12.15</v>
      </c>
      <c r="E2900">
        <v>0.08</v>
      </c>
      <c r="F2900">
        <v>12.15</v>
      </c>
      <c r="G2900">
        <v>12.16</v>
      </c>
      <c r="H2900">
        <v>25125</v>
      </c>
      <c r="I2900">
        <v>506</v>
      </c>
      <c r="J2900">
        <v>-0.07</v>
      </c>
      <c r="K2900">
        <v>0.94</v>
      </c>
      <c r="L2900">
        <v>3039.66</v>
      </c>
      <c r="M2900" t="s">
        <v>1743</v>
      </c>
      <c r="N2900" t="s">
        <v>1735</v>
      </c>
      <c r="O2900">
        <v>12.06</v>
      </c>
      <c r="P2900">
        <v>12.17</v>
      </c>
      <c r="Q2900">
        <v>12.02</v>
      </c>
      <c r="R2900">
        <v>12.07</v>
      </c>
      <c r="S2900">
        <v>21.69</v>
      </c>
      <c r="T2900">
        <v>0.76</v>
      </c>
      <c r="U2900" t="s">
        <v>210</v>
      </c>
    </row>
    <row r="2901" spans="1:21">
      <c r="A2901" t="str">
        <f>"600420"</f>
        <v>600420</v>
      </c>
      <c r="B2901" t="s">
        <v>5676</v>
      </c>
      <c r="C2901">
        <v>0.32</v>
      </c>
      <c r="D2901">
        <v>9.43</v>
      </c>
      <c r="E2901">
        <v>0.03</v>
      </c>
      <c r="F2901">
        <v>9.43</v>
      </c>
      <c r="G2901">
        <v>9.44</v>
      </c>
      <c r="H2901">
        <v>26759</v>
      </c>
      <c r="I2901">
        <v>280</v>
      </c>
      <c r="J2901">
        <v>0</v>
      </c>
      <c r="K2901">
        <v>0.26</v>
      </c>
      <c r="L2901">
        <v>2510.27</v>
      </c>
      <c r="M2901" t="s">
        <v>5677</v>
      </c>
      <c r="N2901" t="s">
        <v>192</v>
      </c>
      <c r="O2901">
        <v>9.35</v>
      </c>
      <c r="P2901">
        <v>9.44</v>
      </c>
      <c r="Q2901">
        <v>9.32</v>
      </c>
      <c r="R2901">
        <v>9.4</v>
      </c>
      <c r="S2901">
        <v>11.5</v>
      </c>
      <c r="T2901">
        <v>0.77</v>
      </c>
      <c r="U2901" t="s">
        <v>848</v>
      </c>
    </row>
    <row r="2902" spans="1:21">
      <c r="A2902" t="str">
        <f>"600421"</f>
        <v>600421</v>
      </c>
      <c r="B2902" t="s">
        <v>5678</v>
      </c>
      <c r="C2902">
        <v>0.48</v>
      </c>
      <c r="D2902">
        <v>8.3</v>
      </c>
      <c r="E2902">
        <v>0.04</v>
      </c>
      <c r="F2902">
        <v>8.29</v>
      </c>
      <c r="G2902">
        <v>8.3</v>
      </c>
      <c r="H2902">
        <v>10148</v>
      </c>
      <c r="I2902">
        <v>141</v>
      </c>
      <c r="J2902">
        <v>0.12</v>
      </c>
      <c r="K2902">
        <v>0.52</v>
      </c>
      <c r="L2902">
        <v>836.35</v>
      </c>
      <c r="M2902" t="s">
        <v>5679</v>
      </c>
      <c r="N2902" t="s">
        <v>99</v>
      </c>
      <c r="O2902">
        <v>8.2</v>
      </c>
      <c r="P2902">
        <v>8.35</v>
      </c>
      <c r="Q2902">
        <v>8.16</v>
      </c>
      <c r="R2902">
        <v>8.26</v>
      </c>
      <c r="S2902" t="s">
        <v>40</v>
      </c>
      <c r="T2902">
        <v>0.66</v>
      </c>
      <c r="U2902" t="s">
        <v>267</v>
      </c>
    </row>
    <row r="2903" spans="1:21">
      <c r="A2903" t="str">
        <f>"600422"</f>
        <v>600422</v>
      </c>
      <c r="B2903" t="s">
        <v>5680</v>
      </c>
      <c r="C2903">
        <v>1.07</v>
      </c>
      <c r="D2903">
        <v>8.54</v>
      </c>
      <c r="E2903">
        <v>0.09</v>
      </c>
      <c r="F2903">
        <v>8.53</v>
      </c>
      <c r="G2903">
        <v>8.54</v>
      </c>
      <c r="H2903">
        <v>31360</v>
      </c>
      <c r="I2903">
        <v>621</v>
      </c>
      <c r="J2903">
        <v>0</v>
      </c>
      <c r="K2903">
        <v>0.41</v>
      </c>
      <c r="L2903">
        <v>2666.72</v>
      </c>
      <c r="M2903" t="s">
        <v>5681</v>
      </c>
      <c r="N2903" t="s">
        <v>270</v>
      </c>
      <c r="O2903">
        <v>8.41</v>
      </c>
      <c r="P2903">
        <v>8.55</v>
      </c>
      <c r="Q2903">
        <v>8.41</v>
      </c>
      <c r="R2903">
        <v>8.45</v>
      </c>
      <c r="S2903">
        <v>11.19</v>
      </c>
      <c r="T2903">
        <v>0.7</v>
      </c>
      <c r="U2903" t="s">
        <v>363</v>
      </c>
    </row>
    <row r="2904" spans="1:21">
      <c r="A2904" t="str">
        <f>"600423"</f>
        <v>600423</v>
      </c>
      <c r="B2904" t="s">
        <v>5682</v>
      </c>
      <c r="C2904">
        <v>-3.92</v>
      </c>
      <c r="D2904">
        <v>3.92</v>
      </c>
      <c r="E2904">
        <v>-0.16</v>
      </c>
      <c r="F2904">
        <v>3.92</v>
      </c>
      <c r="G2904">
        <v>3.93</v>
      </c>
      <c r="H2904">
        <v>244598</v>
      </c>
      <c r="I2904">
        <v>3700</v>
      </c>
      <c r="J2904">
        <v>-0.24</v>
      </c>
      <c r="K2904">
        <v>3.06</v>
      </c>
      <c r="L2904">
        <v>9609.74</v>
      </c>
      <c r="M2904" t="s">
        <v>5683</v>
      </c>
      <c r="N2904" t="s">
        <v>241</v>
      </c>
      <c r="O2904">
        <v>4</v>
      </c>
      <c r="P2904">
        <v>4.08</v>
      </c>
      <c r="Q2904">
        <v>3.85</v>
      </c>
      <c r="R2904">
        <v>4.08</v>
      </c>
      <c r="S2904">
        <v>92.8</v>
      </c>
      <c r="T2904">
        <v>1.98</v>
      </c>
      <c r="U2904" t="s">
        <v>342</v>
      </c>
    </row>
    <row r="2905" spans="1:21">
      <c r="A2905" t="str">
        <f>"600425"</f>
        <v>600425</v>
      </c>
      <c r="B2905" t="s">
        <v>5684</v>
      </c>
      <c r="C2905">
        <v>1.11</v>
      </c>
      <c r="D2905">
        <v>3.64</v>
      </c>
      <c r="E2905">
        <v>0.04</v>
      </c>
      <c r="F2905">
        <v>3.63</v>
      </c>
      <c r="G2905">
        <v>3.64</v>
      </c>
      <c r="H2905">
        <v>151816</v>
      </c>
      <c r="I2905">
        <v>771</v>
      </c>
      <c r="J2905">
        <v>0.28</v>
      </c>
      <c r="K2905">
        <v>1.1</v>
      </c>
      <c r="L2905">
        <v>5492.02</v>
      </c>
      <c r="M2905" t="s">
        <v>5685</v>
      </c>
      <c r="N2905" t="s">
        <v>75</v>
      </c>
      <c r="O2905">
        <v>3.6</v>
      </c>
      <c r="P2905">
        <v>3.64</v>
      </c>
      <c r="Q2905">
        <v>3.58</v>
      </c>
      <c r="R2905">
        <v>3.6</v>
      </c>
      <c r="S2905">
        <v>13.96</v>
      </c>
      <c r="T2905">
        <v>1.42</v>
      </c>
      <c r="U2905" t="s">
        <v>210</v>
      </c>
    </row>
    <row r="2906" spans="1:21">
      <c r="A2906" t="str">
        <f>"600426"</f>
        <v>600426</v>
      </c>
      <c r="B2906" t="s">
        <v>5686</v>
      </c>
      <c r="C2906">
        <v>5.27</v>
      </c>
      <c r="D2906">
        <v>29.97</v>
      </c>
      <c r="E2906">
        <v>1.5</v>
      </c>
      <c r="F2906">
        <v>29.97</v>
      </c>
      <c r="G2906">
        <v>29.98</v>
      </c>
      <c r="H2906">
        <v>405932</v>
      </c>
      <c r="I2906">
        <v>3933</v>
      </c>
      <c r="J2906">
        <v>-0.09</v>
      </c>
      <c r="K2906">
        <v>1.92</v>
      </c>
      <c r="L2906">
        <v>119189.34</v>
      </c>
      <c r="M2906" t="s">
        <v>5687</v>
      </c>
      <c r="N2906" t="s">
        <v>241</v>
      </c>
      <c r="O2906">
        <v>28.41</v>
      </c>
      <c r="P2906">
        <v>30.05</v>
      </c>
      <c r="Q2906">
        <v>28.22</v>
      </c>
      <c r="R2906">
        <v>28.47</v>
      </c>
      <c r="S2906">
        <v>8.46</v>
      </c>
      <c r="T2906">
        <v>1.26</v>
      </c>
      <c r="U2906" t="s">
        <v>221</v>
      </c>
    </row>
    <row r="2907" spans="1:21">
      <c r="A2907" t="str">
        <f>"600428"</f>
        <v>600428</v>
      </c>
      <c r="B2907" t="s">
        <v>5688</v>
      </c>
      <c r="C2907">
        <v>1.86</v>
      </c>
      <c r="D2907">
        <v>4.93</v>
      </c>
      <c r="E2907">
        <v>0.09</v>
      </c>
      <c r="F2907">
        <v>4.92</v>
      </c>
      <c r="G2907">
        <v>4.93</v>
      </c>
      <c r="H2907">
        <v>311358</v>
      </c>
      <c r="I2907">
        <v>3852</v>
      </c>
      <c r="J2907">
        <v>0.2</v>
      </c>
      <c r="K2907">
        <v>1.45</v>
      </c>
      <c r="L2907">
        <v>15199.93</v>
      </c>
      <c r="M2907" t="s">
        <v>5689</v>
      </c>
      <c r="N2907" t="s">
        <v>327</v>
      </c>
      <c r="O2907">
        <v>4.83</v>
      </c>
      <c r="P2907">
        <v>4.94</v>
      </c>
      <c r="Q2907">
        <v>4.8</v>
      </c>
      <c r="R2907">
        <v>4.84</v>
      </c>
      <c r="S2907">
        <v>19.19</v>
      </c>
      <c r="T2907">
        <v>0.93</v>
      </c>
      <c r="U2907" t="s">
        <v>183</v>
      </c>
    </row>
    <row r="2908" spans="1:21">
      <c r="A2908" t="str">
        <f>"600429"</f>
        <v>600429</v>
      </c>
      <c r="B2908" t="s">
        <v>5690</v>
      </c>
      <c r="C2908">
        <v>0.18</v>
      </c>
      <c r="D2908">
        <v>5.5</v>
      </c>
      <c r="E2908">
        <v>0.01</v>
      </c>
      <c r="F2908">
        <v>5.49</v>
      </c>
      <c r="G2908">
        <v>5.5</v>
      </c>
      <c r="H2908">
        <v>108216</v>
      </c>
      <c r="I2908">
        <v>2210</v>
      </c>
      <c r="J2908">
        <v>0</v>
      </c>
      <c r="K2908">
        <v>0.72</v>
      </c>
      <c r="L2908">
        <v>5921.31</v>
      </c>
      <c r="M2908" t="s">
        <v>5691</v>
      </c>
      <c r="N2908" t="s">
        <v>1735</v>
      </c>
      <c r="O2908">
        <v>5.49</v>
      </c>
      <c r="P2908">
        <v>5.52</v>
      </c>
      <c r="Q2908">
        <v>5.41</v>
      </c>
      <c r="R2908">
        <v>5.49</v>
      </c>
      <c r="S2908">
        <v>29.14</v>
      </c>
      <c r="T2908">
        <v>0.67</v>
      </c>
      <c r="U2908" t="s">
        <v>44</v>
      </c>
    </row>
    <row r="2909" spans="1:21">
      <c r="A2909" t="str">
        <f>"600433"</f>
        <v>600433</v>
      </c>
      <c r="B2909" t="s">
        <v>5692</v>
      </c>
      <c r="C2909">
        <v>0</v>
      </c>
      <c r="D2909">
        <v>4.45</v>
      </c>
      <c r="E2909">
        <v>0</v>
      </c>
      <c r="F2909">
        <v>4.44</v>
      </c>
      <c r="G2909">
        <v>4.45</v>
      </c>
      <c r="H2909">
        <v>125182</v>
      </c>
      <c r="I2909">
        <v>1051</v>
      </c>
      <c r="J2909">
        <v>0.23</v>
      </c>
      <c r="K2909">
        <v>0.85</v>
      </c>
      <c r="L2909">
        <v>5511.12</v>
      </c>
      <c r="M2909" t="s">
        <v>5693</v>
      </c>
      <c r="N2909" t="s">
        <v>285</v>
      </c>
      <c r="O2909">
        <v>4.43</v>
      </c>
      <c r="P2909">
        <v>4.45</v>
      </c>
      <c r="Q2909">
        <v>4.35</v>
      </c>
      <c r="R2909">
        <v>4.45</v>
      </c>
      <c r="S2909">
        <v>31.83</v>
      </c>
      <c r="T2909">
        <v>1.31</v>
      </c>
      <c r="U2909" t="s">
        <v>183</v>
      </c>
    </row>
    <row r="2910" spans="1:21">
      <c r="A2910" t="str">
        <f>"600435"</f>
        <v>600435</v>
      </c>
      <c r="B2910" t="s">
        <v>5694</v>
      </c>
      <c r="C2910">
        <v>-1.87</v>
      </c>
      <c r="D2910">
        <v>11.01</v>
      </c>
      <c r="E2910">
        <v>-0.21</v>
      </c>
      <c r="F2910">
        <v>11.01</v>
      </c>
      <c r="G2910">
        <v>11.02</v>
      </c>
      <c r="H2910">
        <v>485786</v>
      </c>
      <c r="I2910">
        <v>6044</v>
      </c>
      <c r="J2910">
        <v>0.09</v>
      </c>
      <c r="K2910">
        <v>3.26</v>
      </c>
      <c r="L2910">
        <v>53966.78</v>
      </c>
      <c r="M2910" t="s">
        <v>5695</v>
      </c>
      <c r="N2910" t="s">
        <v>324</v>
      </c>
      <c r="O2910">
        <v>11.25</v>
      </c>
      <c r="P2910">
        <v>11.35</v>
      </c>
      <c r="Q2910">
        <v>10.9</v>
      </c>
      <c r="R2910">
        <v>11.22</v>
      </c>
      <c r="S2910">
        <v>143.89</v>
      </c>
      <c r="T2910">
        <v>0.67</v>
      </c>
      <c r="U2910" t="s">
        <v>44</v>
      </c>
    </row>
    <row r="2911" spans="1:21">
      <c r="A2911" t="str">
        <f>"600436"</f>
        <v>600436</v>
      </c>
      <c r="B2911" t="s">
        <v>5696</v>
      </c>
      <c r="C2911">
        <v>-1.15</v>
      </c>
      <c r="D2911">
        <v>447.58</v>
      </c>
      <c r="E2911">
        <v>-5.22</v>
      </c>
      <c r="F2911">
        <v>447.58</v>
      </c>
      <c r="G2911">
        <v>447.98</v>
      </c>
      <c r="H2911">
        <v>19627</v>
      </c>
      <c r="I2911">
        <v>239</v>
      </c>
      <c r="J2911">
        <v>0.01</v>
      </c>
      <c r="K2911">
        <v>0.33</v>
      </c>
      <c r="L2911">
        <v>87986.41</v>
      </c>
      <c r="M2911" t="s">
        <v>5697</v>
      </c>
      <c r="N2911" t="s">
        <v>270</v>
      </c>
      <c r="O2911">
        <v>449.95</v>
      </c>
      <c r="P2911">
        <v>454.01</v>
      </c>
      <c r="Q2911">
        <v>445.51</v>
      </c>
      <c r="R2911">
        <v>452.8</v>
      </c>
      <c r="S2911">
        <v>100.69</v>
      </c>
      <c r="T2911">
        <v>0.53</v>
      </c>
      <c r="U2911" t="s">
        <v>339</v>
      </c>
    </row>
    <row r="2912" spans="1:21">
      <c r="A2912" t="str">
        <f>"600438"</f>
        <v>600438</v>
      </c>
      <c r="B2912" t="s">
        <v>5698</v>
      </c>
      <c r="C2912">
        <v>-0.97</v>
      </c>
      <c r="D2912">
        <v>48.93</v>
      </c>
      <c r="E2912">
        <v>-0.48</v>
      </c>
      <c r="F2912">
        <v>48.92</v>
      </c>
      <c r="G2912">
        <v>48.93</v>
      </c>
      <c r="H2912">
        <v>544852</v>
      </c>
      <c r="I2912">
        <v>4805</v>
      </c>
      <c r="J2912">
        <v>0.02</v>
      </c>
      <c r="K2912">
        <v>1.21</v>
      </c>
      <c r="L2912">
        <v>265338.04</v>
      </c>
      <c r="M2912" t="s">
        <v>5699</v>
      </c>
      <c r="N2912" t="s">
        <v>47</v>
      </c>
      <c r="O2912">
        <v>49.35</v>
      </c>
      <c r="P2912">
        <v>49.7</v>
      </c>
      <c r="Q2912">
        <v>48</v>
      </c>
      <c r="R2912">
        <v>49.41</v>
      </c>
      <c r="S2912">
        <v>27.79</v>
      </c>
      <c r="T2912">
        <v>1.31</v>
      </c>
      <c r="U2912" t="s">
        <v>196</v>
      </c>
    </row>
    <row r="2913" spans="1:21">
      <c r="A2913" t="str">
        <f>"600439"</f>
        <v>600439</v>
      </c>
      <c r="B2913" t="s">
        <v>5700</v>
      </c>
      <c r="C2913">
        <v>0.68</v>
      </c>
      <c r="D2913">
        <v>2.95</v>
      </c>
      <c r="E2913">
        <v>0.02</v>
      </c>
      <c r="F2913">
        <v>2.94</v>
      </c>
      <c r="G2913">
        <v>2.95</v>
      </c>
      <c r="H2913">
        <v>133265</v>
      </c>
      <c r="I2913">
        <v>1793</v>
      </c>
      <c r="J2913">
        <v>0</v>
      </c>
      <c r="K2913">
        <v>1.18</v>
      </c>
      <c r="L2913">
        <v>3898.99</v>
      </c>
      <c r="M2913" t="s">
        <v>5701</v>
      </c>
      <c r="N2913" t="s">
        <v>1061</v>
      </c>
      <c r="O2913">
        <v>2.91</v>
      </c>
      <c r="P2913">
        <v>2.96</v>
      </c>
      <c r="Q2913">
        <v>2.89</v>
      </c>
      <c r="R2913">
        <v>2.93</v>
      </c>
      <c r="S2913">
        <v>56.24</v>
      </c>
      <c r="T2913">
        <v>0.68</v>
      </c>
      <c r="U2913" t="s">
        <v>224</v>
      </c>
    </row>
    <row r="2914" spans="1:21">
      <c r="A2914" t="str">
        <f>"600444"</f>
        <v>600444</v>
      </c>
      <c r="B2914" t="s">
        <v>5702</v>
      </c>
      <c r="C2914">
        <v>-2.22</v>
      </c>
      <c r="D2914">
        <v>11.47</v>
      </c>
      <c r="E2914">
        <v>-0.26</v>
      </c>
      <c r="F2914">
        <v>11.47</v>
      </c>
      <c r="G2914">
        <v>11.48</v>
      </c>
      <c r="H2914">
        <v>51582</v>
      </c>
      <c r="I2914">
        <v>672</v>
      </c>
      <c r="J2914">
        <v>-0.08</v>
      </c>
      <c r="K2914">
        <v>3.52</v>
      </c>
      <c r="L2914">
        <v>5962.8</v>
      </c>
      <c r="M2914" t="s">
        <v>5703</v>
      </c>
      <c r="N2914" t="s">
        <v>324</v>
      </c>
      <c r="O2914">
        <v>11.5</v>
      </c>
      <c r="P2914">
        <v>11.8</v>
      </c>
      <c r="Q2914">
        <v>11.44</v>
      </c>
      <c r="R2914">
        <v>11.73</v>
      </c>
      <c r="S2914">
        <v>52.13</v>
      </c>
      <c r="T2914">
        <v>1.04</v>
      </c>
      <c r="U2914" t="s">
        <v>193</v>
      </c>
    </row>
    <row r="2915" spans="1:21">
      <c r="A2915" t="str">
        <f>"600446"</f>
        <v>600446</v>
      </c>
      <c r="B2915" t="s">
        <v>5704</v>
      </c>
      <c r="C2915">
        <v>1.11</v>
      </c>
      <c r="D2915">
        <v>13.71</v>
      </c>
      <c r="E2915">
        <v>0.15</v>
      </c>
      <c r="F2915">
        <v>13.7</v>
      </c>
      <c r="G2915">
        <v>13.71</v>
      </c>
      <c r="H2915">
        <v>110815</v>
      </c>
      <c r="I2915">
        <v>1222</v>
      </c>
      <c r="J2915">
        <v>0.15</v>
      </c>
      <c r="K2915">
        <v>1.18</v>
      </c>
      <c r="L2915">
        <v>15151.81</v>
      </c>
      <c r="M2915" t="s">
        <v>5705</v>
      </c>
      <c r="N2915" t="s">
        <v>30</v>
      </c>
      <c r="O2915">
        <v>13.56</v>
      </c>
      <c r="P2915">
        <v>13.83</v>
      </c>
      <c r="Q2915">
        <v>13.51</v>
      </c>
      <c r="R2915">
        <v>13.56</v>
      </c>
      <c r="S2915">
        <v>43.86</v>
      </c>
      <c r="T2915">
        <v>0.72</v>
      </c>
      <c r="U2915" t="s">
        <v>24</v>
      </c>
    </row>
    <row r="2916" spans="1:21">
      <c r="A2916" t="str">
        <f>"600448"</f>
        <v>600448</v>
      </c>
      <c r="B2916" t="s">
        <v>5706</v>
      </c>
      <c r="C2916">
        <v>0.63</v>
      </c>
      <c r="D2916">
        <v>3.18</v>
      </c>
      <c r="E2916">
        <v>0.02</v>
      </c>
      <c r="F2916">
        <v>3.17</v>
      </c>
      <c r="G2916">
        <v>3.18</v>
      </c>
      <c r="H2916">
        <v>45585</v>
      </c>
      <c r="I2916">
        <v>913</v>
      </c>
      <c r="J2916">
        <v>0.32</v>
      </c>
      <c r="K2916">
        <v>0.72</v>
      </c>
      <c r="L2916">
        <v>1445.43</v>
      </c>
      <c r="M2916" t="s">
        <v>5707</v>
      </c>
      <c r="N2916" t="s">
        <v>664</v>
      </c>
      <c r="O2916">
        <v>3.15</v>
      </c>
      <c r="P2916">
        <v>3.19</v>
      </c>
      <c r="Q2916">
        <v>3.14</v>
      </c>
      <c r="R2916">
        <v>3.16</v>
      </c>
      <c r="S2916">
        <v>143.7</v>
      </c>
      <c r="T2916">
        <v>0.73</v>
      </c>
      <c r="U2916" t="s">
        <v>221</v>
      </c>
    </row>
    <row r="2917" spans="1:21">
      <c r="A2917" t="str">
        <f>"600449"</f>
        <v>600449</v>
      </c>
      <c r="B2917" t="s">
        <v>5708</v>
      </c>
      <c r="C2917">
        <v>0.74</v>
      </c>
      <c r="D2917">
        <v>10.96</v>
      </c>
      <c r="E2917">
        <v>0.08</v>
      </c>
      <c r="F2917">
        <v>10.95</v>
      </c>
      <c r="G2917">
        <v>10.96</v>
      </c>
      <c r="H2917">
        <v>20246</v>
      </c>
      <c r="I2917">
        <v>302</v>
      </c>
      <c r="J2917">
        <v>0</v>
      </c>
      <c r="K2917">
        <v>0.42</v>
      </c>
      <c r="L2917">
        <v>2202.31</v>
      </c>
      <c r="M2917" t="s">
        <v>5709</v>
      </c>
      <c r="N2917" t="s">
        <v>75</v>
      </c>
      <c r="O2917">
        <v>10.9</v>
      </c>
      <c r="P2917">
        <v>10.97</v>
      </c>
      <c r="Q2917">
        <v>10.8</v>
      </c>
      <c r="R2917">
        <v>10.88</v>
      </c>
      <c r="S2917">
        <v>5.68</v>
      </c>
      <c r="T2917">
        <v>1</v>
      </c>
      <c r="U2917" t="s">
        <v>401</v>
      </c>
    </row>
    <row r="2918" spans="1:21">
      <c r="A2918" t="str">
        <f>"600452"</f>
        <v>600452</v>
      </c>
      <c r="B2918" t="s">
        <v>5710</v>
      </c>
      <c r="C2918">
        <v>4.81</v>
      </c>
      <c r="D2918">
        <v>19.63</v>
      </c>
      <c r="E2918">
        <v>0.9</v>
      </c>
      <c r="F2918">
        <v>19.62</v>
      </c>
      <c r="G2918">
        <v>19.63</v>
      </c>
      <c r="H2918">
        <v>288019</v>
      </c>
      <c r="I2918">
        <v>3423</v>
      </c>
      <c r="J2918">
        <v>0.46</v>
      </c>
      <c r="K2918">
        <v>4.69</v>
      </c>
      <c r="L2918">
        <v>54305.72</v>
      </c>
      <c r="M2918" t="s">
        <v>5711</v>
      </c>
      <c r="N2918" t="s">
        <v>472</v>
      </c>
      <c r="O2918">
        <v>18.69</v>
      </c>
      <c r="P2918">
        <v>19.63</v>
      </c>
      <c r="Q2918">
        <v>17.9</v>
      </c>
      <c r="R2918">
        <v>18.73</v>
      </c>
      <c r="S2918">
        <v>25.86</v>
      </c>
      <c r="T2918">
        <v>0.89</v>
      </c>
      <c r="U2918" t="s">
        <v>314</v>
      </c>
    </row>
    <row r="2919" spans="1:21">
      <c r="A2919" t="str">
        <f>"600455"</f>
        <v>600455</v>
      </c>
      <c r="B2919" t="s">
        <v>5712</v>
      </c>
      <c r="C2919">
        <v>-0.46</v>
      </c>
      <c r="D2919">
        <v>21.49</v>
      </c>
      <c r="E2919">
        <v>-0.1</v>
      </c>
      <c r="F2919">
        <v>21.49</v>
      </c>
      <c r="G2919">
        <v>21.5</v>
      </c>
      <c r="H2919">
        <v>14188</v>
      </c>
      <c r="I2919">
        <v>277</v>
      </c>
      <c r="J2919">
        <v>0.23</v>
      </c>
      <c r="K2919">
        <v>2.27</v>
      </c>
      <c r="L2919">
        <v>3073.7</v>
      </c>
      <c r="M2919" t="s">
        <v>5713</v>
      </c>
      <c r="N2919" t="s">
        <v>63</v>
      </c>
      <c r="O2919">
        <v>21.54</v>
      </c>
      <c r="P2919">
        <v>22.06</v>
      </c>
      <c r="Q2919">
        <v>21.36</v>
      </c>
      <c r="R2919">
        <v>21.59</v>
      </c>
      <c r="S2919">
        <v>35.33</v>
      </c>
      <c r="T2919">
        <v>0.64</v>
      </c>
      <c r="U2919" t="s">
        <v>317</v>
      </c>
    </row>
    <row r="2920" spans="1:21">
      <c r="A2920" t="str">
        <f>"600456"</f>
        <v>600456</v>
      </c>
      <c r="B2920" t="s">
        <v>5714</v>
      </c>
      <c r="C2920">
        <v>-0.09</v>
      </c>
      <c r="D2920">
        <v>64.74</v>
      </c>
      <c r="E2920">
        <v>-0.06</v>
      </c>
      <c r="F2920">
        <v>64.74</v>
      </c>
      <c r="G2920">
        <v>64.75</v>
      </c>
      <c r="H2920">
        <v>89468</v>
      </c>
      <c r="I2920">
        <v>335</v>
      </c>
      <c r="J2920">
        <v>-0.22</v>
      </c>
      <c r="K2920">
        <v>1.87</v>
      </c>
      <c r="L2920">
        <v>58191.5</v>
      </c>
      <c r="M2920" t="s">
        <v>5715</v>
      </c>
      <c r="N2920" t="s">
        <v>523</v>
      </c>
      <c r="O2920">
        <v>64.6</v>
      </c>
      <c r="P2920">
        <v>66.46</v>
      </c>
      <c r="Q2920">
        <v>64</v>
      </c>
      <c r="R2920">
        <v>64.8</v>
      </c>
      <c r="S2920">
        <v>49.23</v>
      </c>
      <c r="T2920">
        <v>0.51</v>
      </c>
      <c r="U2920" t="s">
        <v>317</v>
      </c>
    </row>
    <row r="2921" spans="1:21">
      <c r="A2921" t="str">
        <f>"600458"</f>
        <v>600458</v>
      </c>
      <c r="B2921" t="s">
        <v>5716</v>
      </c>
      <c r="C2921">
        <v>0.45</v>
      </c>
      <c r="D2921">
        <v>11.09</v>
      </c>
      <c r="E2921">
        <v>0.05</v>
      </c>
      <c r="F2921">
        <v>11.08</v>
      </c>
      <c r="G2921">
        <v>11.09</v>
      </c>
      <c r="H2921">
        <v>175542</v>
      </c>
      <c r="I2921">
        <v>1751</v>
      </c>
      <c r="J2921">
        <v>0.45</v>
      </c>
      <c r="K2921">
        <v>2.19</v>
      </c>
      <c r="L2921">
        <v>19357.58</v>
      </c>
      <c r="M2921" t="s">
        <v>5717</v>
      </c>
      <c r="N2921" t="s">
        <v>839</v>
      </c>
      <c r="O2921">
        <v>10.92</v>
      </c>
      <c r="P2921">
        <v>11.22</v>
      </c>
      <c r="Q2921">
        <v>10.85</v>
      </c>
      <c r="R2921">
        <v>11.04</v>
      </c>
      <c r="S2921">
        <v>44.22</v>
      </c>
      <c r="T2921">
        <v>1.16</v>
      </c>
      <c r="U2921" t="s">
        <v>204</v>
      </c>
    </row>
    <row r="2922" spans="1:21">
      <c r="A2922" t="str">
        <f>"600459"</f>
        <v>600459</v>
      </c>
      <c r="B2922" t="s">
        <v>5718</v>
      </c>
      <c r="C2922">
        <v>4.75</v>
      </c>
      <c r="D2922">
        <v>25.78</v>
      </c>
      <c r="E2922">
        <v>1.17</v>
      </c>
      <c r="F2922">
        <v>25.78</v>
      </c>
      <c r="G2922">
        <v>25.79</v>
      </c>
      <c r="H2922">
        <v>170676</v>
      </c>
      <c r="I2922">
        <v>1966</v>
      </c>
      <c r="J2922">
        <v>0.12</v>
      </c>
      <c r="K2922">
        <v>3</v>
      </c>
      <c r="L2922">
        <v>43409.03</v>
      </c>
      <c r="M2922" t="s">
        <v>5719</v>
      </c>
      <c r="N2922" t="s">
        <v>523</v>
      </c>
      <c r="O2922">
        <v>24.4</v>
      </c>
      <c r="P2922">
        <v>25.95</v>
      </c>
      <c r="Q2922">
        <v>24.36</v>
      </c>
      <c r="R2922">
        <v>24.61</v>
      </c>
      <c r="S2922">
        <v>32.27</v>
      </c>
      <c r="T2922">
        <v>2.59</v>
      </c>
      <c r="U2922" t="s">
        <v>363</v>
      </c>
    </row>
    <row r="2923" spans="1:21">
      <c r="A2923" t="str">
        <f>"600460"</f>
        <v>600460</v>
      </c>
      <c r="B2923" t="s">
        <v>5720</v>
      </c>
      <c r="C2923">
        <v>-1.38</v>
      </c>
      <c r="D2923">
        <v>62.02</v>
      </c>
      <c r="E2923">
        <v>-0.87</v>
      </c>
      <c r="F2923">
        <v>62.02</v>
      </c>
      <c r="G2923">
        <v>62.03</v>
      </c>
      <c r="H2923">
        <v>311912</v>
      </c>
      <c r="I2923">
        <v>3831</v>
      </c>
      <c r="J2923">
        <v>0</v>
      </c>
      <c r="K2923">
        <v>2.38</v>
      </c>
      <c r="L2923">
        <v>194373.62</v>
      </c>
      <c r="M2923" t="s">
        <v>5721</v>
      </c>
      <c r="N2923" t="s">
        <v>1246</v>
      </c>
      <c r="O2923">
        <v>63</v>
      </c>
      <c r="P2923">
        <v>63.48</v>
      </c>
      <c r="Q2923">
        <v>61.56</v>
      </c>
      <c r="R2923">
        <v>62.89</v>
      </c>
      <c r="S2923">
        <v>90.53</v>
      </c>
      <c r="T2923">
        <v>0.6</v>
      </c>
      <c r="U2923" t="s">
        <v>200</v>
      </c>
    </row>
    <row r="2924" spans="1:21">
      <c r="A2924" t="str">
        <f>"600461"</f>
        <v>600461</v>
      </c>
      <c r="B2924" t="s">
        <v>5722</v>
      </c>
      <c r="C2924">
        <v>2.16</v>
      </c>
      <c r="D2924">
        <v>8.04</v>
      </c>
      <c r="E2924">
        <v>0.17</v>
      </c>
      <c r="F2924">
        <v>8.03</v>
      </c>
      <c r="G2924">
        <v>8.04</v>
      </c>
      <c r="H2924">
        <v>74776</v>
      </c>
      <c r="I2924">
        <v>492</v>
      </c>
      <c r="J2924">
        <v>0.12</v>
      </c>
      <c r="K2924">
        <v>0.82</v>
      </c>
      <c r="L2924">
        <v>5920.68</v>
      </c>
      <c r="M2924" t="s">
        <v>5723</v>
      </c>
      <c r="N2924" t="s">
        <v>465</v>
      </c>
      <c r="O2924">
        <v>7.87</v>
      </c>
      <c r="P2924">
        <v>8.05</v>
      </c>
      <c r="Q2924">
        <v>7.81</v>
      </c>
      <c r="R2924">
        <v>7.87</v>
      </c>
      <c r="S2924">
        <v>9.01</v>
      </c>
      <c r="T2924">
        <v>1.36</v>
      </c>
      <c r="U2924" t="s">
        <v>235</v>
      </c>
    </row>
    <row r="2925" spans="1:21">
      <c r="A2925" t="str">
        <f>"600462"</f>
        <v>600462</v>
      </c>
      <c r="B2925" t="s">
        <v>5724</v>
      </c>
      <c r="C2925">
        <v>3.35</v>
      </c>
      <c r="D2925">
        <v>2.78</v>
      </c>
      <c r="E2925">
        <v>0.09</v>
      </c>
      <c r="F2925">
        <v>2.77</v>
      </c>
      <c r="G2925">
        <v>2.78</v>
      </c>
      <c r="H2925">
        <v>49694</v>
      </c>
      <c r="I2925">
        <v>341</v>
      </c>
      <c r="J2925">
        <v>0</v>
      </c>
      <c r="K2925">
        <v>0.89</v>
      </c>
      <c r="L2925">
        <v>1373.19</v>
      </c>
      <c r="M2925" t="s">
        <v>5679</v>
      </c>
      <c r="N2925" t="s">
        <v>482</v>
      </c>
      <c r="O2925">
        <v>2.67</v>
      </c>
      <c r="P2925">
        <v>2.82</v>
      </c>
      <c r="Q2925">
        <v>2.67</v>
      </c>
      <c r="R2925">
        <v>2.69</v>
      </c>
      <c r="S2925" t="s">
        <v>40</v>
      </c>
      <c r="T2925">
        <v>1.99</v>
      </c>
      <c r="U2925" t="s">
        <v>267</v>
      </c>
    </row>
    <row r="2926" spans="1:21">
      <c r="A2926" t="str">
        <f>"600463"</f>
        <v>600463</v>
      </c>
      <c r="B2926" t="s">
        <v>5725</v>
      </c>
      <c r="C2926">
        <v>1.02</v>
      </c>
      <c r="D2926">
        <v>5.94</v>
      </c>
      <c r="E2926">
        <v>0.06</v>
      </c>
      <c r="F2926">
        <v>5.94</v>
      </c>
      <c r="G2926">
        <v>5.95</v>
      </c>
      <c r="H2926">
        <v>13918</v>
      </c>
      <c r="I2926">
        <v>11</v>
      </c>
      <c r="J2926">
        <v>0</v>
      </c>
      <c r="K2926">
        <v>0.46</v>
      </c>
      <c r="L2926">
        <v>821.21</v>
      </c>
      <c r="M2926" t="s">
        <v>5726</v>
      </c>
      <c r="N2926" t="s">
        <v>520</v>
      </c>
      <c r="O2926">
        <v>5.87</v>
      </c>
      <c r="P2926">
        <v>5.96</v>
      </c>
      <c r="Q2926">
        <v>5.83</v>
      </c>
      <c r="R2926">
        <v>5.88</v>
      </c>
      <c r="S2926">
        <v>87.95</v>
      </c>
      <c r="T2926">
        <v>0.95</v>
      </c>
      <c r="U2926" t="s">
        <v>44</v>
      </c>
    </row>
    <row r="2927" spans="1:21">
      <c r="A2927" t="str">
        <f>"600466"</f>
        <v>600466</v>
      </c>
      <c r="B2927" t="s">
        <v>5727</v>
      </c>
      <c r="C2927">
        <v>1.19</v>
      </c>
      <c r="D2927">
        <v>1.7</v>
      </c>
      <c r="E2927">
        <v>0.02</v>
      </c>
      <c r="F2927">
        <v>1.69</v>
      </c>
      <c r="G2927">
        <v>1.7</v>
      </c>
      <c r="H2927">
        <v>466084</v>
      </c>
      <c r="I2927">
        <v>5960</v>
      </c>
      <c r="J2927">
        <v>0</v>
      </c>
      <c r="K2927">
        <v>1.54</v>
      </c>
      <c r="L2927">
        <v>7853.14</v>
      </c>
      <c r="M2927" t="s">
        <v>5728</v>
      </c>
      <c r="N2927" t="s">
        <v>36</v>
      </c>
      <c r="O2927">
        <v>1.67</v>
      </c>
      <c r="P2927">
        <v>1.73</v>
      </c>
      <c r="Q2927">
        <v>1.64</v>
      </c>
      <c r="R2927">
        <v>1.68</v>
      </c>
      <c r="S2927" t="s">
        <v>40</v>
      </c>
      <c r="T2927">
        <v>1.16</v>
      </c>
      <c r="U2927" t="s">
        <v>196</v>
      </c>
    </row>
    <row r="2928" spans="1:21">
      <c r="A2928" t="str">
        <f>"600467"</f>
        <v>600467</v>
      </c>
      <c r="B2928" t="s">
        <v>5729</v>
      </c>
      <c r="C2928">
        <v>0.36</v>
      </c>
      <c r="D2928">
        <v>2.75</v>
      </c>
      <c r="E2928">
        <v>0.01</v>
      </c>
      <c r="F2928">
        <v>2.75</v>
      </c>
      <c r="G2928">
        <v>2.76</v>
      </c>
      <c r="H2928">
        <v>203393</v>
      </c>
      <c r="I2928">
        <v>4917</v>
      </c>
      <c r="J2928">
        <v>0</v>
      </c>
      <c r="K2928">
        <v>1.39</v>
      </c>
      <c r="L2928">
        <v>5568.69</v>
      </c>
      <c r="M2928" t="s">
        <v>4095</v>
      </c>
      <c r="N2928" t="s">
        <v>757</v>
      </c>
      <c r="O2928">
        <v>2.75</v>
      </c>
      <c r="P2928">
        <v>2.77</v>
      </c>
      <c r="Q2928">
        <v>2.7</v>
      </c>
      <c r="R2928">
        <v>2.74</v>
      </c>
      <c r="S2928">
        <v>52.06</v>
      </c>
      <c r="T2928">
        <v>0.7</v>
      </c>
      <c r="U2928" t="s">
        <v>221</v>
      </c>
    </row>
    <row r="2929" spans="1:21">
      <c r="A2929" t="str">
        <f>"600468"</f>
        <v>600468</v>
      </c>
      <c r="B2929" t="s">
        <v>5730</v>
      </c>
      <c r="C2929">
        <v>-0.86</v>
      </c>
      <c r="D2929">
        <v>5.75</v>
      </c>
      <c r="E2929">
        <v>-0.05</v>
      </c>
      <c r="F2929">
        <v>5.74</v>
      </c>
      <c r="G2929">
        <v>5.75</v>
      </c>
      <c r="H2929">
        <v>210673</v>
      </c>
      <c r="I2929">
        <v>2283</v>
      </c>
      <c r="J2929">
        <v>0.17</v>
      </c>
      <c r="K2929">
        <v>1.88</v>
      </c>
      <c r="L2929">
        <v>12147.69</v>
      </c>
      <c r="M2929" t="s">
        <v>5731</v>
      </c>
      <c r="N2929" t="s">
        <v>47</v>
      </c>
      <c r="O2929">
        <v>5.78</v>
      </c>
      <c r="P2929">
        <v>5.87</v>
      </c>
      <c r="Q2929">
        <v>5.69</v>
      </c>
      <c r="R2929">
        <v>5.8</v>
      </c>
      <c r="S2929">
        <v>50.02</v>
      </c>
      <c r="T2929">
        <v>0.79</v>
      </c>
      <c r="U2929" t="s">
        <v>360</v>
      </c>
    </row>
    <row r="2930" spans="1:21">
      <c r="A2930" t="str">
        <f>"600469"</f>
        <v>600469</v>
      </c>
      <c r="B2930" t="s">
        <v>5732</v>
      </c>
      <c r="C2930">
        <v>0.69</v>
      </c>
      <c r="D2930">
        <v>4.35</v>
      </c>
      <c r="E2930">
        <v>0.03</v>
      </c>
      <c r="F2930">
        <v>4.34</v>
      </c>
      <c r="G2930">
        <v>4.35</v>
      </c>
      <c r="H2930">
        <v>21716</v>
      </c>
      <c r="I2930">
        <v>122</v>
      </c>
      <c r="J2930">
        <v>0.23</v>
      </c>
      <c r="K2930">
        <v>0.39</v>
      </c>
      <c r="L2930">
        <v>939.79</v>
      </c>
      <c r="M2930" t="s">
        <v>5733</v>
      </c>
      <c r="N2930" t="s">
        <v>91</v>
      </c>
      <c r="O2930">
        <v>4.34</v>
      </c>
      <c r="P2930">
        <v>4.38</v>
      </c>
      <c r="Q2930">
        <v>4.27</v>
      </c>
      <c r="R2930">
        <v>4.32</v>
      </c>
      <c r="S2930">
        <v>237.74</v>
      </c>
      <c r="T2930">
        <v>0.82</v>
      </c>
      <c r="U2930" t="s">
        <v>224</v>
      </c>
    </row>
    <row r="2931" spans="1:21">
      <c r="A2931" t="str">
        <f>"600470"</f>
        <v>600470</v>
      </c>
      <c r="B2931" t="s">
        <v>5734</v>
      </c>
      <c r="C2931">
        <v>1.11</v>
      </c>
      <c r="D2931">
        <v>7.31</v>
      </c>
      <c r="E2931">
        <v>0.08</v>
      </c>
      <c r="F2931">
        <v>7.3</v>
      </c>
      <c r="G2931">
        <v>7.31</v>
      </c>
      <c r="H2931">
        <v>307338</v>
      </c>
      <c r="I2931">
        <v>4225</v>
      </c>
      <c r="J2931">
        <v>0.14</v>
      </c>
      <c r="K2931">
        <v>5.89</v>
      </c>
      <c r="L2931">
        <v>22120.71</v>
      </c>
      <c r="M2931" t="s">
        <v>5735</v>
      </c>
      <c r="N2931" t="s">
        <v>241</v>
      </c>
      <c r="O2931">
        <v>7.18</v>
      </c>
      <c r="P2931">
        <v>7.34</v>
      </c>
      <c r="Q2931">
        <v>7.03</v>
      </c>
      <c r="R2931">
        <v>7.23</v>
      </c>
      <c r="S2931">
        <v>11.9</v>
      </c>
      <c r="T2931">
        <v>0.99</v>
      </c>
      <c r="U2931" t="s">
        <v>193</v>
      </c>
    </row>
    <row r="2932" spans="1:21">
      <c r="A2932" t="str">
        <f>"600475"</f>
        <v>600475</v>
      </c>
      <c r="B2932" t="s">
        <v>5736</v>
      </c>
      <c r="C2932">
        <v>0.79</v>
      </c>
      <c r="D2932">
        <v>11.43</v>
      </c>
      <c r="E2932">
        <v>0.09</v>
      </c>
      <c r="F2932">
        <v>11.42</v>
      </c>
      <c r="G2932">
        <v>11.43</v>
      </c>
      <c r="H2932">
        <v>33439</v>
      </c>
      <c r="I2932">
        <v>265</v>
      </c>
      <c r="J2932">
        <v>-0.08</v>
      </c>
      <c r="K2932">
        <v>0.47</v>
      </c>
      <c r="L2932">
        <v>3794.9</v>
      </c>
      <c r="M2932" t="s">
        <v>5737</v>
      </c>
      <c r="N2932" t="s">
        <v>33</v>
      </c>
      <c r="O2932">
        <v>11.42</v>
      </c>
      <c r="P2932">
        <v>11.45</v>
      </c>
      <c r="Q2932">
        <v>11.19</v>
      </c>
      <c r="R2932">
        <v>11.34</v>
      </c>
      <c r="S2932">
        <v>12.27</v>
      </c>
      <c r="T2932">
        <v>0.83</v>
      </c>
      <c r="U2932" t="s">
        <v>102</v>
      </c>
    </row>
    <row r="2933" spans="1:21">
      <c r="A2933" t="str">
        <f>"600476"</f>
        <v>600476</v>
      </c>
      <c r="B2933" t="s">
        <v>5738</v>
      </c>
      <c r="C2933">
        <v>1.09</v>
      </c>
      <c r="D2933">
        <v>11.09</v>
      </c>
      <c r="E2933">
        <v>0.12</v>
      </c>
      <c r="F2933">
        <v>11.08</v>
      </c>
      <c r="G2933">
        <v>11.09</v>
      </c>
      <c r="H2933">
        <v>13646</v>
      </c>
      <c r="I2933">
        <v>23</v>
      </c>
      <c r="J2933">
        <v>0</v>
      </c>
      <c r="K2933">
        <v>0.85</v>
      </c>
      <c r="L2933">
        <v>1508.5</v>
      </c>
      <c r="M2933" t="s">
        <v>5739</v>
      </c>
      <c r="N2933" t="s">
        <v>30</v>
      </c>
      <c r="O2933">
        <v>10.97</v>
      </c>
      <c r="P2933">
        <v>11.16</v>
      </c>
      <c r="Q2933">
        <v>10.8</v>
      </c>
      <c r="R2933">
        <v>10.97</v>
      </c>
      <c r="S2933" t="s">
        <v>40</v>
      </c>
      <c r="T2933">
        <v>0.55</v>
      </c>
      <c r="U2933" t="s">
        <v>204</v>
      </c>
    </row>
    <row r="2934" spans="1:21">
      <c r="A2934" t="str">
        <f>"600477"</f>
        <v>600477</v>
      </c>
      <c r="B2934" t="s">
        <v>5740</v>
      </c>
      <c r="C2934">
        <v>-1.08</v>
      </c>
      <c r="D2934">
        <v>3.68</v>
      </c>
      <c r="E2934">
        <v>-0.04</v>
      </c>
      <c r="F2934">
        <v>3.68</v>
      </c>
      <c r="G2934">
        <v>3.69</v>
      </c>
      <c r="H2934">
        <v>165503</v>
      </c>
      <c r="I2934">
        <v>1707</v>
      </c>
      <c r="J2934">
        <v>0.27</v>
      </c>
      <c r="K2934">
        <v>0.77</v>
      </c>
      <c r="L2934">
        <v>6083.1</v>
      </c>
      <c r="M2934" t="s">
        <v>2551</v>
      </c>
      <c r="N2934" t="s">
        <v>724</v>
      </c>
      <c r="O2934">
        <v>3.71</v>
      </c>
      <c r="P2934">
        <v>3.73</v>
      </c>
      <c r="Q2934">
        <v>3.64</v>
      </c>
      <c r="R2934">
        <v>3.72</v>
      </c>
      <c r="S2934">
        <v>16.52</v>
      </c>
      <c r="T2934">
        <v>1.39</v>
      </c>
      <c r="U2934" t="s">
        <v>200</v>
      </c>
    </row>
    <row r="2935" spans="1:21">
      <c r="A2935" t="str">
        <f>"600478"</f>
        <v>600478</v>
      </c>
      <c r="B2935" t="s">
        <v>5741</v>
      </c>
      <c r="C2935">
        <v>1.29</v>
      </c>
      <c r="D2935">
        <v>7.08</v>
      </c>
      <c r="E2935">
        <v>0.09</v>
      </c>
      <c r="F2935">
        <v>7.08</v>
      </c>
      <c r="G2935">
        <v>7.09</v>
      </c>
      <c r="H2935">
        <v>388979</v>
      </c>
      <c r="I2935">
        <v>3573</v>
      </c>
      <c r="J2935">
        <v>0.14</v>
      </c>
      <c r="K2935">
        <v>2.42</v>
      </c>
      <c r="L2935">
        <v>26994.6</v>
      </c>
      <c r="M2935" t="s">
        <v>5742</v>
      </c>
      <c r="N2935" t="s">
        <v>69</v>
      </c>
      <c r="O2935">
        <v>6.97</v>
      </c>
      <c r="P2935">
        <v>7.09</v>
      </c>
      <c r="Q2935">
        <v>6.76</v>
      </c>
      <c r="R2935">
        <v>6.99</v>
      </c>
      <c r="S2935">
        <v>220.32</v>
      </c>
      <c r="T2935">
        <v>0.98</v>
      </c>
      <c r="U2935" t="s">
        <v>204</v>
      </c>
    </row>
    <row r="2936" spans="1:21">
      <c r="A2936" t="str">
        <f>"600479"</f>
        <v>600479</v>
      </c>
      <c r="B2936" t="s">
        <v>5743</v>
      </c>
      <c r="C2936">
        <v>0.81</v>
      </c>
      <c r="D2936">
        <v>8.66</v>
      </c>
      <c r="E2936">
        <v>0.07</v>
      </c>
      <c r="F2936">
        <v>8.65</v>
      </c>
      <c r="G2936">
        <v>8.66</v>
      </c>
      <c r="H2936">
        <v>39965</v>
      </c>
      <c r="I2936">
        <v>495</v>
      </c>
      <c r="J2936">
        <v>0.12</v>
      </c>
      <c r="K2936">
        <v>0.95</v>
      </c>
      <c r="L2936">
        <v>3454.76</v>
      </c>
      <c r="M2936" t="s">
        <v>5744</v>
      </c>
      <c r="N2936" t="s">
        <v>270</v>
      </c>
      <c r="O2936">
        <v>8.62</v>
      </c>
      <c r="P2936">
        <v>8.69</v>
      </c>
      <c r="Q2936">
        <v>8.56</v>
      </c>
      <c r="R2936">
        <v>8.59</v>
      </c>
      <c r="S2936">
        <v>14.37</v>
      </c>
      <c r="T2936">
        <v>1.03</v>
      </c>
      <c r="U2936" t="s">
        <v>204</v>
      </c>
    </row>
    <row r="2937" spans="1:21">
      <c r="A2937" t="str">
        <f>"600480"</f>
        <v>600480</v>
      </c>
      <c r="B2937" t="s">
        <v>5745</v>
      </c>
      <c r="C2937">
        <v>2.51</v>
      </c>
      <c r="D2937">
        <v>9.4</v>
      </c>
      <c r="E2937">
        <v>0.23</v>
      </c>
      <c r="F2937">
        <v>9.39</v>
      </c>
      <c r="G2937">
        <v>9.4</v>
      </c>
      <c r="H2937">
        <v>146057</v>
      </c>
      <c r="I2937">
        <v>1382</v>
      </c>
      <c r="J2937">
        <v>0.21</v>
      </c>
      <c r="K2937">
        <v>1.91</v>
      </c>
      <c r="L2937">
        <v>13632.8</v>
      </c>
      <c r="M2937" t="s">
        <v>5746</v>
      </c>
      <c r="N2937" t="s">
        <v>91</v>
      </c>
      <c r="O2937">
        <v>9.17</v>
      </c>
      <c r="P2937">
        <v>9.46</v>
      </c>
      <c r="Q2937">
        <v>9.12</v>
      </c>
      <c r="R2937">
        <v>9.17</v>
      </c>
      <c r="S2937">
        <v>26.71</v>
      </c>
      <c r="T2937">
        <v>0.87</v>
      </c>
      <c r="U2937" t="s">
        <v>207</v>
      </c>
    </row>
    <row r="2938" spans="1:21">
      <c r="A2938" t="str">
        <f>"600481"</f>
        <v>600481</v>
      </c>
      <c r="B2938" t="s">
        <v>5747</v>
      </c>
      <c r="C2938">
        <v>0.24</v>
      </c>
      <c r="D2938">
        <v>12.42</v>
      </c>
      <c r="E2938">
        <v>0.03</v>
      </c>
      <c r="F2938">
        <v>12.41</v>
      </c>
      <c r="G2938">
        <v>12.42</v>
      </c>
      <c r="H2938">
        <v>233550</v>
      </c>
      <c r="I2938">
        <v>3485</v>
      </c>
      <c r="J2938">
        <v>0.16</v>
      </c>
      <c r="K2938">
        <v>1.44</v>
      </c>
      <c r="L2938">
        <v>28809.6</v>
      </c>
      <c r="M2938" t="s">
        <v>5748</v>
      </c>
      <c r="N2938" t="s">
        <v>347</v>
      </c>
      <c r="O2938">
        <v>12.44</v>
      </c>
      <c r="P2938">
        <v>12.54</v>
      </c>
      <c r="Q2938">
        <v>12.09</v>
      </c>
      <c r="R2938">
        <v>12.39</v>
      </c>
      <c r="S2938">
        <v>85.59</v>
      </c>
      <c r="T2938">
        <v>0.71</v>
      </c>
      <c r="U2938" t="s">
        <v>102</v>
      </c>
    </row>
    <row r="2939" spans="1:21">
      <c r="A2939" t="str">
        <f>"600482"</f>
        <v>600482</v>
      </c>
      <c r="B2939" t="s">
        <v>5749</v>
      </c>
      <c r="C2939">
        <v>0.77</v>
      </c>
      <c r="D2939">
        <v>18.39</v>
      </c>
      <c r="E2939">
        <v>0.14</v>
      </c>
      <c r="F2939">
        <v>18.38</v>
      </c>
      <c r="G2939">
        <v>18.39</v>
      </c>
      <c r="H2939">
        <v>61212</v>
      </c>
      <c r="I2939">
        <v>1282</v>
      </c>
      <c r="J2939">
        <v>0.11</v>
      </c>
      <c r="K2939">
        <v>0.3</v>
      </c>
      <c r="L2939">
        <v>11185.78</v>
      </c>
      <c r="M2939" t="s">
        <v>5750</v>
      </c>
      <c r="N2939" t="s">
        <v>3063</v>
      </c>
      <c r="O2939">
        <v>18.25</v>
      </c>
      <c r="P2939">
        <v>18.43</v>
      </c>
      <c r="Q2939">
        <v>18.01</v>
      </c>
      <c r="R2939">
        <v>18.25</v>
      </c>
      <c r="S2939">
        <v>57.56</v>
      </c>
      <c r="T2939">
        <v>0.77</v>
      </c>
      <c r="U2939" t="s">
        <v>207</v>
      </c>
    </row>
    <row r="2940" spans="1:21">
      <c r="A2940" t="str">
        <f>"600483"</f>
        <v>600483</v>
      </c>
      <c r="B2940" t="s">
        <v>5751</v>
      </c>
      <c r="C2940">
        <v>3.15</v>
      </c>
      <c r="D2940">
        <v>14.73</v>
      </c>
      <c r="E2940">
        <v>0.45</v>
      </c>
      <c r="F2940">
        <v>14.73</v>
      </c>
      <c r="G2940">
        <v>14.74</v>
      </c>
      <c r="H2940">
        <v>211838</v>
      </c>
      <c r="I2940">
        <v>752</v>
      </c>
      <c r="J2940">
        <v>0.07</v>
      </c>
      <c r="K2940">
        <v>1.24</v>
      </c>
      <c r="L2940">
        <v>30959.72</v>
      </c>
      <c r="M2940" t="s">
        <v>5752</v>
      </c>
      <c r="N2940" t="s">
        <v>83</v>
      </c>
      <c r="O2940">
        <v>14.3</v>
      </c>
      <c r="P2940">
        <v>14.96</v>
      </c>
      <c r="Q2940">
        <v>14.14</v>
      </c>
      <c r="R2940">
        <v>14.28</v>
      </c>
      <c r="S2940">
        <v>20.33</v>
      </c>
      <c r="T2940">
        <v>1.03</v>
      </c>
      <c r="U2940" t="s">
        <v>339</v>
      </c>
    </row>
    <row r="2941" spans="1:21">
      <c r="A2941" t="str">
        <f>"600486"</f>
        <v>600486</v>
      </c>
      <c r="B2941" t="s">
        <v>5753</v>
      </c>
      <c r="C2941">
        <v>3.99</v>
      </c>
      <c r="D2941">
        <v>124.58</v>
      </c>
      <c r="E2941">
        <v>4.78</v>
      </c>
      <c r="F2941">
        <v>124.57</v>
      </c>
      <c r="G2941">
        <v>124.58</v>
      </c>
      <c r="H2941">
        <v>11990</v>
      </c>
      <c r="I2941">
        <v>99</v>
      </c>
      <c r="J2941">
        <v>0.01</v>
      </c>
      <c r="K2941">
        <v>0.39</v>
      </c>
      <c r="L2941">
        <v>14793.31</v>
      </c>
      <c r="M2941" t="s">
        <v>5754</v>
      </c>
      <c r="N2941" t="s">
        <v>241</v>
      </c>
      <c r="O2941">
        <v>119.5</v>
      </c>
      <c r="P2941">
        <v>124.6</v>
      </c>
      <c r="Q2941">
        <v>119.5</v>
      </c>
      <c r="R2941">
        <v>119.8</v>
      </c>
      <c r="S2941">
        <v>28.51</v>
      </c>
      <c r="T2941">
        <v>0.79</v>
      </c>
      <c r="U2941" t="s">
        <v>102</v>
      </c>
    </row>
    <row r="2942" spans="1:21">
      <c r="A2942" t="str">
        <f>"600487"</f>
        <v>600487</v>
      </c>
      <c r="B2942" t="s">
        <v>5755</v>
      </c>
      <c r="C2942">
        <v>-1.52</v>
      </c>
      <c r="D2942">
        <v>16.79</v>
      </c>
      <c r="E2942">
        <v>-0.26</v>
      </c>
      <c r="F2942">
        <v>16.79</v>
      </c>
      <c r="G2942">
        <v>16.8</v>
      </c>
      <c r="H2942">
        <v>665390</v>
      </c>
      <c r="I2942">
        <v>4795</v>
      </c>
      <c r="J2942">
        <v>0</v>
      </c>
      <c r="K2942">
        <v>2.92</v>
      </c>
      <c r="L2942">
        <v>111797.47</v>
      </c>
      <c r="M2942" t="s">
        <v>5756</v>
      </c>
      <c r="N2942" t="s">
        <v>153</v>
      </c>
      <c r="O2942">
        <v>16.79</v>
      </c>
      <c r="P2942">
        <v>17.14</v>
      </c>
      <c r="Q2942">
        <v>16.6</v>
      </c>
      <c r="R2942">
        <v>17.05</v>
      </c>
      <c r="S2942">
        <v>22.61</v>
      </c>
      <c r="T2942">
        <v>0.66</v>
      </c>
      <c r="U2942" t="s">
        <v>102</v>
      </c>
    </row>
    <row r="2943" spans="1:21">
      <c r="A2943" t="str">
        <f>"600488"</f>
        <v>600488</v>
      </c>
      <c r="B2943" t="s">
        <v>5757</v>
      </c>
      <c r="C2943">
        <v>0</v>
      </c>
      <c r="D2943">
        <v>4.15</v>
      </c>
      <c r="E2943">
        <v>0</v>
      </c>
      <c r="F2943">
        <v>4.15</v>
      </c>
      <c r="G2943">
        <v>4.16</v>
      </c>
      <c r="H2943">
        <v>24272</v>
      </c>
      <c r="I2943">
        <v>109</v>
      </c>
      <c r="J2943">
        <v>0</v>
      </c>
      <c r="K2943">
        <v>0.22</v>
      </c>
      <c r="L2943">
        <v>1007.53</v>
      </c>
      <c r="M2943" t="s">
        <v>5758</v>
      </c>
      <c r="N2943" t="s">
        <v>192</v>
      </c>
      <c r="O2943">
        <v>4.17</v>
      </c>
      <c r="P2943">
        <v>4.19</v>
      </c>
      <c r="Q2943">
        <v>4.12</v>
      </c>
      <c r="R2943">
        <v>4.15</v>
      </c>
      <c r="S2943">
        <v>64.23</v>
      </c>
      <c r="T2943">
        <v>1.53</v>
      </c>
      <c r="U2943" t="s">
        <v>360</v>
      </c>
    </row>
    <row r="2944" spans="1:21">
      <c r="A2944" t="str">
        <f>"600489"</f>
        <v>600489</v>
      </c>
      <c r="B2944" t="s">
        <v>5759</v>
      </c>
      <c r="C2944">
        <v>0.24</v>
      </c>
      <c r="D2944">
        <v>8.47</v>
      </c>
      <c r="E2944">
        <v>0.02</v>
      </c>
      <c r="F2944">
        <v>8.47</v>
      </c>
      <c r="G2944">
        <v>8.48</v>
      </c>
      <c r="H2944">
        <v>196808</v>
      </c>
      <c r="I2944">
        <v>2234</v>
      </c>
      <c r="J2944">
        <v>0</v>
      </c>
      <c r="K2944">
        <v>0.45</v>
      </c>
      <c r="L2944">
        <v>16608.52</v>
      </c>
      <c r="M2944" t="s">
        <v>5760</v>
      </c>
      <c r="N2944" t="s">
        <v>302</v>
      </c>
      <c r="O2944">
        <v>8.44</v>
      </c>
      <c r="P2944">
        <v>8.48</v>
      </c>
      <c r="Q2944">
        <v>8.39</v>
      </c>
      <c r="R2944">
        <v>8.45</v>
      </c>
      <c r="S2944">
        <v>22.2</v>
      </c>
      <c r="T2944">
        <v>0.67</v>
      </c>
      <c r="U2944" t="s">
        <v>44</v>
      </c>
    </row>
    <row r="2945" spans="1:21">
      <c r="A2945" t="str">
        <f>"600490"</f>
        <v>600490</v>
      </c>
      <c r="B2945" t="s">
        <v>5761</v>
      </c>
      <c r="C2945">
        <v>-0.19</v>
      </c>
      <c r="D2945">
        <v>5.36</v>
      </c>
      <c r="E2945">
        <v>-0.01</v>
      </c>
      <c r="F2945">
        <v>5.36</v>
      </c>
      <c r="G2945">
        <v>5.37</v>
      </c>
      <c r="H2945">
        <v>693484</v>
      </c>
      <c r="I2945">
        <v>6648</v>
      </c>
      <c r="J2945">
        <v>0.19</v>
      </c>
      <c r="K2945">
        <v>3.48</v>
      </c>
      <c r="L2945">
        <v>37510.05</v>
      </c>
      <c r="M2945" t="s">
        <v>2824</v>
      </c>
      <c r="N2945" t="s">
        <v>526</v>
      </c>
      <c r="O2945">
        <v>5.36</v>
      </c>
      <c r="P2945">
        <v>5.56</v>
      </c>
      <c r="Q2945">
        <v>5.28</v>
      </c>
      <c r="R2945">
        <v>5.37</v>
      </c>
      <c r="S2945">
        <v>99.32</v>
      </c>
      <c r="T2945">
        <v>0.8</v>
      </c>
      <c r="U2945" t="s">
        <v>848</v>
      </c>
    </row>
    <row r="2946" spans="1:21">
      <c r="A2946" t="str">
        <f>"600491"</f>
        <v>600491</v>
      </c>
      <c r="B2946" t="s">
        <v>5762</v>
      </c>
      <c r="C2946">
        <v>2.49</v>
      </c>
      <c r="D2946">
        <v>6.17</v>
      </c>
      <c r="E2946">
        <v>0.15</v>
      </c>
      <c r="F2946">
        <v>6.16</v>
      </c>
      <c r="G2946">
        <v>6.17</v>
      </c>
      <c r="H2946">
        <v>286416</v>
      </c>
      <c r="I2946">
        <v>3060</v>
      </c>
      <c r="J2946">
        <v>-0.15</v>
      </c>
      <c r="K2946">
        <v>1.87</v>
      </c>
      <c r="L2946">
        <v>17370.23</v>
      </c>
      <c r="M2946" t="s">
        <v>5763</v>
      </c>
      <c r="N2946" t="s">
        <v>50</v>
      </c>
      <c r="O2946">
        <v>6.05</v>
      </c>
      <c r="P2946">
        <v>6.2</v>
      </c>
      <c r="Q2946">
        <v>5.96</v>
      </c>
      <c r="R2946">
        <v>6.02</v>
      </c>
      <c r="S2946">
        <v>11.71</v>
      </c>
      <c r="T2946">
        <v>0.43</v>
      </c>
      <c r="U2946" t="s">
        <v>200</v>
      </c>
    </row>
    <row r="2947" spans="1:21">
      <c r="A2947" t="str">
        <f>"600493"</f>
        <v>600493</v>
      </c>
      <c r="B2947" t="s">
        <v>5764</v>
      </c>
      <c r="C2947">
        <v>0.53</v>
      </c>
      <c r="D2947">
        <v>5.64</v>
      </c>
      <c r="E2947">
        <v>0.03</v>
      </c>
      <c r="F2947">
        <v>5.64</v>
      </c>
      <c r="G2947">
        <v>5.65</v>
      </c>
      <c r="H2947">
        <v>49730</v>
      </c>
      <c r="I2947">
        <v>1271</v>
      </c>
      <c r="J2947">
        <v>-0.34</v>
      </c>
      <c r="K2947">
        <v>1.83</v>
      </c>
      <c r="L2947">
        <v>2804.92</v>
      </c>
      <c r="M2947" t="s">
        <v>5765</v>
      </c>
      <c r="N2947" t="s">
        <v>664</v>
      </c>
      <c r="O2947">
        <v>5.61</v>
      </c>
      <c r="P2947">
        <v>5.74</v>
      </c>
      <c r="Q2947">
        <v>5.54</v>
      </c>
      <c r="R2947">
        <v>5.61</v>
      </c>
      <c r="S2947">
        <v>15.64</v>
      </c>
      <c r="T2947">
        <v>0.58</v>
      </c>
      <c r="U2947" t="s">
        <v>339</v>
      </c>
    </row>
    <row r="2948" spans="1:21">
      <c r="A2948" t="str">
        <f>"600495"</f>
        <v>600495</v>
      </c>
      <c r="B2948" t="s">
        <v>5766</v>
      </c>
      <c r="C2948">
        <v>0.57</v>
      </c>
      <c r="D2948">
        <v>3.51</v>
      </c>
      <c r="E2948">
        <v>0.02</v>
      </c>
      <c r="F2948">
        <v>3.5</v>
      </c>
      <c r="G2948">
        <v>3.51</v>
      </c>
      <c r="H2948">
        <v>39400</v>
      </c>
      <c r="I2948">
        <v>772</v>
      </c>
      <c r="J2948">
        <v>0</v>
      </c>
      <c r="K2948">
        <v>0.33</v>
      </c>
      <c r="L2948">
        <v>1373.31</v>
      </c>
      <c r="M2948" t="s">
        <v>5767</v>
      </c>
      <c r="N2948" t="s">
        <v>43</v>
      </c>
      <c r="O2948">
        <v>3.49</v>
      </c>
      <c r="P2948">
        <v>3.52</v>
      </c>
      <c r="Q2948">
        <v>3.46</v>
      </c>
      <c r="R2948">
        <v>3.49</v>
      </c>
      <c r="S2948" t="s">
        <v>40</v>
      </c>
      <c r="T2948">
        <v>0.89</v>
      </c>
      <c r="U2948" t="s">
        <v>232</v>
      </c>
    </row>
    <row r="2949" spans="1:21">
      <c r="A2949" t="str">
        <f>"600496"</f>
        <v>600496</v>
      </c>
      <c r="B2949" t="s">
        <v>5768</v>
      </c>
      <c r="C2949">
        <v>0.26</v>
      </c>
      <c r="D2949">
        <v>3.9</v>
      </c>
      <c r="E2949">
        <v>0.01</v>
      </c>
      <c r="F2949">
        <v>3.9</v>
      </c>
      <c r="G2949">
        <v>3.91</v>
      </c>
      <c r="H2949">
        <v>146026</v>
      </c>
      <c r="I2949">
        <v>2064</v>
      </c>
      <c r="J2949">
        <v>0</v>
      </c>
      <c r="K2949">
        <v>0.73</v>
      </c>
      <c r="L2949">
        <v>5666.07</v>
      </c>
      <c r="M2949" t="s">
        <v>5769</v>
      </c>
      <c r="N2949" t="s">
        <v>724</v>
      </c>
      <c r="O2949">
        <v>3.88</v>
      </c>
      <c r="P2949">
        <v>3.91</v>
      </c>
      <c r="Q2949">
        <v>3.85</v>
      </c>
      <c r="R2949">
        <v>3.89</v>
      </c>
      <c r="S2949">
        <v>10.52</v>
      </c>
      <c r="T2949">
        <v>1</v>
      </c>
      <c r="U2949" t="s">
        <v>193</v>
      </c>
    </row>
    <row r="2950" spans="1:21">
      <c r="A2950" t="str">
        <f>"600497"</f>
        <v>600497</v>
      </c>
      <c r="B2950" t="s">
        <v>5770</v>
      </c>
      <c r="C2950">
        <v>0.61</v>
      </c>
      <c r="D2950">
        <v>4.93</v>
      </c>
      <c r="E2950">
        <v>0.03</v>
      </c>
      <c r="F2950">
        <v>4.92</v>
      </c>
      <c r="G2950">
        <v>4.93</v>
      </c>
      <c r="H2950">
        <v>556569</v>
      </c>
      <c r="I2950">
        <v>5346</v>
      </c>
      <c r="J2950">
        <v>0</v>
      </c>
      <c r="K2950">
        <v>1.09</v>
      </c>
      <c r="L2950">
        <v>27172.51</v>
      </c>
      <c r="M2950" t="s">
        <v>5771</v>
      </c>
      <c r="N2950" t="s">
        <v>144</v>
      </c>
      <c r="O2950">
        <v>4.87</v>
      </c>
      <c r="P2950">
        <v>4.93</v>
      </c>
      <c r="Q2950">
        <v>4.81</v>
      </c>
      <c r="R2950">
        <v>4.9</v>
      </c>
      <c r="S2950">
        <v>16.98</v>
      </c>
      <c r="T2950">
        <v>1.02</v>
      </c>
      <c r="U2950" t="s">
        <v>363</v>
      </c>
    </row>
    <row r="2951" spans="1:21">
      <c r="A2951" t="str">
        <f>"600498"</f>
        <v>600498</v>
      </c>
      <c r="B2951" t="s">
        <v>5772</v>
      </c>
      <c r="C2951">
        <v>1.07</v>
      </c>
      <c r="D2951">
        <v>17.89</v>
      </c>
      <c r="E2951">
        <v>0.19</v>
      </c>
      <c r="F2951">
        <v>17.89</v>
      </c>
      <c r="G2951">
        <v>17.9</v>
      </c>
      <c r="H2951">
        <v>73371</v>
      </c>
      <c r="I2951">
        <v>540</v>
      </c>
      <c r="J2951">
        <v>-0.1</v>
      </c>
      <c r="K2951">
        <v>0.65</v>
      </c>
      <c r="L2951">
        <v>13022.77</v>
      </c>
      <c r="M2951" t="s">
        <v>5773</v>
      </c>
      <c r="N2951" t="s">
        <v>153</v>
      </c>
      <c r="O2951">
        <v>17.64</v>
      </c>
      <c r="P2951">
        <v>17.93</v>
      </c>
      <c r="Q2951">
        <v>17.52</v>
      </c>
      <c r="R2951">
        <v>17.7</v>
      </c>
      <c r="S2951">
        <v>53.48</v>
      </c>
      <c r="T2951">
        <v>0.96</v>
      </c>
      <c r="U2951" t="s">
        <v>267</v>
      </c>
    </row>
    <row r="2952" spans="1:21">
      <c r="A2952" t="str">
        <f>"600499"</f>
        <v>600499</v>
      </c>
      <c r="B2952" t="s">
        <v>5774</v>
      </c>
      <c r="C2952">
        <v>-2.07</v>
      </c>
      <c r="D2952">
        <v>21.77</v>
      </c>
      <c r="E2952">
        <v>-0.46</v>
      </c>
      <c r="F2952">
        <v>21.77</v>
      </c>
      <c r="G2952">
        <v>21.78</v>
      </c>
      <c r="H2952">
        <v>1506974</v>
      </c>
      <c r="I2952">
        <v>13173</v>
      </c>
      <c r="J2952">
        <v>-0.26</v>
      </c>
      <c r="K2952">
        <v>9.55</v>
      </c>
      <c r="L2952">
        <v>337293.75</v>
      </c>
      <c r="M2952" t="s">
        <v>5775</v>
      </c>
      <c r="N2952" t="s">
        <v>324</v>
      </c>
      <c r="O2952">
        <v>21.8</v>
      </c>
      <c r="P2952">
        <v>23.1</v>
      </c>
      <c r="Q2952">
        <v>21.49</v>
      </c>
      <c r="R2952">
        <v>22.23</v>
      </c>
      <c r="S2952">
        <v>40.63</v>
      </c>
      <c r="T2952">
        <v>2.49</v>
      </c>
      <c r="U2952" t="s">
        <v>183</v>
      </c>
    </row>
    <row r="2953" spans="1:21">
      <c r="A2953" t="str">
        <f>"600500"</f>
        <v>600500</v>
      </c>
      <c r="B2953" t="s">
        <v>5776</v>
      </c>
      <c r="C2953">
        <v>10.05</v>
      </c>
      <c r="D2953">
        <v>8.1</v>
      </c>
      <c r="E2953">
        <v>0.74</v>
      </c>
      <c r="F2953">
        <v>8.1</v>
      </c>
      <c r="G2953" t="s">
        <v>40</v>
      </c>
      <c r="H2953">
        <v>144277</v>
      </c>
      <c r="I2953">
        <v>1663</v>
      </c>
      <c r="J2953">
        <v>0</v>
      </c>
      <c r="K2953">
        <v>0.53</v>
      </c>
      <c r="L2953">
        <v>11686.4</v>
      </c>
      <c r="M2953" t="s">
        <v>5777</v>
      </c>
      <c r="N2953" t="s">
        <v>839</v>
      </c>
      <c r="O2953">
        <v>8.1</v>
      </c>
      <c r="P2953">
        <v>8.1</v>
      </c>
      <c r="Q2953">
        <v>8.1</v>
      </c>
      <c r="R2953">
        <v>7.36</v>
      </c>
      <c r="S2953">
        <v>6.96</v>
      </c>
      <c r="T2953">
        <v>0.49</v>
      </c>
      <c r="U2953" t="s">
        <v>848</v>
      </c>
    </row>
    <row r="2954" spans="1:21">
      <c r="A2954" t="str">
        <f>"600501"</f>
        <v>600501</v>
      </c>
      <c r="B2954" t="s">
        <v>5778</v>
      </c>
      <c r="C2954">
        <v>1.43</v>
      </c>
      <c r="D2954">
        <v>9.96</v>
      </c>
      <c r="E2954">
        <v>0.14</v>
      </c>
      <c r="F2954">
        <v>9.96</v>
      </c>
      <c r="G2954">
        <v>9.97</v>
      </c>
      <c r="H2954">
        <v>64195</v>
      </c>
      <c r="I2954">
        <v>1493</v>
      </c>
      <c r="J2954">
        <v>0</v>
      </c>
      <c r="K2954">
        <v>1.52</v>
      </c>
      <c r="L2954">
        <v>6351.94</v>
      </c>
      <c r="M2954" t="s">
        <v>5779</v>
      </c>
      <c r="N2954" t="s">
        <v>91</v>
      </c>
      <c r="O2954">
        <v>9.82</v>
      </c>
      <c r="P2954">
        <v>10.03</v>
      </c>
      <c r="Q2954">
        <v>9.66</v>
      </c>
      <c r="R2954">
        <v>9.82</v>
      </c>
      <c r="S2954">
        <v>76.49</v>
      </c>
      <c r="T2954">
        <v>1.34</v>
      </c>
      <c r="U2954" t="s">
        <v>102</v>
      </c>
    </row>
    <row r="2955" spans="1:21">
      <c r="A2955" t="str">
        <f>"600502"</f>
        <v>600502</v>
      </c>
      <c r="B2955" t="s">
        <v>5780</v>
      </c>
      <c r="C2955">
        <v>1.08</v>
      </c>
      <c r="D2955">
        <v>3.76</v>
      </c>
      <c r="E2955">
        <v>0.04</v>
      </c>
      <c r="F2955">
        <v>3.75</v>
      </c>
      <c r="G2955">
        <v>3.76</v>
      </c>
      <c r="H2955">
        <v>106046</v>
      </c>
      <c r="I2955">
        <v>1959</v>
      </c>
      <c r="J2955">
        <v>0.27</v>
      </c>
      <c r="K2955">
        <v>0.62</v>
      </c>
      <c r="L2955">
        <v>3949.18</v>
      </c>
      <c r="M2955" t="s">
        <v>5781</v>
      </c>
      <c r="N2955" t="s">
        <v>50</v>
      </c>
      <c r="O2955">
        <v>3.72</v>
      </c>
      <c r="P2955">
        <v>3.76</v>
      </c>
      <c r="Q2955">
        <v>3.69</v>
      </c>
      <c r="R2955">
        <v>3.72</v>
      </c>
      <c r="S2955">
        <v>5.59</v>
      </c>
      <c r="T2955">
        <v>1.08</v>
      </c>
      <c r="U2955" t="s">
        <v>193</v>
      </c>
    </row>
    <row r="2956" spans="1:21">
      <c r="A2956" t="str">
        <f>"600503"</f>
        <v>600503</v>
      </c>
      <c r="B2956" t="s">
        <v>5782</v>
      </c>
      <c r="C2956">
        <v>0.64</v>
      </c>
      <c r="D2956">
        <v>3.13</v>
      </c>
      <c r="E2956">
        <v>0.02</v>
      </c>
      <c r="F2956">
        <v>3.13</v>
      </c>
      <c r="G2956">
        <v>3.14</v>
      </c>
      <c r="H2956">
        <v>112236</v>
      </c>
      <c r="I2956">
        <v>1954</v>
      </c>
      <c r="J2956">
        <v>0</v>
      </c>
      <c r="K2956">
        <v>0.7</v>
      </c>
      <c r="L2956">
        <v>3488.94</v>
      </c>
      <c r="M2956" t="s">
        <v>5783</v>
      </c>
      <c r="N2956" t="s">
        <v>36</v>
      </c>
      <c r="O2956">
        <v>3.11</v>
      </c>
      <c r="P2956">
        <v>3.14</v>
      </c>
      <c r="Q2956">
        <v>3.08</v>
      </c>
      <c r="R2956">
        <v>3.11</v>
      </c>
      <c r="S2956">
        <v>27.08</v>
      </c>
      <c r="T2956">
        <v>1.56</v>
      </c>
      <c r="U2956" t="s">
        <v>848</v>
      </c>
    </row>
    <row r="2957" spans="1:21">
      <c r="A2957" t="str">
        <f>"600505"</f>
        <v>600505</v>
      </c>
      <c r="B2957" t="s">
        <v>5784</v>
      </c>
      <c r="C2957">
        <v>1.83</v>
      </c>
      <c r="D2957">
        <v>8.33</v>
      </c>
      <c r="E2957">
        <v>0.15</v>
      </c>
      <c r="F2957">
        <v>8.33</v>
      </c>
      <c r="G2957">
        <v>8.34</v>
      </c>
      <c r="H2957">
        <v>128235</v>
      </c>
      <c r="I2957">
        <v>1387</v>
      </c>
      <c r="J2957">
        <v>0.24</v>
      </c>
      <c r="K2957">
        <v>3.52</v>
      </c>
      <c r="L2957">
        <v>10492.38</v>
      </c>
      <c r="M2957" t="s">
        <v>5785</v>
      </c>
      <c r="N2957" t="s">
        <v>472</v>
      </c>
      <c r="O2957">
        <v>8.15</v>
      </c>
      <c r="P2957">
        <v>8.35</v>
      </c>
      <c r="Q2957">
        <v>7.97</v>
      </c>
      <c r="R2957">
        <v>8.18</v>
      </c>
      <c r="S2957">
        <v>55.62</v>
      </c>
      <c r="T2957">
        <v>0.89</v>
      </c>
      <c r="U2957" t="s">
        <v>196</v>
      </c>
    </row>
    <row r="2958" spans="1:21">
      <c r="A2958" t="str">
        <f>"600506"</f>
        <v>600506</v>
      </c>
      <c r="B2958" t="s">
        <v>5786</v>
      </c>
      <c r="C2958">
        <v>-0.69</v>
      </c>
      <c r="D2958">
        <v>11.55</v>
      </c>
      <c r="E2958">
        <v>-0.08</v>
      </c>
      <c r="F2958">
        <v>11.55</v>
      </c>
      <c r="G2958">
        <v>11.56</v>
      </c>
      <c r="H2958">
        <v>4993</v>
      </c>
      <c r="I2958">
        <v>233</v>
      </c>
      <c r="J2958">
        <v>0.09</v>
      </c>
      <c r="K2958">
        <v>0.34</v>
      </c>
      <c r="L2958">
        <v>577.34</v>
      </c>
      <c r="M2958" t="s">
        <v>5787</v>
      </c>
      <c r="N2958" t="s">
        <v>639</v>
      </c>
      <c r="O2958">
        <v>11.56</v>
      </c>
      <c r="P2958">
        <v>11.67</v>
      </c>
      <c r="Q2958">
        <v>11.45</v>
      </c>
      <c r="R2958">
        <v>11.63</v>
      </c>
      <c r="S2958" t="s">
        <v>40</v>
      </c>
      <c r="T2958">
        <v>0.44</v>
      </c>
      <c r="U2958" t="s">
        <v>210</v>
      </c>
    </row>
    <row r="2959" spans="1:21">
      <c r="A2959" t="str">
        <f>"600507"</f>
        <v>600507</v>
      </c>
      <c r="B2959" t="s">
        <v>5788</v>
      </c>
      <c r="C2959">
        <v>1.41</v>
      </c>
      <c r="D2959">
        <v>7.17</v>
      </c>
      <c r="E2959">
        <v>0.1</v>
      </c>
      <c r="F2959">
        <v>7.16</v>
      </c>
      <c r="G2959">
        <v>7.17</v>
      </c>
      <c r="H2959">
        <v>229559</v>
      </c>
      <c r="I2959">
        <v>2318</v>
      </c>
      <c r="J2959">
        <v>0</v>
      </c>
      <c r="K2959">
        <v>1.06</v>
      </c>
      <c r="L2959">
        <v>16342.44</v>
      </c>
      <c r="M2959" t="s">
        <v>5789</v>
      </c>
      <c r="N2959" t="s">
        <v>628</v>
      </c>
      <c r="O2959">
        <v>7.11</v>
      </c>
      <c r="P2959">
        <v>7.2</v>
      </c>
      <c r="Q2959">
        <v>7.01</v>
      </c>
      <c r="R2959">
        <v>7.07</v>
      </c>
      <c r="S2959">
        <v>5.41</v>
      </c>
      <c r="T2959">
        <v>1.22</v>
      </c>
      <c r="U2959" t="s">
        <v>235</v>
      </c>
    </row>
    <row r="2960" spans="1:21">
      <c r="A2960" t="str">
        <f>"600508"</f>
        <v>600508</v>
      </c>
      <c r="B2960" t="s">
        <v>5790</v>
      </c>
      <c r="C2960">
        <v>0.39</v>
      </c>
      <c r="D2960">
        <v>10.41</v>
      </c>
      <c r="E2960">
        <v>0.04</v>
      </c>
      <c r="F2960">
        <v>10.4</v>
      </c>
      <c r="G2960">
        <v>10.41</v>
      </c>
      <c r="H2960">
        <v>78611</v>
      </c>
      <c r="I2960">
        <v>1443</v>
      </c>
      <c r="J2960">
        <v>0</v>
      </c>
      <c r="K2960">
        <v>1.09</v>
      </c>
      <c r="L2960">
        <v>8109.88</v>
      </c>
      <c r="M2960" t="s">
        <v>5791</v>
      </c>
      <c r="N2960" t="s">
        <v>390</v>
      </c>
      <c r="O2960">
        <v>10.3</v>
      </c>
      <c r="P2960">
        <v>10.41</v>
      </c>
      <c r="Q2960">
        <v>10.19</v>
      </c>
      <c r="R2960">
        <v>10.37</v>
      </c>
      <c r="S2960">
        <v>9.05</v>
      </c>
      <c r="T2960">
        <v>0.99</v>
      </c>
      <c r="U2960" t="s">
        <v>848</v>
      </c>
    </row>
    <row r="2961" spans="1:21">
      <c r="A2961" t="str">
        <f>"600509"</f>
        <v>600509</v>
      </c>
      <c r="B2961" t="s">
        <v>5792</v>
      </c>
      <c r="C2961">
        <v>1.36</v>
      </c>
      <c r="D2961">
        <v>6.7</v>
      </c>
      <c r="E2961">
        <v>0.09</v>
      </c>
      <c r="F2961">
        <v>6.69</v>
      </c>
      <c r="G2961">
        <v>6.7</v>
      </c>
      <c r="H2961">
        <v>144628</v>
      </c>
      <c r="I2961">
        <v>3669</v>
      </c>
      <c r="J2961">
        <v>-0.88</v>
      </c>
      <c r="K2961">
        <v>1.26</v>
      </c>
      <c r="L2961">
        <v>9570.25</v>
      </c>
      <c r="M2961" t="s">
        <v>5793</v>
      </c>
      <c r="N2961" t="s">
        <v>83</v>
      </c>
      <c r="O2961">
        <v>6.59</v>
      </c>
      <c r="P2961">
        <v>6.76</v>
      </c>
      <c r="Q2961">
        <v>6.51</v>
      </c>
      <c r="R2961">
        <v>6.61</v>
      </c>
      <c r="S2961">
        <v>48.24</v>
      </c>
      <c r="T2961">
        <v>1</v>
      </c>
      <c r="U2961" t="s">
        <v>210</v>
      </c>
    </row>
    <row r="2962" spans="1:21">
      <c r="A2962" t="str">
        <f>"600510"</f>
        <v>600510</v>
      </c>
      <c r="B2962" t="s">
        <v>5794</v>
      </c>
      <c r="C2962">
        <v>0.75</v>
      </c>
      <c r="D2962">
        <v>8.08</v>
      </c>
      <c r="E2962">
        <v>0.06</v>
      </c>
      <c r="F2962">
        <v>8.08</v>
      </c>
      <c r="G2962">
        <v>8.09</v>
      </c>
      <c r="H2962">
        <v>47064</v>
      </c>
      <c r="I2962">
        <v>1352</v>
      </c>
      <c r="J2962">
        <v>0.25</v>
      </c>
      <c r="K2962">
        <v>0.46</v>
      </c>
      <c r="L2962">
        <v>3783.84</v>
      </c>
      <c r="M2962" t="s">
        <v>5795</v>
      </c>
      <c r="N2962" t="s">
        <v>27</v>
      </c>
      <c r="O2962">
        <v>7.98</v>
      </c>
      <c r="P2962">
        <v>8.09</v>
      </c>
      <c r="Q2962">
        <v>7.96</v>
      </c>
      <c r="R2962">
        <v>8.02</v>
      </c>
      <c r="S2962">
        <v>9.85</v>
      </c>
      <c r="T2962">
        <v>0.4</v>
      </c>
      <c r="U2962" t="s">
        <v>102</v>
      </c>
    </row>
    <row r="2963" spans="1:21">
      <c r="A2963" t="str">
        <f>"600511"</f>
        <v>600511</v>
      </c>
      <c r="B2963" t="s">
        <v>5796</v>
      </c>
      <c r="C2963">
        <v>-0.19</v>
      </c>
      <c r="D2963">
        <v>30.81</v>
      </c>
      <c r="E2963">
        <v>-0.06</v>
      </c>
      <c r="F2963">
        <v>30.8</v>
      </c>
      <c r="G2963">
        <v>30.81</v>
      </c>
      <c r="H2963">
        <v>57078</v>
      </c>
      <c r="I2963">
        <v>747</v>
      </c>
      <c r="J2963">
        <v>0.03</v>
      </c>
      <c r="K2963">
        <v>1.03</v>
      </c>
      <c r="L2963">
        <v>17516.53</v>
      </c>
      <c r="M2963" t="s">
        <v>5797</v>
      </c>
      <c r="N2963" t="s">
        <v>86</v>
      </c>
      <c r="O2963">
        <v>30.8</v>
      </c>
      <c r="P2963">
        <v>30.95</v>
      </c>
      <c r="Q2963">
        <v>30.43</v>
      </c>
      <c r="R2963">
        <v>30.87</v>
      </c>
      <c r="S2963">
        <v>13.39</v>
      </c>
      <c r="T2963">
        <v>0.69</v>
      </c>
      <c r="U2963" t="s">
        <v>44</v>
      </c>
    </row>
    <row r="2964" spans="1:21">
      <c r="A2964" t="str">
        <f>"600512"</f>
        <v>600512</v>
      </c>
      <c r="B2964" t="s">
        <v>5798</v>
      </c>
      <c r="C2964">
        <v>0.99</v>
      </c>
      <c r="D2964">
        <v>3.07</v>
      </c>
      <c r="E2964">
        <v>0.03</v>
      </c>
      <c r="F2964">
        <v>3.06</v>
      </c>
      <c r="G2964">
        <v>3.07</v>
      </c>
      <c r="H2964">
        <v>129004</v>
      </c>
      <c r="I2964">
        <v>3573</v>
      </c>
      <c r="J2964">
        <v>0.33</v>
      </c>
      <c r="K2964">
        <v>0.81</v>
      </c>
      <c r="L2964">
        <v>3926.78</v>
      </c>
      <c r="M2964" t="s">
        <v>5799</v>
      </c>
      <c r="N2964" t="s">
        <v>50</v>
      </c>
      <c r="O2964">
        <v>3.04</v>
      </c>
      <c r="P2964">
        <v>3.07</v>
      </c>
      <c r="Q2964">
        <v>3.01</v>
      </c>
      <c r="R2964">
        <v>3.04</v>
      </c>
      <c r="S2964">
        <v>4.69</v>
      </c>
      <c r="T2964">
        <v>0.68</v>
      </c>
      <c r="U2964" t="s">
        <v>200</v>
      </c>
    </row>
    <row r="2965" spans="1:21">
      <c r="A2965" t="str">
        <f>"600513"</f>
        <v>600513</v>
      </c>
      <c r="B2965" t="s">
        <v>5800</v>
      </c>
      <c r="C2965">
        <v>0.82</v>
      </c>
      <c r="D2965">
        <v>8.62</v>
      </c>
      <c r="E2965">
        <v>0.07</v>
      </c>
      <c r="F2965">
        <v>8.61</v>
      </c>
      <c r="G2965">
        <v>8.63</v>
      </c>
      <c r="H2965">
        <v>17012</v>
      </c>
      <c r="I2965">
        <v>152</v>
      </c>
      <c r="J2965">
        <v>0.12</v>
      </c>
      <c r="K2965">
        <v>0.6</v>
      </c>
      <c r="L2965">
        <v>1458.28</v>
      </c>
      <c r="M2965" t="s">
        <v>5801</v>
      </c>
      <c r="N2965" t="s">
        <v>192</v>
      </c>
      <c r="O2965">
        <v>8.56</v>
      </c>
      <c r="P2965">
        <v>8.63</v>
      </c>
      <c r="Q2965">
        <v>8.5</v>
      </c>
      <c r="R2965">
        <v>8.55</v>
      </c>
      <c r="S2965">
        <v>21.66</v>
      </c>
      <c r="T2965">
        <v>0.73</v>
      </c>
      <c r="U2965" t="s">
        <v>102</v>
      </c>
    </row>
    <row r="2966" spans="1:21">
      <c r="A2966" t="str">
        <f>"600515"</f>
        <v>600515</v>
      </c>
      <c r="B2966" t="s">
        <v>5802</v>
      </c>
      <c r="C2966">
        <v>0.36</v>
      </c>
      <c r="D2966">
        <v>8.27</v>
      </c>
      <c r="E2966">
        <v>0.03</v>
      </c>
      <c r="F2966">
        <v>8.27</v>
      </c>
      <c r="G2966">
        <v>8.28</v>
      </c>
      <c r="H2966">
        <v>96106</v>
      </c>
      <c r="I2966">
        <v>443</v>
      </c>
      <c r="J2966">
        <v>0</v>
      </c>
      <c r="K2966">
        <v>0.58</v>
      </c>
      <c r="L2966">
        <v>7935.12</v>
      </c>
      <c r="M2966" t="s">
        <v>5803</v>
      </c>
      <c r="N2966" t="s">
        <v>27</v>
      </c>
      <c r="O2966">
        <v>8.25</v>
      </c>
      <c r="P2966">
        <v>8.38</v>
      </c>
      <c r="Q2966">
        <v>8.09</v>
      </c>
      <c r="R2966">
        <v>8.24</v>
      </c>
      <c r="S2966">
        <v>66.83</v>
      </c>
      <c r="T2966">
        <v>0.63</v>
      </c>
      <c r="U2966" t="s">
        <v>294</v>
      </c>
    </row>
    <row r="2967" spans="1:21">
      <c r="A2967" t="str">
        <f>"600516"</f>
        <v>600516</v>
      </c>
      <c r="B2967" t="s">
        <v>5804</v>
      </c>
      <c r="C2967">
        <v>3.8</v>
      </c>
      <c r="D2967">
        <v>10.65</v>
      </c>
      <c r="E2967">
        <v>0.39</v>
      </c>
      <c r="F2967">
        <v>10.64</v>
      </c>
      <c r="G2967">
        <v>10.65</v>
      </c>
      <c r="H2967">
        <v>1212425</v>
      </c>
      <c r="I2967">
        <v>9556</v>
      </c>
      <c r="J2967">
        <v>0.09</v>
      </c>
      <c r="K2967">
        <v>3.19</v>
      </c>
      <c r="L2967">
        <v>127893.48</v>
      </c>
      <c r="M2967" t="s">
        <v>5805</v>
      </c>
      <c r="N2967" t="s">
        <v>750</v>
      </c>
      <c r="O2967">
        <v>10.39</v>
      </c>
      <c r="P2967">
        <v>10.77</v>
      </c>
      <c r="Q2967">
        <v>10.26</v>
      </c>
      <c r="R2967">
        <v>10.26</v>
      </c>
      <c r="S2967">
        <v>34.81</v>
      </c>
      <c r="T2967">
        <v>1.86</v>
      </c>
      <c r="U2967" t="s">
        <v>391</v>
      </c>
    </row>
    <row r="2968" spans="1:21">
      <c r="A2968" t="str">
        <f>"600517"</f>
        <v>600517</v>
      </c>
      <c r="B2968" t="s">
        <v>5806</v>
      </c>
      <c r="C2968">
        <v>1.03</v>
      </c>
      <c r="D2968">
        <v>6.88</v>
      </c>
      <c r="E2968">
        <v>0.07</v>
      </c>
      <c r="F2968">
        <v>6.88</v>
      </c>
      <c r="G2968">
        <v>6.89</v>
      </c>
      <c r="H2968">
        <v>242896</v>
      </c>
      <c r="I2968">
        <v>4560</v>
      </c>
      <c r="J2968">
        <v>0</v>
      </c>
      <c r="K2968">
        <v>1.28</v>
      </c>
      <c r="L2968">
        <v>16654.64</v>
      </c>
      <c r="M2968" t="s">
        <v>5807</v>
      </c>
      <c r="N2968" t="s">
        <v>121</v>
      </c>
      <c r="O2968">
        <v>6.8</v>
      </c>
      <c r="P2968">
        <v>6.91</v>
      </c>
      <c r="Q2968">
        <v>6.79</v>
      </c>
      <c r="R2968">
        <v>6.81</v>
      </c>
      <c r="S2968">
        <v>30.07</v>
      </c>
      <c r="T2968">
        <v>0.95</v>
      </c>
      <c r="U2968" t="s">
        <v>848</v>
      </c>
    </row>
    <row r="2969" spans="1:21">
      <c r="A2969" t="str">
        <f>"600518"</f>
        <v>600518</v>
      </c>
      <c r="B2969" t="s">
        <v>5808</v>
      </c>
      <c r="C2969">
        <v>-0.7</v>
      </c>
      <c r="D2969">
        <v>4.23</v>
      </c>
      <c r="E2969">
        <v>-0.03</v>
      </c>
      <c r="F2969">
        <v>4.23</v>
      </c>
      <c r="G2969">
        <v>4.24</v>
      </c>
      <c r="H2969">
        <v>299487</v>
      </c>
      <c r="I2969">
        <v>7781</v>
      </c>
      <c r="J2969">
        <v>0.24</v>
      </c>
      <c r="K2969">
        <v>0.68</v>
      </c>
      <c r="L2969">
        <v>12675.4</v>
      </c>
      <c r="M2969" t="s">
        <v>5809</v>
      </c>
      <c r="N2969" t="s">
        <v>270</v>
      </c>
      <c r="O2969">
        <v>4.26</v>
      </c>
      <c r="P2969">
        <v>4.29</v>
      </c>
      <c r="Q2969">
        <v>4.18</v>
      </c>
      <c r="R2969">
        <v>4.26</v>
      </c>
      <c r="S2969" t="s">
        <v>40</v>
      </c>
      <c r="T2969">
        <v>0.51</v>
      </c>
      <c r="U2969" t="s">
        <v>183</v>
      </c>
    </row>
    <row r="2970" spans="1:21">
      <c r="A2970" t="str">
        <f>"600519"</f>
        <v>600519</v>
      </c>
      <c r="B2970" t="s">
        <v>5810</v>
      </c>
      <c r="C2970">
        <v>2.03</v>
      </c>
      <c r="D2970">
        <v>1828.41</v>
      </c>
      <c r="E2970">
        <v>36.41</v>
      </c>
      <c r="F2970">
        <v>1828.4</v>
      </c>
      <c r="G2970">
        <v>1828.41</v>
      </c>
      <c r="H2970">
        <v>31156</v>
      </c>
      <c r="I2970">
        <v>266</v>
      </c>
      <c r="J2970">
        <v>0</v>
      </c>
      <c r="K2970">
        <v>0.25</v>
      </c>
      <c r="L2970">
        <v>569988.4</v>
      </c>
      <c r="M2970" t="s">
        <v>5811</v>
      </c>
      <c r="N2970" t="s">
        <v>423</v>
      </c>
      <c r="O2970">
        <v>1794.19</v>
      </c>
      <c r="P2970">
        <v>1849</v>
      </c>
      <c r="Q2970">
        <v>1788.2</v>
      </c>
      <c r="R2970">
        <v>1792</v>
      </c>
      <c r="S2970">
        <v>46.23</v>
      </c>
      <c r="T2970">
        <v>1.3</v>
      </c>
      <c r="U2970" t="s">
        <v>368</v>
      </c>
    </row>
    <row r="2971" spans="1:21">
      <c r="A2971" t="str">
        <f>"600520"</f>
        <v>600520</v>
      </c>
      <c r="B2971" t="s">
        <v>5812</v>
      </c>
      <c r="C2971">
        <v>2.13</v>
      </c>
      <c r="D2971">
        <v>8.64</v>
      </c>
      <c r="E2971">
        <v>0.18</v>
      </c>
      <c r="F2971">
        <v>8.64</v>
      </c>
      <c r="G2971">
        <v>8.65</v>
      </c>
      <c r="H2971">
        <v>27276</v>
      </c>
      <c r="I2971">
        <v>148</v>
      </c>
      <c r="J2971">
        <v>0.12</v>
      </c>
      <c r="K2971">
        <v>1.72</v>
      </c>
      <c r="L2971">
        <v>2354.26</v>
      </c>
      <c r="M2971" t="s">
        <v>5813</v>
      </c>
      <c r="N2971" t="s">
        <v>347</v>
      </c>
      <c r="O2971">
        <v>8.46</v>
      </c>
      <c r="P2971">
        <v>8.71</v>
      </c>
      <c r="Q2971">
        <v>8.46</v>
      </c>
      <c r="R2971">
        <v>8.46</v>
      </c>
      <c r="S2971" t="s">
        <v>40</v>
      </c>
      <c r="T2971">
        <v>0.92</v>
      </c>
      <c r="U2971" t="s">
        <v>193</v>
      </c>
    </row>
    <row r="2972" spans="1:21">
      <c r="A2972" t="str">
        <f>"600521"</f>
        <v>600521</v>
      </c>
      <c r="B2972" t="s">
        <v>5814</v>
      </c>
      <c r="C2972">
        <v>-3.25</v>
      </c>
      <c r="D2972">
        <v>20.82</v>
      </c>
      <c r="E2972">
        <v>-0.7</v>
      </c>
      <c r="F2972">
        <v>20.81</v>
      </c>
      <c r="G2972">
        <v>20.82</v>
      </c>
      <c r="H2972">
        <v>234337</v>
      </c>
      <c r="I2972">
        <v>1530</v>
      </c>
      <c r="J2972">
        <v>0</v>
      </c>
      <c r="K2972">
        <v>1.61</v>
      </c>
      <c r="L2972">
        <v>48841.16</v>
      </c>
      <c r="M2972" t="s">
        <v>5815</v>
      </c>
      <c r="N2972" t="s">
        <v>192</v>
      </c>
      <c r="O2972">
        <v>21.22</v>
      </c>
      <c r="P2972">
        <v>21.33</v>
      </c>
      <c r="Q2972">
        <v>20.5</v>
      </c>
      <c r="R2972">
        <v>21.52</v>
      </c>
      <c r="S2972">
        <v>39.51</v>
      </c>
      <c r="T2972">
        <v>1.14</v>
      </c>
      <c r="U2972" t="s">
        <v>200</v>
      </c>
    </row>
    <row r="2973" spans="1:21">
      <c r="A2973" t="str">
        <f>"600522"</f>
        <v>600522</v>
      </c>
      <c r="B2973" t="s">
        <v>5816</v>
      </c>
      <c r="C2973">
        <v>-0.27</v>
      </c>
      <c r="D2973">
        <v>18.5</v>
      </c>
      <c r="E2973">
        <v>-0.05</v>
      </c>
      <c r="F2973">
        <v>18.49</v>
      </c>
      <c r="G2973">
        <v>18.5</v>
      </c>
      <c r="H2973">
        <v>1788332</v>
      </c>
      <c r="I2973">
        <v>23127</v>
      </c>
      <c r="J2973">
        <v>0.11</v>
      </c>
      <c r="K2973">
        <v>5.83</v>
      </c>
      <c r="L2973">
        <v>328533.07</v>
      </c>
      <c r="M2973" t="s">
        <v>5817</v>
      </c>
      <c r="N2973" t="s">
        <v>153</v>
      </c>
      <c r="O2973">
        <v>18.39</v>
      </c>
      <c r="P2973">
        <v>19</v>
      </c>
      <c r="Q2973">
        <v>17.85</v>
      </c>
      <c r="R2973">
        <v>18.55</v>
      </c>
      <c r="S2973">
        <v>87.23</v>
      </c>
      <c r="T2973">
        <v>0.71</v>
      </c>
      <c r="U2973" t="s">
        <v>102</v>
      </c>
    </row>
    <row r="2974" spans="1:21">
      <c r="A2974" t="str">
        <f>"600523"</f>
        <v>600523</v>
      </c>
      <c r="B2974" t="s">
        <v>5818</v>
      </c>
      <c r="C2974">
        <v>2.54</v>
      </c>
      <c r="D2974">
        <v>21.02</v>
      </c>
      <c r="E2974">
        <v>0.52</v>
      </c>
      <c r="F2974">
        <v>21.02</v>
      </c>
      <c r="G2974">
        <v>21.03</v>
      </c>
      <c r="H2974">
        <v>239289</v>
      </c>
      <c r="I2974">
        <v>1605</v>
      </c>
      <c r="J2974">
        <v>0.24</v>
      </c>
      <c r="K2974">
        <v>5.92</v>
      </c>
      <c r="L2974">
        <v>50931.05</v>
      </c>
      <c r="M2974" t="s">
        <v>5819</v>
      </c>
      <c r="N2974" t="s">
        <v>91</v>
      </c>
      <c r="O2974">
        <v>20.2</v>
      </c>
      <c r="P2974">
        <v>21.88</v>
      </c>
      <c r="Q2974">
        <v>20.2</v>
      </c>
      <c r="R2974">
        <v>20.5</v>
      </c>
      <c r="S2974">
        <v>49.42</v>
      </c>
      <c r="T2974">
        <v>1.1</v>
      </c>
      <c r="U2974" t="s">
        <v>368</v>
      </c>
    </row>
    <row r="2975" spans="1:21">
      <c r="A2975" t="str">
        <f>"600525"</f>
        <v>600525</v>
      </c>
      <c r="B2975" t="s">
        <v>5820</v>
      </c>
      <c r="C2975">
        <v>0.61</v>
      </c>
      <c r="D2975">
        <v>6.56</v>
      </c>
      <c r="E2975">
        <v>0.04</v>
      </c>
      <c r="F2975">
        <v>6.55</v>
      </c>
      <c r="G2975">
        <v>6.56</v>
      </c>
      <c r="H2975">
        <v>125703</v>
      </c>
      <c r="I2975">
        <v>2686</v>
      </c>
      <c r="J2975">
        <v>0.15</v>
      </c>
      <c r="K2975">
        <v>0.96</v>
      </c>
      <c r="L2975">
        <v>8176.78</v>
      </c>
      <c r="M2975" t="s">
        <v>5821</v>
      </c>
      <c r="N2975" t="s">
        <v>47</v>
      </c>
      <c r="O2975">
        <v>6.53</v>
      </c>
      <c r="P2975">
        <v>6.58</v>
      </c>
      <c r="Q2975">
        <v>6.42</v>
      </c>
      <c r="R2975">
        <v>6.52</v>
      </c>
      <c r="S2975" t="s">
        <v>40</v>
      </c>
      <c r="T2975">
        <v>0.75</v>
      </c>
      <c r="U2975" t="s">
        <v>24</v>
      </c>
    </row>
    <row r="2976" spans="1:21">
      <c r="A2976" t="str">
        <f>"600526"</f>
        <v>600526</v>
      </c>
      <c r="B2976" t="s">
        <v>5822</v>
      </c>
      <c r="C2976">
        <v>-0.17</v>
      </c>
      <c r="D2976">
        <v>5.86</v>
      </c>
      <c r="E2976">
        <v>-0.01</v>
      </c>
      <c r="F2976">
        <v>5.85</v>
      </c>
      <c r="G2976">
        <v>5.86</v>
      </c>
      <c r="H2976">
        <v>73123</v>
      </c>
      <c r="I2976">
        <v>790</v>
      </c>
      <c r="J2976">
        <v>0</v>
      </c>
      <c r="K2976">
        <v>1.34</v>
      </c>
      <c r="L2976">
        <v>4274.99</v>
      </c>
      <c r="M2976" t="s">
        <v>5823</v>
      </c>
      <c r="N2976" t="s">
        <v>33</v>
      </c>
      <c r="O2976">
        <v>5.78</v>
      </c>
      <c r="P2976">
        <v>5.92</v>
      </c>
      <c r="Q2976">
        <v>5.78</v>
      </c>
      <c r="R2976">
        <v>5.87</v>
      </c>
      <c r="S2976">
        <v>65.21</v>
      </c>
      <c r="T2976">
        <v>0.78</v>
      </c>
      <c r="U2976" t="s">
        <v>200</v>
      </c>
    </row>
    <row r="2977" spans="1:21">
      <c r="A2977" t="str">
        <f>"600527"</f>
        <v>600527</v>
      </c>
      <c r="B2977" t="s">
        <v>5824</v>
      </c>
      <c r="C2977">
        <v>0</v>
      </c>
      <c r="D2977">
        <v>2.18</v>
      </c>
      <c r="E2977">
        <v>0</v>
      </c>
      <c r="F2977">
        <v>2.18</v>
      </c>
      <c r="G2977">
        <v>2.19</v>
      </c>
      <c r="H2977">
        <v>101202</v>
      </c>
      <c r="I2977">
        <v>2970</v>
      </c>
      <c r="J2977">
        <v>0</v>
      </c>
      <c r="K2977">
        <v>0.58</v>
      </c>
      <c r="L2977">
        <v>2201.76</v>
      </c>
      <c r="M2977" t="s">
        <v>5825</v>
      </c>
      <c r="N2977" t="s">
        <v>216</v>
      </c>
      <c r="O2977">
        <v>2.18</v>
      </c>
      <c r="P2977">
        <v>2.19</v>
      </c>
      <c r="Q2977">
        <v>2.16</v>
      </c>
      <c r="R2977">
        <v>2.18</v>
      </c>
      <c r="S2977">
        <v>40.95</v>
      </c>
      <c r="T2977">
        <v>1.04</v>
      </c>
      <c r="U2977" t="s">
        <v>102</v>
      </c>
    </row>
    <row r="2978" spans="1:21">
      <c r="A2978" t="str">
        <f>"600528"</f>
        <v>600528</v>
      </c>
      <c r="B2978" t="s">
        <v>5826</v>
      </c>
      <c r="C2978">
        <v>0.9</v>
      </c>
      <c r="D2978">
        <v>7.82</v>
      </c>
      <c r="E2978">
        <v>0.07</v>
      </c>
      <c r="F2978">
        <v>7.81</v>
      </c>
      <c r="G2978">
        <v>7.82</v>
      </c>
      <c r="H2978">
        <v>38628</v>
      </c>
      <c r="I2978">
        <v>450</v>
      </c>
      <c r="J2978">
        <v>0</v>
      </c>
      <c r="K2978">
        <v>0.17</v>
      </c>
      <c r="L2978">
        <v>3002.85</v>
      </c>
      <c r="M2978" t="s">
        <v>5827</v>
      </c>
      <c r="N2978" t="s">
        <v>43</v>
      </c>
      <c r="O2978">
        <v>7.75</v>
      </c>
      <c r="P2978">
        <v>7.82</v>
      </c>
      <c r="Q2978">
        <v>7.72</v>
      </c>
      <c r="R2978">
        <v>7.75</v>
      </c>
      <c r="S2978">
        <v>8.85</v>
      </c>
      <c r="T2978">
        <v>1.03</v>
      </c>
      <c r="U2978" t="s">
        <v>44</v>
      </c>
    </row>
    <row r="2979" spans="1:21">
      <c r="A2979" t="str">
        <f>"600529"</f>
        <v>600529</v>
      </c>
      <c r="B2979" t="s">
        <v>5828</v>
      </c>
      <c r="C2979">
        <v>1.88</v>
      </c>
      <c r="D2979">
        <v>40.6</v>
      </c>
      <c r="E2979">
        <v>0.75</v>
      </c>
      <c r="F2979">
        <v>40.6</v>
      </c>
      <c r="G2979">
        <v>40.61</v>
      </c>
      <c r="H2979">
        <v>101272</v>
      </c>
      <c r="I2979">
        <v>688</v>
      </c>
      <c r="J2979">
        <v>-0.01</v>
      </c>
      <c r="K2979">
        <v>1.7</v>
      </c>
      <c r="L2979">
        <v>40932.14</v>
      </c>
      <c r="M2979" t="s">
        <v>5829</v>
      </c>
      <c r="N2979" t="s">
        <v>186</v>
      </c>
      <c r="O2979">
        <v>40.05</v>
      </c>
      <c r="P2979">
        <v>41.27</v>
      </c>
      <c r="Q2979">
        <v>39.72</v>
      </c>
      <c r="R2979">
        <v>39.85</v>
      </c>
      <c r="S2979">
        <v>38.57</v>
      </c>
      <c r="T2979">
        <v>0.93</v>
      </c>
      <c r="U2979" t="s">
        <v>221</v>
      </c>
    </row>
    <row r="2980" spans="1:21">
      <c r="A2980" t="str">
        <f>"600530"</f>
        <v>600530</v>
      </c>
      <c r="B2980" t="s">
        <v>5830</v>
      </c>
      <c r="C2980">
        <v>-0.26</v>
      </c>
      <c r="D2980">
        <v>3.89</v>
      </c>
      <c r="E2980">
        <v>-0.01</v>
      </c>
      <c r="F2980">
        <v>3.89</v>
      </c>
      <c r="G2980">
        <v>3.9</v>
      </c>
      <c r="H2980">
        <v>63529</v>
      </c>
      <c r="I2980">
        <v>451</v>
      </c>
      <c r="J2980">
        <v>-0.25</v>
      </c>
      <c r="K2980">
        <v>0.81</v>
      </c>
      <c r="L2980">
        <v>2455.93</v>
      </c>
      <c r="M2980" t="s">
        <v>5831</v>
      </c>
      <c r="N2980" t="s">
        <v>186</v>
      </c>
      <c r="O2980">
        <v>3.87</v>
      </c>
      <c r="P2980">
        <v>3.92</v>
      </c>
      <c r="Q2980">
        <v>3.81</v>
      </c>
      <c r="R2980">
        <v>3.9</v>
      </c>
      <c r="S2980">
        <v>95.8</v>
      </c>
      <c r="T2980">
        <v>0.51</v>
      </c>
      <c r="U2980" t="s">
        <v>848</v>
      </c>
    </row>
    <row r="2981" spans="1:21">
      <c r="A2981" t="str">
        <f>"600531"</f>
        <v>600531</v>
      </c>
      <c r="B2981" t="s">
        <v>5832</v>
      </c>
      <c r="C2981">
        <v>1.12</v>
      </c>
      <c r="D2981">
        <v>5.44</v>
      </c>
      <c r="E2981">
        <v>0.06</v>
      </c>
      <c r="F2981">
        <v>5.44</v>
      </c>
      <c r="G2981">
        <v>5.45</v>
      </c>
      <c r="H2981">
        <v>160746</v>
      </c>
      <c r="I2981">
        <v>2825</v>
      </c>
      <c r="J2981">
        <v>-0.17</v>
      </c>
      <c r="K2981">
        <v>1.47</v>
      </c>
      <c r="L2981">
        <v>8690.43</v>
      </c>
      <c r="M2981" t="s">
        <v>3825</v>
      </c>
      <c r="N2981" t="s">
        <v>144</v>
      </c>
      <c r="O2981">
        <v>5.36</v>
      </c>
      <c r="P2981">
        <v>5.45</v>
      </c>
      <c r="Q2981">
        <v>5.33</v>
      </c>
      <c r="R2981">
        <v>5.38</v>
      </c>
      <c r="S2981">
        <v>15.04</v>
      </c>
      <c r="T2981">
        <v>1.16</v>
      </c>
      <c r="U2981" t="s">
        <v>224</v>
      </c>
    </row>
    <row r="2982" spans="1:21">
      <c r="A2982" t="str">
        <f>"600532"</f>
        <v>600532</v>
      </c>
      <c r="B2982" t="s">
        <v>5833</v>
      </c>
      <c r="C2982">
        <v>-1.52</v>
      </c>
      <c r="D2982">
        <v>17.53</v>
      </c>
      <c r="E2982">
        <v>-0.27</v>
      </c>
      <c r="F2982">
        <v>17.5</v>
      </c>
      <c r="G2982">
        <v>17.53</v>
      </c>
      <c r="H2982">
        <v>14038</v>
      </c>
      <c r="I2982">
        <v>714</v>
      </c>
      <c r="J2982">
        <v>0.06</v>
      </c>
      <c r="K2982">
        <v>0.27</v>
      </c>
      <c r="L2982">
        <v>2464.35</v>
      </c>
      <c r="M2982" t="s">
        <v>5834</v>
      </c>
      <c r="N2982" t="s">
        <v>186</v>
      </c>
      <c r="O2982">
        <v>17.68</v>
      </c>
      <c r="P2982">
        <v>17.7</v>
      </c>
      <c r="Q2982">
        <v>17.43</v>
      </c>
      <c r="R2982">
        <v>17.8</v>
      </c>
      <c r="S2982" t="s">
        <v>40</v>
      </c>
      <c r="T2982">
        <v>0.39</v>
      </c>
      <c r="U2982" t="s">
        <v>848</v>
      </c>
    </row>
    <row r="2983" spans="1:21">
      <c r="A2983" t="str">
        <f>"600533"</f>
        <v>600533</v>
      </c>
      <c r="B2983" t="s">
        <v>5835</v>
      </c>
      <c r="C2983">
        <v>1.06</v>
      </c>
      <c r="D2983">
        <v>2.87</v>
      </c>
      <c r="E2983">
        <v>0.03</v>
      </c>
      <c r="F2983">
        <v>2.87</v>
      </c>
      <c r="G2983">
        <v>2.88</v>
      </c>
      <c r="H2983">
        <v>59501</v>
      </c>
      <c r="I2983">
        <v>3121</v>
      </c>
      <c r="J2983">
        <v>0</v>
      </c>
      <c r="K2983">
        <v>0.57</v>
      </c>
      <c r="L2983">
        <v>1697.37</v>
      </c>
      <c r="M2983" t="s">
        <v>5836</v>
      </c>
      <c r="N2983" t="s">
        <v>36</v>
      </c>
      <c r="O2983">
        <v>2.84</v>
      </c>
      <c r="P2983">
        <v>2.88</v>
      </c>
      <c r="Q2983">
        <v>2.82</v>
      </c>
      <c r="R2983">
        <v>2.84</v>
      </c>
      <c r="S2983">
        <v>6.4</v>
      </c>
      <c r="T2983">
        <v>1.1</v>
      </c>
      <c r="U2983" t="s">
        <v>102</v>
      </c>
    </row>
    <row r="2984" spans="1:21">
      <c r="A2984" t="str">
        <f>"600535"</f>
        <v>600535</v>
      </c>
      <c r="B2984" t="s">
        <v>5837</v>
      </c>
      <c r="C2984">
        <v>0.45</v>
      </c>
      <c r="D2984">
        <v>13.27</v>
      </c>
      <c r="E2984">
        <v>0.06</v>
      </c>
      <c r="F2984">
        <v>13.27</v>
      </c>
      <c r="G2984">
        <v>13.28</v>
      </c>
      <c r="H2984">
        <v>45822</v>
      </c>
      <c r="I2984">
        <v>355</v>
      </c>
      <c r="J2984">
        <v>0</v>
      </c>
      <c r="K2984">
        <v>0.3</v>
      </c>
      <c r="L2984">
        <v>6060.09</v>
      </c>
      <c r="M2984" t="s">
        <v>5838</v>
      </c>
      <c r="N2984" t="s">
        <v>270</v>
      </c>
      <c r="O2984">
        <v>13.2</v>
      </c>
      <c r="P2984">
        <v>13.3</v>
      </c>
      <c r="Q2984">
        <v>13.17</v>
      </c>
      <c r="R2984">
        <v>13.21</v>
      </c>
      <c r="S2984">
        <v>10.17</v>
      </c>
      <c r="T2984">
        <v>0.73</v>
      </c>
      <c r="U2984" t="s">
        <v>360</v>
      </c>
    </row>
    <row r="2985" spans="1:21">
      <c r="A2985" t="str">
        <f>"600536"</f>
        <v>600536</v>
      </c>
      <c r="B2985" t="s">
        <v>5839</v>
      </c>
      <c r="C2985">
        <v>0.6</v>
      </c>
      <c r="D2985">
        <v>52.21</v>
      </c>
      <c r="E2985">
        <v>0.31</v>
      </c>
      <c r="F2985">
        <v>52.21</v>
      </c>
      <c r="G2985">
        <v>52.22</v>
      </c>
      <c r="H2985">
        <v>71451</v>
      </c>
      <c r="I2985">
        <v>848</v>
      </c>
      <c r="J2985">
        <v>-0.07</v>
      </c>
      <c r="K2985">
        <v>1.44</v>
      </c>
      <c r="L2985">
        <v>37191.43</v>
      </c>
      <c r="M2985" t="s">
        <v>5840</v>
      </c>
      <c r="N2985" t="s">
        <v>30</v>
      </c>
      <c r="O2985">
        <v>51.41</v>
      </c>
      <c r="P2985">
        <v>52.46</v>
      </c>
      <c r="Q2985">
        <v>51.41</v>
      </c>
      <c r="R2985">
        <v>51.9</v>
      </c>
      <c r="S2985" t="s">
        <v>40</v>
      </c>
      <c r="T2985">
        <v>0.88</v>
      </c>
      <c r="U2985" t="s">
        <v>44</v>
      </c>
    </row>
    <row r="2986" spans="1:21">
      <c r="A2986" t="str">
        <f>"600537"</f>
        <v>600537</v>
      </c>
      <c r="B2986" t="s">
        <v>5841</v>
      </c>
      <c r="C2986">
        <v>2.56</v>
      </c>
      <c r="D2986">
        <v>5.2</v>
      </c>
      <c r="E2986">
        <v>0.13</v>
      </c>
      <c r="F2986">
        <v>5.19</v>
      </c>
      <c r="G2986">
        <v>5.2</v>
      </c>
      <c r="H2986">
        <v>229457</v>
      </c>
      <c r="I2986">
        <v>3138</v>
      </c>
      <c r="J2986">
        <v>0.19</v>
      </c>
      <c r="K2986">
        <v>1.95</v>
      </c>
      <c r="L2986">
        <v>11866.39</v>
      </c>
      <c r="M2986" t="s">
        <v>893</v>
      </c>
      <c r="N2986" t="s">
        <v>47</v>
      </c>
      <c r="O2986">
        <v>5.07</v>
      </c>
      <c r="P2986">
        <v>5.22</v>
      </c>
      <c r="Q2986">
        <v>5.05</v>
      </c>
      <c r="R2986">
        <v>5.07</v>
      </c>
      <c r="S2986" t="s">
        <v>40</v>
      </c>
      <c r="T2986">
        <v>1.1</v>
      </c>
      <c r="U2986" t="s">
        <v>200</v>
      </c>
    </row>
    <row r="2987" spans="1:21">
      <c r="A2987" t="str">
        <f>"600538"</f>
        <v>600538</v>
      </c>
      <c r="B2987" t="s">
        <v>5842</v>
      </c>
      <c r="C2987">
        <v>0.1</v>
      </c>
      <c r="D2987">
        <v>10.14</v>
      </c>
      <c r="E2987">
        <v>0.01</v>
      </c>
      <c r="F2987">
        <v>10.13</v>
      </c>
      <c r="G2987">
        <v>10.14</v>
      </c>
      <c r="H2987">
        <v>56842</v>
      </c>
      <c r="I2987">
        <v>4951</v>
      </c>
      <c r="J2987">
        <v>-0.28</v>
      </c>
      <c r="K2987">
        <v>1.22</v>
      </c>
      <c r="L2987">
        <v>5732.03</v>
      </c>
      <c r="M2987" t="s">
        <v>296</v>
      </c>
      <c r="N2987" t="s">
        <v>86</v>
      </c>
      <c r="O2987">
        <v>10.15</v>
      </c>
      <c r="P2987">
        <v>10.21</v>
      </c>
      <c r="Q2987">
        <v>10</v>
      </c>
      <c r="R2987">
        <v>10.13</v>
      </c>
      <c r="S2987">
        <v>510.82</v>
      </c>
      <c r="T2987">
        <v>0.66</v>
      </c>
      <c r="U2987" t="s">
        <v>342</v>
      </c>
    </row>
    <row r="2988" spans="1:21">
      <c r="A2988" t="str">
        <f>"600539"</f>
        <v>600539</v>
      </c>
      <c r="B2988" t="s">
        <v>5843</v>
      </c>
      <c r="C2988">
        <v>0.6</v>
      </c>
      <c r="D2988">
        <v>6.72</v>
      </c>
      <c r="E2988">
        <v>0.04</v>
      </c>
      <c r="F2988">
        <v>6.72</v>
      </c>
      <c r="G2988">
        <v>6.73</v>
      </c>
      <c r="H2988">
        <v>6986</v>
      </c>
      <c r="I2988">
        <v>225</v>
      </c>
      <c r="J2988">
        <v>0</v>
      </c>
      <c r="K2988">
        <v>0.3</v>
      </c>
      <c r="L2988">
        <v>469.55</v>
      </c>
      <c r="M2988" t="s">
        <v>5844</v>
      </c>
      <c r="N2988" t="s">
        <v>479</v>
      </c>
      <c r="O2988">
        <v>6.68</v>
      </c>
      <c r="P2988">
        <v>6.78</v>
      </c>
      <c r="Q2988">
        <v>6.63</v>
      </c>
      <c r="R2988">
        <v>6.68</v>
      </c>
      <c r="S2988">
        <v>107.34</v>
      </c>
      <c r="T2988">
        <v>0.54</v>
      </c>
      <c r="U2988" t="s">
        <v>232</v>
      </c>
    </row>
    <row r="2989" spans="1:21">
      <c r="A2989" t="str">
        <f>"600540"</f>
        <v>600540</v>
      </c>
      <c r="B2989" t="s">
        <v>5845</v>
      </c>
      <c r="C2989">
        <v>0</v>
      </c>
      <c r="D2989">
        <v>5.6</v>
      </c>
      <c r="E2989">
        <v>0</v>
      </c>
      <c r="F2989">
        <v>5.6</v>
      </c>
      <c r="G2989">
        <v>5.61</v>
      </c>
      <c r="H2989">
        <v>167733</v>
      </c>
      <c r="I2989">
        <v>2672</v>
      </c>
      <c r="J2989">
        <v>-0.17</v>
      </c>
      <c r="K2989">
        <v>3.56</v>
      </c>
      <c r="L2989">
        <v>9322.31</v>
      </c>
      <c r="M2989" t="s">
        <v>4006</v>
      </c>
      <c r="N2989" t="s">
        <v>639</v>
      </c>
      <c r="O2989">
        <v>5.53</v>
      </c>
      <c r="P2989">
        <v>5.62</v>
      </c>
      <c r="Q2989">
        <v>5.5</v>
      </c>
      <c r="R2989">
        <v>5.6</v>
      </c>
      <c r="S2989">
        <v>336.12</v>
      </c>
      <c r="T2989">
        <v>0.7</v>
      </c>
      <c r="U2989" t="s">
        <v>210</v>
      </c>
    </row>
    <row r="2990" spans="1:21">
      <c r="A2990" t="str">
        <f>"600543"</f>
        <v>600543</v>
      </c>
      <c r="B2990" t="s">
        <v>5846</v>
      </c>
      <c r="C2990">
        <v>0.3</v>
      </c>
      <c r="D2990">
        <v>6.64</v>
      </c>
      <c r="E2990">
        <v>0.02</v>
      </c>
      <c r="F2990">
        <v>6.63</v>
      </c>
      <c r="G2990">
        <v>6.64</v>
      </c>
      <c r="H2990">
        <v>24322</v>
      </c>
      <c r="I2990">
        <v>215</v>
      </c>
      <c r="J2990">
        <v>-0.14</v>
      </c>
      <c r="K2990">
        <v>0.76</v>
      </c>
      <c r="L2990">
        <v>1615.46</v>
      </c>
      <c r="M2990" t="s">
        <v>5847</v>
      </c>
      <c r="N2990" t="s">
        <v>853</v>
      </c>
      <c r="O2990">
        <v>6.62</v>
      </c>
      <c r="P2990">
        <v>6.68</v>
      </c>
      <c r="Q2990">
        <v>6.61</v>
      </c>
      <c r="R2990">
        <v>6.62</v>
      </c>
      <c r="S2990" t="s">
        <v>40</v>
      </c>
      <c r="T2990">
        <v>0.6</v>
      </c>
      <c r="U2990" t="s">
        <v>391</v>
      </c>
    </row>
    <row r="2991" spans="1:21">
      <c r="A2991" t="str">
        <f>"600545"</f>
        <v>600545</v>
      </c>
      <c r="B2991" t="s">
        <v>5848</v>
      </c>
      <c r="C2991">
        <v>2.2</v>
      </c>
      <c r="D2991">
        <v>2.79</v>
      </c>
      <c r="E2991">
        <v>0.06</v>
      </c>
      <c r="F2991">
        <v>2.79</v>
      </c>
      <c r="G2991">
        <v>2.8</v>
      </c>
      <c r="H2991">
        <v>89462</v>
      </c>
      <c r="I2991">
        <v>2625</v>
      </c>
      <c r="J2991">
        <v>0.36</v>
      </c>
      <c r="K2991">
        <v>0.47</v>
      </c>
      <c r="L2991">
        <v>2495.91</v>
      </c>
      <c r="M2991" t="s">
        <v>5849</v>
      </c>
      <c r="N2991" t="s">
        <v>1135</v>
      </c>
      <c r="O2991">
        <v>2.78</v>
      </c>
      <c r="P2991">
        <v>2.84</v>
      </c>
      <c r="Q2991">
        <v>2.75</v>
      </c>
      <c r="R2991">
        <v>2.73</v>
      </c>
      <c r="S2991" t="s">
        <v>40</v>
      </c>
      <c r="T2991">
        <v>2.01</v>
      </c>
      <c r="U2991" t="s">
        <v>210</v>
      </c>
    </row>
    <row r="2992" spans="1:21">
      <c r="A2992" t="str">
        <f>"600546"</f>
        <v>600546</v>
      </c>
      <c r="B2992" t="s">
        <v>5850</v>
      </c>
      <c r="C2992">
        <v>1.37</v>
      </c>
      <c r="D2992">
        <v>8.12</v>
      </c>
      <c r="E2992">
        <v>0.11</v>
      </c>
      <c r="F2992">
        <v>8.12</v>
      </c>
      <c r="G2992">
        <v>8.13</v>
      </c>
      <c r="H2992">
        <v>676339</v>
      </c>
      <c r="I2992">
        <v>8285</v>
      </c>
      <c r="J2992">
        <v>0.12</v>
      </c>
      <c r="K2992">
        <v>3.41</v>
      </c>
      <c r="L2992">
        <v>54213.42</v>
      </c>
      <c r="M2992" t="s">
        <v>5851</v>
      </c>
      <c r="N2992" t="s">
        <v>390</v>
      </c>
      <c r="O2992">
        <v>8</v>
      </c>
      <c r="P2992">
        <v>8.14</v>
      </c>
      <c r="Q2992">
        <v>7.82</v>
      </c>
      <c r="R2992">
        <v>8.01</v>
      </c>
      <c r="S2992">
        <v>6.88</v>
      </c>
      <c r="T2992">
        <v>1.28</v>
      </c>
      <c r="U2992" t="s">
        <v>232</v>
      </c>
    </row>
    <row r="2993" spans="1:21">
      <c r="A2993" t="str">
        <f>"600547"</f>
        <v>600547</v>
      </c>
      <c r="B2993" t="s">
        <v>5852</v>
      </c>
      <c r="C2993">
        <v>0.3</v>
      </c>
      <c r="D2993">
        <v>20.12</v>
      </c>
      <c r="E2993">
        <v>0.06</v>
      </c>
      <c r="F2993">
        <v>20.12</v>
      </c>
      <c r="G2993">
        <v>20.13</v>
      </c>
      <c r="H2993">
        <v>125117</v>
      </c>
      <c r="I2993">
        <v>1890</v>
      </c>
      <c r="J2993">
        <v>0.05</v>
      </c>
      <c r="K2993">
        <v>0.35</v>
      </c>
      <c r="L2993">
        <v>25102</v>
      </c>
      <c r="M2993" t="s">
        <v>5853</v>
      </c>
      <c r="N2993" t="s">
        <v>302</v>
      </c>
      <c r="O2993">
        <v>20</v>
      </c>
      <c r="P2993">
        <v>20.18</v>
      </c>
      <c r="Q2993">
        <v>19.91</v>
      </c>
      <c r="R2993">
        <v>20.06</v>
      </c>
      <c r="S2993" t="s">
        <v>40</v>
      </c>
      <c r="T2993">
        <v>0.59</v>
      </c>
      <c r="U2993" t="s">
        <v>221</v>
      </c>
    </row>
    <row r="2994" spans="1:21">
      <c r="A2994" t="str">
        <f>"600548"</f>
        <v>600548</v>
      </c>
      <c r="B2994" t="s">
        <v>5854</v>
      </c>
      <c r="C2994">
        <v>-0.59</v>
      </c>
      <c r="D2994">
        <v>10.1</v>
      </c>
      <c r="E2994">
        <v>-0.06</v>
      </c>
      <c r="F2994">
        <v>10.1</v>
      </c>
      <c r="G2994">
        <v>10.12</v>
      </c>
      <c r="H2994">
        <v>69701</v>
      </c>
      <c r="I2994">
        <v>1390</v>
      </c>
      <c r="J2994">
        <v>-0.19</v>
      </c>
      <c r="K2994">
        <v>0.49</v>
      </c>
      <c r="L2994">
        <v>7026.83</v>
      </c>
      <c r="M2994" t="s">
        <v>5855</v>
      </c>
      <c r="N2994" t="s">
        <v>280</v>
      </c>
      <c r="O2994">
        <v>10.19</v>
      </c>
      <c r="P2994">
        <v>10.19</v>
      </c>
      <c r="Q2994">
        <v>10</v>
      </c>
      <c r="R2994">
        <v>10.16</v>
      </c>
      <c r="S2994">
        <v>8.57</v>
      </c>
      <c r="T2994">
        <v>1.1</v>
      </c>
      <c r="U2994" t="s">
        <v>24</v>
      </c>
    </row>
    <row r="2995" spans="1:21">
      <c r="A2995" t="str">
        <f>"600549"</f>
        <v>600549</v>
      </c>
      <c r="B2995" t="s">
        <v>5856</v>
      </c>
      <c r="C2995">
        <v>1.78</v>
      </c>
      <c r="D2995">
        <v>22.9</v>
      </c>
      <c r="E2995">
        <v>0.4</v>
      </c>
      <c r="F2995">
        <v>22.88</v>
      </c>
      <c r="G2995">
        <v>22.9</v>
      </c>
      <c r="H2995">
        <v>317482</v>
      </c>
      <c r="I2995">
        <v>7392</v>
      </c>
      <c r="J2995">
        <v>0.39</v>
      </c>
      <c r="K2995">
        <v>2.26</v>
      </c>
      <c r="L2995">
        <v>72261.32</v>
      </c>
      <c r="M2995" t="s">
        <v>5857</v>
      </c>
      <c r="N2995" t="s">
        <v>523</v>
      </c>
      <c r="O2995">
        <v>22.49</v>
      </c>
      <c r="P2995">
        <v>23.06</v>
      </c>
      <c r="Q2995">
        <v>22.39</v>
      </c>
      <c r="R2995">
        <v>22.5</v>
      </c>
      <c r="S2995">
        <v>24.48</v>
      </c>
      <c r="T2995">
        <v>1.17</v>
      </c>
      <c r="U2995" t="s">
        <v>339</v>
      </c>
    </row>
    <row r="2996" spans="1:21">
      <c r="A2996" t="str">
        <f>"600550"</f>
        <v>600550</v>
      </c>
      <c r="B2996" t="s">
        <v>5858</v>
      </c>
      <c r="C2996">
        <v>0.4</v>
      </c>
      <c r="D2996">
        <v>5.06</v>
      </c>
      <c r="E2996">
        <v>0.02</v>
      </c>
      <c r="F2996">
        <v>5.05</v>
      </c>
      <c r="G2996">
        <v>5.06</v>
      </c>
      <c r="H2996">
        <v>165510</v>
      </c>
      <c r="I2996">
        <v>1915</v>
      </c>
      <c r="J2996">
        <v>0.2</v>
      </c>
      <c r="K2996">
        <v>0.9</v>
      </c>
      <c r="L2996">
        <v>8292.71</v>
      </c>
      <c r="M2996" t="s">
        <v>5859</v>
      </c>
      <c r="N2996" t="s">
        <v>47</v>
      </c>
      <c r="O2996">
        <v>5.07</v>
      </c>
      <c r="P2996">
        <v>5.08</v>
      </c>
      <c r="Q2996">
        <v>4.92</v>
      </c>
      <c r="R2996">
        <v>5.04</v>
      </c>
      <c r="S2996">
        <v>499</v>
      </c>
      <c r="T2996">
        <v>0.78</v>
      </c>
      <c r="U2996" t="s">
        <v>207</v>
      </c>
    </row>
    <row r="2997" spans="1:21">
      <c r="A2997" t="str">
        <f>"600551"</f>
        <v>600551</v>
      </c>
      <c r="B2997" t="s">
        <v>5860</v>
      </c>
      <c r="C2997">
        <v>0.42</v>
      </c>
      <c r="D2997">
        <v>7.21</v>
      </c>
      <c r="E2997">
        <v>0.03</v>
      </c>
      <c r="F2997">
        <v>7.2</v>
      </c>
      <c r="G2997">
        <v>7.21</v>
      </c>
      <c r="H2997">
        <v>9983</v>
      </c>
      <c r="I2997">
        <v>380</v>
      </c>
      <c r="J2997">
        <v>0.14</v>
      </c>
      <c r="K2997">
        <v>0.2</v>
      </c>
      <c r="L2997">
        <v>716.4</v>
      </c>
      <c r="M2997" t="s">
        <v>5861</v>
      </c>
      <c r="N2997" t="s">
        <v>650</v>
      </c>
      <c r="O2997">
        <v>7.17</v>
      </c>
      <c r="P2997">
        <v>7.22</v>
      </c>
      <c r="Q2997">
        <v>7.13</v>
      </c>
      <c r="R2997">
        <v>7.18</v>
      </c>
      <c r="S2997">
        <v>9.5</v>
      </c>
      <c r="T2997">
        <v>0.68</v>
      </c>
      <c r="U2997" t="s">
        <v>193</v>
      </c>
    </row>
    <row r="2998" spans="1:21">
      <c r="A2998" t="str">
        <f>"600552"</f>
        <v>600552</v>
      </c>
      <c r="B2998" t="s">
        <v>5862</v>
      </c>
      <c r="C2998">
        <v>-0.57</v>
      </c>
      <c r="D2998">
        <v>10.52</v>
      </c>
      <c r="E2998">
        <v>-0.06</v>
      </c>
      <c r="F2998">
        <v>10.52</v>
      </c>
      <c r="G2998">
        <v>10.53</v>
      </c>
      <c r="H2998">
        <v>622949</v>
      </c>
      <c r="I2998">
        <v>6066</v>
      </c>
      <c r="J2998">
        <v>0</v>
      </c>
      <c r="K2998">
        <v>8.16</v>
      </c>
      <c r="L2998">
        <v>65336.43</v>
      </c>
      <c r="M2998" t="s">
        <v>5863</v>
      </c>
      <c r="N2998" t="s">
        <v>55</v>
      </c>
      <c r="O2998">
        <v>10.75</v>
      </c>
      <c r="P2998">
        <v>10.75</v>
      </c>
      <c r="Q2998">
        <v>10.25</v>
      </c>
      <c r="R2998">
        <v>10.58</v>
      </c>
      <c r="S2998">
        <v>41.91</v>
      </c>
      <c r="T2998">
        <v>1.38</v>
      </c>
      <c r="U2998" t="s">
        <v>193</v>
      </c>
    </row>
    <row r="2999" spans="1:21">
      <c r="A2999" t="str">
        <f>"600555"</f>
        <v>600555</v>
      </c>
      <c r="B2999" t="s">
        <v>5864</v>
      </c>
      <c r="C2999">
        <v>-0.64</v>
      </c>
      <c r="D2999">
        <v>1.55</v>
      </c>
      <c r="E2999">
        <v>-0.01</v>
      </c>
      <c r="F2999">
        <v>1.55</v>
      </c>
      <c r="G2999">
        <v>1.56</v>
      </c>
      <c r="H2999">
        <v>52295</v>
      </c>
      <c r="I2999">
        <v>2073</v>
      </c>
      <c r="J2999">
        <v>-0.63</v>
      </c>
      <c r="K2999">
        <v>0.54</v>
      </c>
      <c r="L2999">
        <v>809.54</v>
      </c>
      <c r="M2999" t="s">
        <v>1749</v>
      </c>
      <c r="N2999" t="s">
        <v>489</v>
      </c>
      <c r="O2999">
        <v>1.56</v>
      </c>
      <c r="P2999">
        <v>1.56</v>
      </c>
      <c r="Q2999">
        <v>1.54</v>
      </c>
      <c r="R2999">
        <v>1.56</v>
      </c>
      <c r="S2999" t="s">
        <v>40</v>
      </c>
      <c r="T2999">
        <v>0.69</v>
      </c>
      <c r="U2999" t="s">
        <v>294</v>
      </c>
    </row>
    <row r="3000" spans="1:21">
      <c r="A3000" t="str">
        <f>"600556"</f>
        <v>600556</v>
      </c>
      <c r="B3000" t="s">
        <v>5865</v>
      </c>
      <c r="C3000">
        <v>9.99</v>
      </c>
      <c r="D3000">
        <v>15.31</v>
      </c>
      <c r="E3000">
        <v>1.39</v>
      </c>
      <c r="F3000">
        <v>15.31</v>
      </c>
      <c r="G3000" t="s">
        <v>40</v>
      </c>
      <c r="H3000">
        <v>1089656</v>
      </c>
      <c r="I3000">
        <v>1026</v>
      </c>
      <c r="J3000">
        <v>0</v>
      </c>
      <c r="K3000">
        <v>22.89</v>
      </c>
      <c r="L3000">
        <v>165447.01</v>
      </c>
      <c r="M3000" t="s">
        <v>5866</v>
      </c>
      <c r="N3000" t="s">
        <v>479</v>
      </c>
      <c r="O3000">
        <v>14.78</v>
      </c>
      <c r="P3000">
        <v>15.31</v>
      </c>
      <c r="Q3000">
        <v>14.6</v>
      </c>
      <c r="R3000">
        <v>13.92</v>
      </c>
      <c r="S3000">
        <v>81.4</v>
      </c>
      <c r="T3000">
        <v>1.39</v>
      </c>
      <c r="U3000" t="s">
        <v>342</v>
      </c>
    </row>
    <row r="3001" spans="1:21">
      <c r="A3001" t="str">
        <f>"600557"</f>
        <v>600557</v>
      </c>
      <c r="B3001" t="s">
        <v>5867</v>
      </c>
      <c r="C3001">
        <v>-1.17</v>
      </c>
      <c r="D3001">
        <v>10.18</v>
      </c>
      <c r="E3001">
        <v>-0.12</v>
      </c>
      <c r="F3001">
        <v>10.18</v>
      </c>
      <c r="G3001">
        <v>10.19</v>
      </c>
      <c r="H3001">
        <v>42864</v>
      </c>
      <c r="I3001">
        <v>444</v>
      </c>
      <c r="J3001">
        <v>0</v>
      </c>
      <c r="K3001">
        <v>0.72</v>
      </c>
      <c r="L3001">
        <v>4370.39</v>
      </c>
      <c r="M3001" t="s">
        <v>5868</v>
      </c>
      <c r="N3001" t="s">
        <v>270</v>
      </c>
      <c r="O3001">
        <v>10.37</v>
      </c>
      <c r="P3001">
        <v>10.37</v>
      </c>
      <c r="Q3001">
        <v>10.13</v>
      </c>
      <c r="R3001">
        <v>10.3</v>
      </c>
      <c r="S3001">
        <v>21.85</v>
      </c>
      <c r="T3001">
        <v>1</v>
      </c>
      <c r="U3001" t="s">
        <v>102</v>
      </c>
    </row>
    <row r="3002" spans="1:21">
      <c r="A3002" t="str">
        <f>"600558"</f>
        <v>600558</v>
      </c>
      <c r="B3002" t="s">
        <v>5869</v>
      </c>
      <c r="C3002">
        <v>0.6</v>
      </c>
      <c r="D3002">
        <v>3.33</v>
      </c>
      <c r="E3002">
        <v>0.02</v>
      </c>
      <c r="F3002">
        <v>3.32</v>
      </c>
      <c r="G3002">
        <v>3.33</v>
      </c>
      <c r="H3002">
        <v>62953</v>
      </c>
      <c r="I3002">
        <v>1352</v>
      </c>
      <c r="J3002">
        <v>-0.29</v>
      </c>
      <c r="K3002">
        <v>0.7</v>
      </c>
      <c r="L3002">
        <v>2087.52</v>
      </c>
      <c r="M3002" t="s">
        <v>3882</v>
      </c>
      <c r="N3002" t="s">
        <v>724</v>
      </c>
      <c r="O3002">
        <v>3.32</v>
      </c>
      <c r="P3002">
        <v>3.34</v>
      </c>
      <c r="Q3002">
        <v>3.28</v>
      </c>
      <c r="R3002">
        <v>3.31</v>
      </c>
      <c r="S3002">
        <v>29.86</v>
      </c>
      <c r="T3002">
        <v>0.98</v>
      </c>
      <c r="U3002" t="s">
        <v>196</v>
      </c>
    </row>
    <row r="3003" spans="1:21">
      <c r="A3003" t="str">
        <f>"600559"</f>
        <v>600559</v>
      </c>
      <c r="B3003" t="s">
        <v>5870</v>
      </c>
      <c r="C3003">
        <v>-0.49</v>
      </c>
      <c r="D3003">
        <v>22.54</v>
      </c>
      <c r="E3003">
        <v>-0.11</v>
      </c>
      <c r="F3003">
        <v>22.54</v>
      </c>
      <c r="G3003">
        <v>22.55</v>
      </c>
      <c r="H3003">
        <v>247140</v>
      </c>
      <c r="I3003">
        <v>1782</v>
      </c>
      <c r="J3003">
        <v>0.13</v>
      </c>
      <c r="K3003">
        <v>2.75</v>
      </c>
      <c r="L3003">
        <v>56114.46</v>
      </c>
      <c r="M3003" t="s">
        <v>5871</v>
      </c>
      <c r="N3003" t="s">
        <v>423</v>
      </c>
      <c r="O3003">
        <v>22.55</v>
      </c>
      <c r="P3003">
        <v>23.07</v>
      </c>
      <c r="Q3003">
        <v>22.4</v>
      </c>
      <c r="R3003">
        <v>22.65</v>
      </c>
      <c r="S3003">
        <v>60.81</v>
      </c>
      <c r="T3003">
        <v>0.93</v>
      </c>
      <c r="U3003" t="s">
        <v>207</v>
      </c>
    </row>
    <row r="3004" spans="1:21">
      <c r="A3004" t="str">
        <f>"600560"</f>
        <v>600560</v>
      </c>
      <c r="B3004" t="s">
        <v>5872</v>
      </c>
      <c r="C3004">
        <v>1.25</v>
      </c>
      <c r="D3004">
        <v>8.94</v>
      </c>
      <c r="E3004">
        <v>0.11</v>
      </c>
      <c r="F3004">
        <v>8.94</v>
      </c>
      <c r="G3004">
        <v>8.95</v>
      </c>
      <c r="H3004">
        <v>20606</v>
      </c>
      <c r="I3004">
        <v>391</v>
      </c>
      <c r="J3004">
        <v>0</v>
      </c>
      <c r="K3004">
        <v>0.92</v>
      </c>
      <c r="L3004">
        <v>1833.57</v>
      </c>
      <c r="M3004" t="s">
        <v>5873</v>
      </c>
      <c r="N3004" t="s">
        <v>47</v>
      </c>
      <c r="O3004">
        <v>8.85</v>
      </c>
      <c r="P3004">
        <v>8.97</v>
      </c>
      <c r="Q3004">
        <v>8.78</v>
      </c>
      <c r="R3004">
        <v>8.83</v>
      </c>
      <c r="S3004">
        <v>42.96</v>
      </c>
      <c r="T3004">
        <v>1.1</v>
      </c>
      <c r="U3004" t="s">
        <v>44</v>
      </c>
    </row>
    <row r="3005" spans="1:21">
      <c r="A3005" t="str">
        <f>"600561"</f>
        <v>600561</v>
      </c>
      <c r="B3005" t="s">
        <v>5874</v>
      </c>
      <c r="C3005">
        <v>1.33</v>
      </c>
      <c r="D3005">
        <v>4.58</v>
      </c>
      <c r="E3005">
        <v>0.06</v>
      </c>
      <c r="F3005">
        <v>4.58</v>
      </c>
      <c r="G3005">
        <v>4.59</v>
      </c>
      <c r="H3005">
        <v>14256</v>
      </c>
      <c r="I3005">
        <v>110</v>
      </c>
      <c r="J3005">
        <v>0.22</v>
      </c>
      <c r="K3005">
        <v>0.6</v>
      </c>
      <c r="L3005">
        <v>649.08</v>
      </c>
      <c r="M3005" t="s">
        <v>1496</v>
      </c>
      <c r="N3005" t="s">
        <v>2308</v>
      </c>
      <c r="O3005">
        <v>4.52</v>
      </c>
      <c r="P3005">
        <v>4.61</v>
      </c>
      <c r="Q3005">
        <v>4.49</v>
      </c>
      <c r="R3005">
        <v>4.52</v>
      </c>
      <c r="S3005">
        <v>73.55</v>
      </c>
      <c r="T3005">
        <v>0.63</v>
      </c>
      <c r="U3005" t="s">
        <v>235</v>
      </c>
    </row>
    <row r="3006" spans="1:21">
      <c r="A3006" t="str">
        <f>"600562"</f>
        <v>600562</v>
      </c>
      <c r="B3006" t="s">
        <v>5875</v>
      </c>
      <c r="C3006">
        <v>-1.01</v>
      </c>
      <c r="D3006">
        <v>16.62</v>
      </c>
      <c r="E3006">
        <v>-0.17</v>
      </c>
      <c r="F3006">
        <v>16.61</v>
      </c>
      <c r="G3006">
        <v>16.62</v>
      </c>
      <c r="H3006">
        <v>107469</v>
      </c>
      <c r="I3006">
        <v>1298</v>
      </c>
      <c r="J3006">
        <v>0.3</v>
      </c>
      <c r="K3006">
        <v>1.63</v>
      </c>
      <c r="L3006">
        <v>17962.76</v>
      </c>
      <c r="M3006" t="s">
        <v>5876</v>
      </c>
      <c r="N3006" t="s">
        <v>153</v>
      </c>
      <c r="O3006">
        <v>16.81</v>
      </c>
      <c r="P3006">
        <v>16.94</v>
      </c>
      <c r="Q3006">
        <v>16.49</v>
      </c>
      <c r="R3006">
        <v>16.79</v>
      </c>
      <c r="S3006">
        <v>59.31</v>
      </c>
      <c r="T3006">
        <v>0.44</v>
      </c>
      <c r="U3006" t="s">
        <v>102</v>
      </c>
    </row>
    <row r="3007" spans="1:21">
      <c r="A3007" t="str">
        <f>"600563"</f>
        <v>600563</v>
      </c>
      <c r="B3007" t="s">
        <v>5877</v>
      </c>
      <c r="C3007">
        <v>0.02</v>
      </c>
      <c r="D3007">
        <v>233.54</v>
      </c>
      <c r="E3007">
        <v>0.04</v>
      </c>
      <c r="F3007">
        <v>233.21</v>
      </c>
      <c r="G3007">
        <v>233.54</v>
      </c>
      <c r="H3007">
        <v>20931</v>
      </c>
      <c r="I3007">
        <v>245</v>
      </c>
      <c r="J3007">
        <v>0.69</v>
      </c>
      <c r="K3007">
        <v>0.93</v>
      </c>
      <c r="L3007">
        <v>48492.72</v>
      </c>
      <c r="M3007" t="s">
        <v>5878</v>
      </c>
      <c r="N3007" t="s">
        <v>69</v>
      </c>
      <c r="O3007">
        <v>231.29</v>
      </c>
      <c r="P3007">
        <v>237.5</v>
      </c>
      <c r="Q3007">
        <v>226.21</v>
      </c>
      <c r="R3007">
        <v>233.5</v>
      </c>
      <c r="S3007">
        <v>71.47</v>
      </c>
      <c r="T3007">
        <v>0.68</v>
      </c>
      <c r="U3007" t="s">
        <v>339</v>
      </c>
    </row>
    <row r="3008" spans="1:21">
      <c r="A3008" t="str">
        <f>"600565"</f>
        <v>600565</v>
      </c>
      <c r="B3008" t="s">
        <v>5879</v>
      </c>
      <c r="C3008">
        <v>0.84</v>
      </c>
      <c r="D3008">
        <v>2.39</v>
      </c>
      <c r="E3008">
        <v>0.02</v>
      </c>
      <c r="F3008">
        <v>2.39</v>
      </c>
      <c r="G3008">
        <v>2.4</v>
      </c>
      <c r="H3008">
        <v>67978</v>
      </c>
      <c r="I3008">
        <v>3174</v>
      </c>
      <c r="J3008">
        <v>-0.41</v>
      </c>
      <c r="K3008">
        <v>0.27</v>
      </c>
      <c r="L3008">
        <v>1613.05</v>
      </c>
      <c r="M3008" t="s">
        <v>5880</v>
      </c>
      <c r="N3008" t="s">
        <v>27</v>
      </c>
      <c r="O3008">
        <v>2.36</v>
      </c>
      <c r="P3008">
        <v>2.4</v>
      </c>
      <c r="Q3008">
        <v>2.35</v>
      </c>
      <c r="R3008">
        <v>2.37</v>
      </c>
      <c r="S3008">
        <v>23.62</v>
      </c>
      <c r="T3008">
        <v>0.68</v>
      </c>
      <c r="U3008" t="s">
        <v>314</v>
      </c>
    </row>
    <row r="3009" spans="1:21">
      <c r="A3009" t="str">
        <f>"600566"</f>
        <v>600566</v>
      </c>
      <c r="B3009" t="s">
        <v>5881</v>
      </c>
      <c r="C3009">
        <v>0.27</v>
      </c>
      <c r="D3009">
        <v>18.53</v>
      </c>
      <c r="E3009">
        <v>0.05</v>
      </c>
      <c r="F3009">
        <v>18.53</v>
      </c>
      <c r="G3009">
        <v>18.54</v>
      </c>
      <c r="H3009">
        <v>140828</v>
      </c>
      <c r="I3009">
        <v>2890</v>
      </c>
      <c r="J3009">
        <v>-0.04</v>
      </c>
      <c r="K3009">
        <v>1.59</v>
      </c>
      <c r="L3009">
        <v>25981.49</v>
      </c>
      <c r="M3009" t="s">
        <v>5882</v>
      </c>
      <c r="N3009" t="s">
        <v>270</v>
      </c>
      <c r="O3009">
        <v>18.36</v>
      </c>
      <c r="P3009">
        <v>18.63</v>
      </c>
      <c r="Q3009">
        <v>18.2</v>
      </c>
      <c r="R3009">
        <v>18.48</v>
      </c>
      <c r="S3009">
        <v>9.71</v>
      </c>
      <c r="T3009">
        <v>0.43</v>
      </c>
      <c r="U3009" t="s">
        <v>267</v>
      </c>
    </row>
    <row r="3010" spans="1:21">
      <c r="A3010" t="str">
        <f>"600567"</f>
        <v>600567</v>
      </c>
      <c r="B3010" t="s">
        <v>5883</v>
      </c>
      <c r="C3010">
        <v>0.31</v>
      </c>
      <c r="D3010">
        <v>3.23</v>
      </c>
      <c r="E3010">
        <v>0.01</v>
      </c>
      <c r="F3010">
        <v>3.23</v>
      </c>
      <c r="G3010">
        <v>3.24</v>
      </c>
      <c r="H3010">
        <v>303552</v>
      </c>
      <c r="I3010">
        <v>3589</v>
      </c>
      <c r="J3010">
        <v>-0.3</v>
      </c>
      <c r="K3010">
        <v>0.66</v>
      </c>
      <c r="L3010">
        <v>9757.34</v>
      </c>
      <c r="M3010" t="s">
        <v>5884</v>
      </c>
      <c r="N3010" t="s">
        <v>285</v>
      </c>
      <c r="O3010">
        <v>3.22</v>
      </c>
      <c r="P3010">
        <v>3.24</v>
      </c>
      <c r="Q3010">
        <v>3.19</v>
      </c>
      <c r="R3010">
        <v>3.22</v>
      </c>
      <c r="S3010">
        <v>8.56</v>
      </c>
      <c r="T3010">
        <v>1.05</v>
      </c>
      <c r="U3010" t="s">
        <v>193</v>
      </c>
    </row>
    <row r="3011" spans="1:21">
      <c r="A3011" t="str">
        <f>"600568"</f>
        <v>600568</v>
      </c>
      <c r="B3011" t="s">
        <v>5885</v>
      </c>
      <c r="C3011">
        <v>0.55</v>
      </c>
      <c r="D3011">
        <v>1.82</v>
      </c>
      <c r="E3011">
        <v>0.01</v>
      </c>
      <c r="F3011">
        <v>1.82</v>
      </c>
      <c r="G3011">
        <v>1.83</v>
      </c>
      <c r="H3011">
        <v>81612</v>
      </c>
      <c r="I3011">
        <v>3093</v>
      </c>
      <c r="J3011">
        <v>0</v>
      </c>
      <c r="K3011">
        <v>0.52</v>
      </c>
      <c r="L3011">
        <v>1487.59</v>
      </c>
      <c r="M3011" t="s">
        <v>5886</v>
      </c>
      <c r="N3011" t="s">
        <v>36</v>
      </c>
      <c r="O3011">
        <v>1.82</v>
      </c>
      <c r="P3011">
        <v>1.84</v>
      </c>
      <c r="Q3011">
        <v>1.81</v>
      </c>
      <c r="R3011">
        <v>1.81</v>
      </c>
      <c r="S3011" t="s">
        <v>40</v>
      </c>
      <c r="T3011">
        <v>0.78</v>
      </c>
      <c r="U3011" t="s">
        <v>267</v>
      </c>
    </row>
    <row r="3012" spans="1:21">
      <c r="A3012" t="str">
        <f>"600569"</f>
        <v>600569</v>
      </c>
      <c r="B3012" t="s">
        <v>5887</v>
      </c>
      <c r="C3012">
        <v>2.27</v>
      </c>
      <c r="D3012">
        <v>2.7</v>
      </c>
      <c r="E3012">
        <v>0.06</v>
      </c>
      <c r="F3012">
        <v>2.69</v>
      </c>
      <c r="G3012">
        <v>2.7</v>
      </c>
      <c r="H3012">
        <v>366284</v>
      </c>
      <c r="I3012">
        <v>3779</v>
      </c>
      <c r="J3012">
        <v>0</v>
      </c>
      <c r="K3012">
        <v>1.53</v>
      </c>
      <c r="L3012">
        <v>9730.96</v>
      </c>
      <c r="M3012" t="s">
        <v>5888</v>
      </c>
      <c r="N3012" t="s">
        <v>551</v>
      </c>
      <c r="O3012">
        <v>2.64</v>
      </c>
      <c r="P3012">
        <v>2.71</v>
      </c>
      <c r="Q3012">
        <v>2.6</v>
      </c>
      <c r="R3012">
        <v>2.64</v>
      </c>
      <c r="S3012">
        <v>5.65</v>
      </c>
      <c r="T3012">
        <v>1.2</v>
      </c>
      <c r="U3012" t="s">
        <v>224</v>
      </c>
    </row>
    <row r="3013" spans="1:21">
      <c r="A3013" t="str">
        <f>"600570"</f>
        <v>600570</v>
      </c>
      <c r="B3013" t="s">
        <v>5889</v>
      </c>
      <c r="C3013">
        <v>-0.31</v>
      </c>
      <c r="D3013">
        <v>58.6</v>
      </c>
      <c r="E3013">
        <v>-0.18</v>
      </c>
      <c r="F3013">
        <v>58.59</v>
      </c>
      <c r="G3013">
        <v>58.6</v>
      </c>
      <c r="H3013">
        <v>83135</v>
      </c>
      <c r="I3013">
        <v>908</v>
      </c>
      <c r="J3013">
        <v>-0.11</v>
      </c>
      <c r="K3013">
        <v>0.57</v>
      </c>
      <c r="L3013">
        <v>48907.25</v>
      </c>
      <c r="M3013" t="s">
        <v>5890</v>
      </c>
      <c r="N3013" t="s">
        <v>30</v>
      </c>
      <c r="O3013">
        <v>58.64</v>
      </c>
      <c r="P3013">
        <v>59.25</v>
      </c>
      <c r="Q3013">
        <v>58.3</v>
      </c>
      <c r="R3013">
        <v>58.78</v>
      </c>
      <c r="S3013">
        <v>93.93</v>
      </c>
      <c r="T3013">
        <v>0.7</v>
      </c>
      <c r="U3013" t="s">
        <v>200</v>
      </c>
    </row>
    <row r="3014" spans="1:21">
      <c r="A3014" t="str">
        <f>"600571"</f>
        <v>600571</v>
      </c>
      <c r="B3014" t="s">
        <v>5891</v>
      </c>
      <c r="C3014">
        <v>0.31</v>
      </c>
      <c r="D3014">
        <v>9.58</v>
      </c>
      <c r="E3014">
        <v>0.03</v>
      </c>
      <c r="F3014">
        <v>9.58</v>
      </c>
      <c r="G3014">
        <v>9.59</v>
      </c>
      <c r="H3014">
        <v>117926</v>
      </c>
      <c r="I3014">
        <v>1623</v>
      </c>
      <c r="J3014">
        <v>0.1</v>
      </c>
      <c r="K3014">
        <v>2.74</v>
      </c>
      <c r="L3014">
        <v>11187.68</v>
      </c>
      <c r="M3014" t="s">
        <v>3678</v>
      </c>
      <c r="N3014" t="s">
        <v>30</v>
      </c>
      <c r="O3014">
        <v>9.58</v>
      </c>
      <c r="P3014">
        <v>9.59</v>
      </c>
      <c r="Q3014">
        <v>9.35</v>
      </c>
      <c r="R3014">
        <v>9.55</v>
      </c>
      <c r="S3014">
        <v>13.05</v>
      </c>
      <c r="T3014">
        <v>0.57</v>
      </c>
      <c r="U3014" t="s">
        <v>200</v>
      </c>
    </row>
    <row r="3015" spans="1:21">
      <c r="A3015" t="str">
        <f>"600572"</f>
        <v>600572</v>
      </c>
      <c r="B3015" t="s">
        <v>5892</v>
      </c>
      <c r="C3015">
        <v>0.49</v>
      </c>
      <c r="D3015">
        <v>4.14</v>
      </c>
      <c r="E3015">
        <v>0.02</v>
      </c>
      <c r="F3015">
        <v>4.13</v>
      </c>
      <c r="G3015">
        <v>4.14</v>
      </c>
      <c r="H3015">
        <v>92243</v>
      </c>
      <c r="I3015">
        <v>1662</v>
      </c>
      <c r="J3015">
        <v>0</v>
      </c>
      <c r="K3015">
        <v>0.36</v>
      </c>
      <c r="L3015">
        <v>3807.14</v>
      </c>
      <c r="M3015" t="s">
        <v>5893</v>
      </c>
      <c r="N3015" t="s">
        <v>270</v>
      </c>
      <c r="O3015">
        <v>4.12</v>
      </c>
      <c r="P3015">
        <v>4.15</v>
      </c>
      <c r="Q3015">
        <v>4.11</v>
      </c>
      <c r="R3015">
        <v>4.12</v>
      </c>
      <c r="S3015">
        <v>37.17</v>
      </c>
      <c r="T3015">
        <v>0.95</v>
      </c>
      <c r="U3015" t="s">
        <v>200</v>
      </c>
    </row>
    <row r="3016" spans="1:21">
      <c r="A3016" t="str">
        <f>"600573"</f>
        <v>600573</v>
      </c>
      <c r="B3016" t="s">
        <v>5894</v>
      </c>
      <c r="C3016">
        <v>0</v>
      </c>
      <c r="D3016">
        <v>8.93</v>
      </c>
      <c r="E3016">
        <v>0</v>
      </c>
      <c r="F3016">
        <v>8.93</v>
      </c>
      <c r="G3016">
        <v>8.94</v>
      </c>
      <c r="H3016">
        <v>50071</v>
      </c>
      <c r="I3016">
        <v>1149</v>
      </c>
      <c r="J3016">
        <v>0</v>
      </c>
      <c r="K3016">
        <v>2</v>
      </c>
      <c r="L3016">
        <v>4466.15</v>
      </c>
      <c r="M3016" t="s">
        <v>5895</v>
      </c>
      <c r="N3016" t="s">
        <v>671</v>
      </c>
      <c r="O3016">
        <v>8.9</v>
      </c>
      <c r="P3016">
        <v>9.02</v>
      </c>
      <c r="Q3016">
        <v>8.85</v>
      </c>
      <c r="R3016">
        <v>8.93</v>
      </c>
      <c r="S3016">
        <v>41.27</v>
      </c>
      <c r="T3016">
        <v>0.74</v>
      </c>
      <c r="U3016" t="s">
        <v>339</v>
      </c>
    </row>
    <row r="3017" spans="1:21">
      <c r="A3017" t="str">
        <f>"600575"</f>
        <v>600575</v>
      </c>
      <c r="B3017" t="s">
        <v>5896</v>
      </c>
      <c r="C3017">
        <v>1.36</v>
      </c>
      <c r="D3017">
        <v>2.23</v>
      </c>
      <c r="E3017">
        <v>0.03</v>
      </c>
      <c r="F3017">
        <v>2.22</v>
      </c>
      <c r="G3017">
        <v>2.23</v>
      </c>
      <c r="H3017">
        <v>183504</v>
      </c>
      <c r="I3017">
        <v>2534</v>
      </c>
      <c r="J3017">
        <v>0</v>
      </c>
      <c r="K3017">
        <v>0.47</v>
      </c>
      <c r="L3017">
        <v>4046.46</v>
      </c>
      <c r="M3017" t="s">
        <v>5897</v>
      </c>
      <c r="N3017" t="s">
        <v>400</v>
      </c>
      <c r="O3017">
        <v>2.2</v>
      </c>
      <c r="P3017">
        <v>2.23</v>
      </c>
      <c r="Q3017">
        <v>2.18</v>
      </c>
      <c r="R3017">
        <v>2.2</v>
      </c>
      <c r="S3017">
        <v>17.26</v>
      </c>
      <c r="T3017">
        <v>1.03</v>
      </c>
      <c r="U3017" t="s">
        <v>193</v>
      </c>
    </row>
    <row r="3018" spans="1:21">
      <c r="A3018" t="str">
        <f>"600576"</f>
        <v>600576</v>
      </c>
      <c r="B3018" t="s">
        <v>5898</v>
      </c>
      <c r="C3018">
        <v>10.11</v>
      </c>
      <c r="D3018">
        <v>5.12</v>
      </c>
      <c r="E3018">
        <v>0.47</v>
      </c>
      <c r="F3018">
        <v>5.12</v>
      </c>
      <c r="G3018" t="s">
        <v>40</v>
      </c>
      <c r="H3018">
        <v>338154</v>
      </c>
      <c r="I3018">
        <v>40</v>
      </c>
      <c r="J3018">
        <v>0</v>
      </c>
      <c r="K3018">
        <v>5.46</v>
      </c>
      <c r="L3018">
        <v>17022.99</v>
      </c>
      <c r="M3018" t="s">
        <v>5899</v>
      </c>
      <c r="N3018" t="s">
        <v>199</v>
      </c>
      <c r="O3018">
        <v>4.88</v>
      </c>
      <c r="P3018">
        <v>5.12</v>
      </c>
      <c r="Q3018">
        <v>4.73</v>
      </c>
      <c r="R3018">
        <v>4.65</v>
      </c>
      <c r="S3018">
        <v>169.88</v>
      </c>
      <c r="T3018">
        <v>3.21</v>
      </c>
      <c r="U3018" t="s">
        <v>200</v>
      </c>
    </row>
    <row r="3019" spans="1:21">
      <c r="A3019" t="str">
        <f>"600577"</f>
        <v>600577</v>
      </c>
      <c r="B3019" t="s">
        <v>5900</v>
      </c>
      <c r="C3019">
        <v>2.36</v>
      </c>
      <c r="D3019">
        <v>9.11</v>
      </c>
      <c r="E3019">
        <v>0.21</v>
      </c>
      <c r="F3019">
        <v>9.11</v>
      </c>
      <c r="G3019">
        <v>9.12</v>
      </c>
      <c r="H3019">
        <v>448635</v>
      </c>
      <c r="I3019">
        <v>4120</v>
      </c>
      <c r="J3019">
        <v>0.11</v>
      </c>
      <c r="K3019">
        <v>2.26</v>
      </c>
      <c r="L3019">
        <v>40921.13</v>
      </c>
      <c r="M3019" t="s">
        <v>5901</v>
      </c>
      <c r="N3019" t="s">
        <v>47</v>
      </c>
      <c r="O3019">
        <v>8.97</v>
      </c>
      <c r="P3019">
        <v>9.28</v>
      </c>
      <c r="Q3019">
        <v>8.8</v>
      </c>
      <c r="R3019">
        <v>8.9</v>
      </c>
      <c r="S3019">
        <v>32.3</v>
      </c>
      <c r="T3019">
        <v>0.73</v>
      </c>
      <c r="U3019" t="s">
        <v>193</v>
      </c>
    </row>
    <row r="3020" spans="1:21">
      <c r="A3020" t="str">
        <f>"600578"</f>
        <v>600578</v>
      </c>
      <c r="B3020" t="s">
        <v>5902</v>
      </c>
      <c r="C3020">
        <v>-1.05</v>
      </c>
      <c r="D3020">
        <v>2.82</v>
      </c>
      <c r="E3020">
        <v>-0.03</v>
      </c>
      <c r="F3020">
        <v>2.81</v>
      </c>
      <c r="G3020">
        <v>2.82</v>
      </c>
      <c r="H3020">
        <v>136648</v>
      </c>
      <c r="I3020">
        <v>4900</v>
      </c>
      <c r="J3020">
        <v>0.36</v>
      </c>
      <c r="K3020">
        <v>0.2</v>
      </c>
      <c r="L3020">
        <v>3828.71</v>
      </c>
      <c r="M3020" t="s">
        <v>5903</v>
      </c>
      <c r="N3020" t="s">
        <v>83</v>
      </c>
      <c r="O3020">
        <v>2.84</v>
      </c>
      <c r="P3020">
        <v>2.85</v>
      </c>
      <c r="Q3020">
        <v>2.78</v>
      </c>
      <c r="R3020">
        <v>2.85</v>
      </c>
      <c r="S3020" t="s">
        <v>40</v>
      </c>
      <c r="T3020">
        <v>0.88</v>
      </c>
      <c r="U3020" t="s">
        <v>44</v>
      </c>
    </row>
    <row r="3021" spans="1:21">
      <c r="A3021" t="str">
        <f>"600579"</f>
        <v>600579</v>
      </c>
      <c r="B3021" t="s">
        <v>5904</v>
      </c>
      <c r="C3021">
        <v>0.27</v>
      </c>
      <c r="D3021">
        <v>7.55</v>
      </c>
      <c r="E3021">
        <v>0.02</v>
      </c>
      <c r="F3021">
        <v>7.55</v>
      </c>
      <c r="G3021">
        <v>7.56</v>
      </c>
      <c r="H3021">
        <v>64969</v>
      </c>
      <c r="I3021">
        <v>469</v>
      </c>
      <c r="J3021">
        <v>0.27</v>
      </c>
      <c r="K3021">
        <v>1.59</v>
      </c>
      <c r="L3021">
        <v>4940.36</v>
      </c>
      <c r="M3021" t="s">
        <v>5905</v>
      </c>
      <c r="N3021" t="s">
        <v>832</v>
      </c>
      <c r="O3021">
        <v>7.49</v>
      </c>
      <c r="P3021">
        <v>7.85</v>
      </c>
      <c r="Q3021">
        <v>7.49</v>
      </c>
      <c r="R3021">
        <v>7.53</v>
      </c>
      <c r="S3021" t="s">
        <v>40</v>
      </c>
      <c r="T3021">
        <v>1.19</v>
      </c>
      <c r="U3021" t="s">
        <v>221</v>
      </c>
    </row>
    <row r="3022" spans="1:21">
      <c r="A3022" t="str">
        <f>"600580"</f>
        <v>600580</v>
      </c>
      <c r="B3022" t="s">
        <v>5906</v>
      </c>
      <c r="C3022">
        <v>10.02</v>
      </c>
      <c r="D3022">
        <v>16.91</v>
      </c>
      <c r="E3022">
        <v>1.54</v>
      </c>
      <c r="F3022">
        <v>16.91</v>
      </c>
      <c r="G3022" t="s">
        <v>40</v>
      </c>
      <c r="H3022">
        <v>681271</v>
      </c>
      <c r="I3022">
        <v>3599</v>
      </c>
      <c r="J3022">
        <v>0</v>
      </c>
      <c r="K3022">
        <v>5.18</v>
      </c>
      <c r="L3022">
        <v>112331.08</v>
      </c>
      <c r="M3022" t="s">
        <v>5907</v>
      </c>
      <c r="N3022" t="s">
        <v>47</v>
      </c>
      <c r="O3022">
        <v>15.37</v>
      </c>
      <c r="P3022">
        <v>16.91</v>
      </c>
      <c r="Q3022">
        <v>15.21</v>
      </c>
      <c r="R3022">
        <v>15.37</v>
      </c>
      <c r="S3022">
        <v>24.93</v>
      </c>
      <c r="T3022">
        <v>1.28</v>
      </c>
      <c r="U3022" t="s">
        <v>200</v>
      </c>
    </row>
    <row r="3023" spans="1:21">
      <c r="A3023" t="str">
        <f>"600581"</f>
        <v>600581</v>
      </c>
      <c r="B3023" t="s">
        <v>5908</v>
      </c>
      <c r="C3023">
        <v>1.99</v>
      </c>
      <c r="D3023">
        <v>6.14</v>
      </c>
      <c r="E3023">
        <v>0.12</v>
      </c>
      <c r="F3023">
        <v>6.14</v>
      </c>
      <c r="G3023">
        <v>6.15</v>
      </c>
      <c r="H3023">
        <v>545121</v>
      </c>
      <c r="I3023">
        <v>7561</v>
      </c>
      <c r="J3023">
        <v>-0.15</v>
      </c>
      <c r="K3023">
        <v>3.56</v>
      </c>
      <c r="L3023">
        <v>33068.1</v>
      </c>
      <c r="M3023" t="s">
        <v>5909</v>
      </c>
      <c r="N3023" t="s">
        <v>551</v>
      </c>
      <c r="O3023">
        <v>6.01</v>
      </c>
      <c r="P3023">
        <v>6.18</v>
      </c>
      <c r="Q3023">
        <v>5.91</v>
      </c>
      <c r="R3023">
        <v>6.02</v>
      </c>
      <c r="S3023">
        <v>3.17</v>
      </c>
      <c r="T3023">
        <v>1.18</v>
      </c>
      <c r="U3023" t="s">
        <v>210</v>
      </c>
    </row>
    <row r="3024" spans="1:21">
      <c r="A3024" t="str">
        <f>"600582"</f>
        <v>600582</v>
      </c>
      <c r="B3024" t="s">
        <v>5910</v>
      </c>
      <c r="C3024">
        <v>0.51</v>
      </c>
      <c r="D3024">
        <v>3.98</v>
      </c>
      <c r="E3024">
        <v>0.02</v>
      </c>
      <c r="F3024">
        <v>3.98</v>
      </c>
      <c r="G3024">
        <v>3.99</v>
      </c>
      <c r="H3024">
        <v>377045</v>
      </c>
      <c r="I3024">
        <v>3489</v>
      </c>
      <c r="J3024">
        <v>-0.24</v>
      </c>
      <c r="K3024">
        <v>0.91</v>
      </c>
      <c r="L3024">
        <v>14885.53</v>
      </c>
      <c r="M3024" t="s">
        <v>5542</v>
      </c>
      <c r="N3024" t="s">
        <v>203</v>
      </c>
      <c r="O3024">
        <v>3.99</v>
      </c>
      <c r="P3024">
        <v>4</v>
      </c>
      <c r="Q3024">
        <v>3.89</v>
      </c>
      <c r="R3024">
        <v>3.96</v>
      </c>
      <c r="S3024">
        <v>10.79</v>
      </c>
      <c r="T3024">
        <v>0.91</v>
      </c>
      <c r="U3024" t="s">
        <v>44</v>
      </c>
    </row>
    <row r="3025" spans="1:21">
      <c r="A3025" t="str">
        <f>"600583"</f>
        <v>600583</v>
      </c>
      <c r="B3025" t="s">
        <v>5911</v>
      </c>
      <c r="C3025">
        <v>1.62</v>
      </c>
      <c r="D3025">
        <v>4.4</v>
      </c>
      <c r="E3025">
        <v>0.07</v>
      </c>
      <c r="F3025">
        <v>4.39</v>
      </c>
      <c r="G3025">
        <v>4.4</v>
      </c>
      <c r="H3025">
        <v>203661</v>
      </c>
      <c r="I3025">
        <v>1664</v>
      </c>
      <c r="J3025">
        <v>0</v>
      </c>
      <c r="K3025">
        <v>0.46</v>
      </c>
      <c r="L3025">
        <v>8895.47</v>
      </c>
      <c r="M3025" t="s">
        <v>5912</v>
      </c>
      <c r="N3025" t="s">
        <v>996</v>
      </c>
      <c r="O3025">
        <v>4.33</v>
      </c>
      <c r="P3025">
        <v>4.4</v>
      </c>
      <c r="Q3025">
        <v>4.31</v>
      </c>
      <c r="R3025">
        <v>4.33</v>
      </c>
      <c r="S3025">
        <v>26.57</v>
      </c>
      <c r="T3025">
        <v>1.13</v>
      </c>
      <c r="U3025" t="s">
        <v>360</v>
      </c>
    </row>
    <row r="3026" spans="1:21">
      <c r="A3026" t="str">
        <f>"600584"</f>
        <v>600584</v>
      </c>
      <c r="B3026" t="s">
        <v>5913</v>
      </c>
      <c r="C3026">
        <v>0.8</v>
      </c>
      <c r="D3026">
        <v>31.68</v>
      </c>
      <c r="E3026">
        <v>0.25</v>
      </c>
      <c r="F3026">
        <v>31.67</v>
      </c>
      <c r="G3026">
        <v>31.68</v>
      </c>
      <c r="H3026">
        <v>312073</v>
      </c>
      <c r="I3026">
        <v>3111</v>
      </c>
      <c r="J3026">
        <v>-0.05</v>
      </c>
      <c r="K3026">
        <v>1.75</v>
      </c>
      <c r="L3026">
        <v>98188.29</v>
      </c>
      <c r="M3026" t="s">
        <v>5914</v>
      </c>
      <c r="N3026" t="s">
        <v>1246</v>
      </c>
      <c r="O3026">
        <v>31.45</v>
      </c>
      <c r="P3026">
        <v>31.77</v>
      </c>
      <c r="Q3026">
        <v>31.13</v>
      </c>
      <c r="R3026">
        <v>31.43</v>
      </c>
      <c r="S3026">
        <v>19.99</v>
      </c>
      <c r="T3026">
        <v>0.68</v>
      </c>
      <c r="U3026" t="s">
        <v>102</v>
      </c>
    </row>
    <row r="3027" spans="1:21">
      <c r="A3027" t="str">
        <f>"600585"</f>
        <v>600585</v>
      </c>
      <c r="B3027" t="s">
        <v>5915</v>
      </c>
      <c r="C3027">
        <v>1.27</v>
      </c>
      <c r="D3027">
        <v>37.47</v>
      </c>
      <c r="E3027">
        <v>0.47</v>
      </c>
      <c r="F3027">
        <v>37.46</v>
      </c>
      <c r="G3027">
        <v>37.47</v>
      </c>
      <c r="H3027">
        <v>177054</v>
      </c>
      <c r="I3027">
        <v>2388</v>
      </c>
      <c r="J3027">
        <v>0</v>
      </c>
      <c r="K3027">
        <v>0.44</v>
      </c>
      <c r="L3027">
        <v>65849.52</v>
      </c>
      <c r="M3027" t="s">
        <v>5916</v>
      </c>
      <c r="N3027" t="s">
        <v>75</v>
      </c>
      <c r="O3027">
        <v>36.98</v>
      </c>
      <c r="P3027">
        <v>37.6</v>
      </c>
      <c r="Q3027">
        <v>36.7</v>
      </c>
      <c r="R3027">
        <v>37</v>
      </c>
      <c r="S3027">
        <v>6.65</v>
      </c>
      <c r="T3027">
        <v>0.81</v>
      </c>
      <c r="U3027" t="s">
        <v>193</v>
      </c>
    </row>
    <row r="3028" spans="1:21">
      <c r="A3028" t="str">
        <f>"600586"</f>
        <v>600586</v>
      </c>
      <c r="B3028" t="s">
        <v>5917</v>
      </c>
      <c r="C3028">
        <v>0.32</v>
      </c>
      <c r="D3028">
        <v>9.36</v>
      </c>
      <c r="E3028">
        <v>0.03</v>
      </c>
      <c r="F3028">
        <v>9.36</v>
      </c>
      <c r="G3028">
        <v>9.37</v>
      </c>
      <c r="H3028">
        <v>362991</v>
      </c>
      <c r="I3028">
        <v>3884</v>
      </c>
      <c r="J3028">
        <v>0</v>
      </c>
      <c r="K3028">
        <v>2.54</v>
      </c>
      <c r="L3028">
        <v>33624.79</v>
      </c>
      <c r="M3028" t="s">
        <v>5918</v>
      </c>
      <c r="N3028" t="s">
        <v>55</v>
      </c>
      <c r="O3028">
        <v>9.33</v>
      </c>
      <c r="P3028">
        <v>9.39</v>
      </c>
      <c r="Q3028">
        <v>9.13</v>
      </c>
      <c r="R3028">
        <v>9.33</v>
      </c>
      <c r="S3028">
        <v>8.04</v>
      </c>
      <c r="T3028">
        <v>1.17</v>
      </c>
      <c r="U3028" t="s">
        <v>221</v>
      </c>
    </row>
    <row r="3029" spans="1:21">
      <c r="A3029" t="str">
        <f>"600587"</f>
        <v>600587</v>
      </c>
      <c r="B3029" t="s">
        <v>5919</v>
      </c>
      <c r="C3029">
        <v>-2.94</v>
      </c>
      <c r="D3029">
        <v>22.45</v>
      </c>
      <c r="E3029">
        <v>-0.68</v>
      </c>
      <c r="F3029">
        <v>22.45</v>
      </c>
      <c r="G3029">
        <v>22.46</v>
      </c>
      <c r="H3029">
        <v>121491</v>
      </c>
      <c r="I3029">
        <v>1133</v>
      </c>
      <c r="J3029">
        <v>0</v>
      </c>
      <c r="K3029">
        <v>3.01</v>
      </c>
      <c r="L3029">
        <v>27273</v>
      </c>
      <c r="M3029" t="s">
        <v>2204</v>
      </c>
      <c r="N3029" t="s">
        <v>186</v>
      </c>
      <c r="O3029">
        <v>22.99</v>
      </c>
      <c r="P3029">
        <v>23</v>
      </c>
      <c r="Q3029">
        <v>22.2</v>
      </c>
      <c r="R3029">
        <v>23.13</v>
      </c>
      <c r="S3029">
        <v>15.63</v>
      </c>
      <c r="T3029">
        <v>0.88</v>
      </c>
      <c r="U3029" t="s">
        <v>221</v>
      </c>
    </row>
    <row r="3030" spans="1:21">
      <c r="A3030" t="str">
        <f>"600588"</f>
        <v>600588</v>
      </c>
      <c r="B3030" t="s">
        <v>5920</v>
      </c>
      <c r="C3030">
        <v>0.06</v>
      </c>
      <c r="D3030">
        <v>31.12</v>
      </c>
      <c r="E3030">
        <v>0.02</v>
      </c>
      <c r="F3030">
        <v>31.12</v>
      </c>
      <c r="G3030">
        <v>31.13</v>
      </c>
      <c r="H3030">
        <v>85411</v>
      </c>
      <c r="I3030">
        <v>974</v>
      </c>
      <c r="J3030">
        <v>0</v>
      </c>
      <c r="K3030">
        <v>0.26</v>
      </c>
      <c r="L3030">
        <v>26548.26</v>
      </c>
      <c r="M3030" t="s">
        <v>5921</v>
      </c>
      <c r="N3030" t="s">
        <v>30</v>
      </c>
      <c r="O3030">
        <v>31.24</v>
      </c>
      <c r="P3030">
        <v>31.32</v>
      </c>
      <c r="Q3030">
        <v>30.88</v>
      </c>
      <c r="R3030">
        <v>31.1</v>
      </c>
      <c r="S3030">
        <v>601.33</v>
      </c>
      <c r="T3030">
        <v>0.67</v>
      </c>
      <c r="U3030" t="s">
        <v>44</v>
      </c>
    </row>
    <row r="3031" spans="1:21">
      <c r="A3031" t="str">
        <f>"600589"</f>
        <v>600589</v>
      </c>
      <c r="B3031" t="s">
        <v>5922</v>
      </c>
      <c r="C3031">
        <v>0.49</v>
      </c>
      <c r="D3031">
        <v>2.05</v>
      </c>
      <c r="E3031">
        <v>0.01</v>
      </c>
      <c r="F3031">
        <v>2.05</v>
      </c>
      <c r="G3031">
        <v>2.06</v>
      </c>
      <c r="H3031">
        <v>80670</v>
      </c>
      <c r="I3031">
        <v>1494</v>
      </c>
      <c r="J3031">
        <v>-0.48</v>
      </c>
      <c r="K3031">
        <v>1.15</v>
      </c>
      <c r="L3031">
        <v>1648.9</v>
      </c>
      <c r="M3031" t="s">
        <v>5173</v>
      </c>
      <c r="N3031" t="s">
        <v>839</v>
      </c>
      <c r="O3031">
        <v>2.03</v>
      </c>
      <c r="P3031">
        <v>2.06</v>
      </c>
      <c r="Q3031">
        <v>2.02</v>
      </c>
      <c r="R3031">
        <v>2.04</v>
      </c>
      <c r="S3031" t="s">
        <v>40</v>
      </c>
      <c r="T3031">
        <v>0.68</v>
      </c>
      <c r="U3031" t="s">
        <v>183</v>
      </c>
    </row>
    <row r="3032" spans="1:21">
      <c r="A3032" t="str">
        <f>"600590"</f>
        <v>600590</v>
      </c>
      <c r="B3032" t="s">
        <v>5923</v>
      </c>
      <c r="C3032">
        <v>1.25</v>
      </c>
      <c r="D3032">
        <v>8.13</v>
      </c>
      <c r="E3032">
        <v>0.1</v>
      </c>
      <c r="F3032">
        <v>8.12</v>
      </c>
      <c r="G3032">
        <v>8.13</v>
      </c>
      <c r="H3032">
        <v>306298</v>
      </c>
      <c r="I3032">
        <v>1901</v>
      </c>
      <c r="J3032">
        <v>0.12</v>
      </c>
      <c r="K3032">
        <v>3.63</v>
      </c>
      <c r="L3032">
        <v>24762.68</v>
      </c>
      <c r="M3032" t="s">
        <v>5924</v>
      </c>
      <c r="N3032" t="s">
        <v>47</v>
      </c>
      <c r="O3032">
        <v>8.03</v>
      </c>
      <c r="P3032">
        <v>8.25</v>
      </c>
      <c r="Q3032">
        <v>7.91</v>
      </c>
      <c r="R3032">
        <v>8.03</v>
      </c>
      <c r="S3032">
        <v>11.68</v>
      </c>
      <c r="T3032">
        <v>1.45</v>
      </c>
      <c r="U3032" t="s">
        <v>235</v>
      </c>
    </row>
    <row r="3033" spans="1:21">
      <c r="A3033" t="str">
        <f>"600592"</f>
        <v>600592</v>
      </c>
      <c r="B3033" t="s">
        <v>5925</v>
      </c>
      <c r="C3033">
        <v>1.11</v>
      </c>
      <c r="D3033">
        <v>9.11</v>
      </c>
      <c r="E3033">
        <v>0.1</v>
      </c>
      <c r="F3033">
        <v>9.1</v>
      </c>
      <c r="G3033">
        <v>9.11</v>
      </c>
      <c r="H3033">
        <v>25875</v>
      </c>
      <c r="I3033">
        <v>648</v>
      </c>
      <c r="J3033">
        <v>0.11</v>
      </c>
      <c r="K3033">
        <v>0.65</v>
      </c>
      <c r="L3033">
        <v>2349.71</v>
      </c>
      <c r="M3033" t="s">
        <v>5926</v>
      </c>
      <c r="N3033" t="s">
        <v>347</v>
      </c>
      <c r="O3033">
        <v>9.03</v>
      </c>
      <c r="P3033">
        <v>9.14</v>
      </c>
      <c r="Q3033">
        <v>8.99</v>
      </c>
      <c r="R3033">
        <v>9.01</v>
      </c>
      <c r="S3033">
        <v>16.2</v>
      </c>
      <c r="T3033">
        <v>0.94</v>
      </c>
      <c r="U3033" t="s">
        <v>339</v>
      </c>
    </row>
    <row r="3034" spans="1:21">
      <c r="A3034" t="str">
        <f>"600593"</f>
        <v>600593</v>
      </c>
      <c r="B3034" t="s">
        <v>5927</v>
      </c>
      <c r="C3034">
        <v>0.46</v>
      </c>
      <c r="D3034">
        <v>13.01</v>
      </c>
      <c r="E3034">
        <v>0.06</v>
      </c>
      <c r="F3034">
        <v>13</v>
      </c>
      <c r="G3034">
        <v>13.01</v>
      </c>
      <c r="H3034">
        <v>8062</v>
      </c>
      <c r="I3034">
        <v>127</v>
      </c>
      <c r="J3034">
        <v>0.31</v>
      </c>
      <c r="K3034">
        <v>0.63</v>
      </c>
      <c r="L3034">
        <v>1035.82</v>
      </c>
      <c r="M3034" t="s">
        <v>5928</v>
      </c>
      <c r="N3034" t="s">
        <v>489</v>
      </c>
      <c r="O3034">
        <v>12.96</v>
      </c>
      <c r="P3034">
        <v>13.03</v>
      </c>
      <c r="Q3034">
        <v>12.75</v>
      </c>
      <c r="R3034">
        <v>12.95</v>
      </c>
      <c r="S3034">
        <v>481.74</v>
      </c>
      <c r="T3034">
        <v>0.58</v>
      </c>
      <c r="U3034" t="s">
        <v>141</v>
      </c>
    </row>
    <row r="3035" spans="1:21">
      <c r="A3035" t="str">
        <f>"600594"</f>
        <v>600594</v>
      </c>
      <c r="B3035" t="s">
        <v>5929</v>
      </c>
      <c r="C3035">
        <v>0.16</v>
      </c>
      <c r="D3035">
        <v>6.19</v>
      </c>
      <c r="E3035">
        <v>0.01</v>
      </c>
      <c r="F3035">
        <v>6.18</v>
      </c>
      <c r="G3035">
        <v>6.19</v>
      </c>
      <c r="H3035">
        <v>131198</v>
      </c>
      <c r="I3035">
        <v>1047</v>
      </c>
      <c r="J3035">
        <v>0.49</v>
      </c>
      <c r="K3035">
        <v>1.66</v>
      </c>
      <c r="L3035">
        <v>8087.01</v>
      </c>
      <c r="M3035" t="s">
        <v>5930</v>
      </c>
      <c r="N3035" t="s">
        <v>270</v>
      </c>
      <c r="O3035">
        <v>6.14</v>
      </c>
      <c r="P3035">
        <v>6.26</v>
      </c>
      <c r="Q3035">
        <v>6.1</v>
      </c>
      <c r="R3035">
        <v>6.18</v>
      </c>
      <c r="S3035">
        <v>12.37</v>
      </c>
      <c r="T3035">
        <v>0.91</v>
      </c>
      <c r="U3035" t="s">
        <v>368</v>
      </c>
    </row>
    <row r="3036" spans="1:21">
      <c r="A3036" t="str">
        <f>"600595"</f>
        <v>600595</v>
      </c>
      <c r="B3036" t="s">
        <v>5931</v>
      </c>
      <c r="C3036">
        <v>0.52</v>
      </c>
      <c r="D3036">
        <v>3.85</v>
      </c>
      <c r="E3036">
        <v>0.02</v>
      </c>
      <c r="F3036">
        <v>3.85</v>
      </c>
      <c r="G3036">
        <v>3.86</v>
      </c>
      <c r="H3036">
        <v>51538</v>
      </c>
      <c r="I3036">
        <v>375</v>
      </c>
      <c r="J3036">
        <v>-0.25</v>
      </c>
      <c r="K3036">
        <v>0.13</v>
      </c>
      <c r="L3036">
        <v>1972.03</v>
      </c>
      <c r="M3036" t="s">
        <v>5932</v>
      </c>
      <c r="N3036" t="s">
        <v>494</v>
      </c>
      <c r="O3036">
        <v>3.83</v>
      </c>
      <c r="P3036">
        <v>3.88</v>
      </c>
      <c r="Q3036">
        <v>3.77</v>
      </c>
      <c r="R3036">
        <v>3.83</v>
      </c>
      <c r="S3036">
        <v>22.45</v>
      </c>
      <c r="T3036">
        <v>0.8</v>
      </c>
      <c r="U3036" t="s">
        <v>224</v>
      </c>
    </row>
    <row r="3037" spans="1:21">
      <c r="A3037" t="str">
        <f>"600596"</f>
        <v>600596</v>
      </c>
      <c r="B3037" t="s">
        <v>5933</v>
      </c>
      <c r="C3037">
        <v>1.94</v>
      </c>
      <c r="D3037">
        <v>26.27</v>
      </c>
      <c r="E3037">
        <v>0.5</v>
      </c>
      <c r="F3037">
        <v>26.27</v>
      </c>
      <c r="G3037">
        <v>26.28</v>
      </c>
      <c r="H3037">
        <v>294657</v>
      </c>
      <c r="I3037">
        <v>4041</v>
      </c>
      <c r="J3037">
        <v>-0.03</v>
      </c>
      <c r="K3037">
        <v>4.01</v>
      </c>
      <c r="L3037">
        <v>76388.9</v>
      </c>
      <c r="M3037" t="s">
        <v>5934</v>
      </c>
      <c r="N3037" t="s">
        <v>309</v>
      </c>
      <c r="O3037">
        <v>25.53</v>
      </c>
      <c r="P3037">
        <v>26.4</v>
      </c>
      <c r="Q3037">
        <v>25.29</v>
      </c>
      <c r="R3037">
        <v>25.77</v>
      </c>
      <c r="S3037">
        <v>10.07</v>
      </c>
      <c r="T3037">
        <v>0.78</v>
      </c>
      <c r="U3037" t="s">
        <v>200</v>
      </c>
    </row>
    <row r="3038" spans="1:21">
      <c r="A3038" t="str">
        <f>"600597"</f>
        <v>600597</v>
      </c>
      <c r="B3038" t="s">
        <v>5935</v>
      </c>
      <c r="C3038">
        <v>0.36</v>
      </c>
      <c r="D3038">
        <v>14.1</v>
      </c>
      <c r="E3038">
        <v>0.05</v>
      </c>
      <c r="F3038">
        <v>14.1</v>
      </c>
      <c r="G3038">
        <v>14.11</v>
      </c>
      <c r="H3038">
        <v>170024</v>
      </c>
      <c r="I3038">
        <v>3585</v>
      </c>
      <c r="J3038">
        <v>0.07</v>
      </c>
      <c r="K3038">
        <v>1.39</v>
      </c>
      <c r="L3038">
        <v>23820.32</v>
      </c>
      <c r="M3038" t="s">
        <v>5936</v>
      </c>
      <c r="N3038" t="s">
        <v>1735</v>
      </c>
      <c r="O3038">
        <v>14.03</v>
      </c>
      <c r="P3038">
        <v>14.15</v>
      </c>
      <c r="Q3038">
        <v>13.85</v>
      </c>
      <c r="R3038">
        <v>14.05</v>
      </c>
      <c r="S3038">
        <v>29.09</v>
      </c>
      <c r="T3038">
        <v>0.69</v>
      </c>
      <c r="U3038" t="s">
        <v>848</v>
      </c>
    </row>
    <row r="3039" spans="1:21">
      <c r="A3039" t="str">
        <f>"600598"</f>
        <v>600598</v>
      </c>
      <c r="B3039" t="s">
        <v>5937</v>
      </c>
      <c r="C3039">
        <v>0.07</v>
      </c>
      <c r="D3039">
        <v>14.45</v>
      </c>
      <c r="E3039">
        <v>0.01</v>
      </c>
      <c r="F3039">
        <v>14.45</v>
      </c>
      <c r="G3039">
        <v>14.46</v>
      </c>
      <c r="H3039">
        <v>98100</v>
      </c>
      <c r="I3039">
        <v>1608</v>
      </c>
      <c r="J3039">
        <v>-0.06</v>
      </c>
      <c r="K3039">
        <v>0.55</v>
      </c>
      <c r="L3039">
        <v>14144.77</v>
      </c>
      <c r="M3039" t="s">
        <v>5938</v>
      </c>
      <c r="N3039" t="s">
        <v>639</v>
      </c>
      <c r="O3039">
        <v>14.55</v>
      </c>
      <c r="P3039">
        <v>14.55</v>
      </c>
      <c r="Q3039">
        <v>14.34</v>
      </c>
      <c r="R3039">
        <v>14.44</v>
      </c>
      <c r="S3039">
        <v>22.64</v>
      </c>
      <c r="T3039">
        <v>0.57</v>
      </c>
      <c r="U3039" t="s">
        <v>445</v>
      </c>
    </row>
    <row r="3040" spans="1:21">
      <c r="A3040" t="str">
        <f>"600599"</f>
        <v>600599</v>
      </c>
      <c r="B3040" t="s">
        <v>5939</v>
      </c>
      <c r="C3040">
        <v>0.11</v>
      </c>
      <c r="D3040">
        <v>9.18</v>
      </c>
      <c r="E3040">
        <v>0.01</v>
      </c>
      <c r="F3040">
        <v>9.17</v>
      </c>
      <c r="G3040">
        <v>9.18</v>
      </c>
      <c r="H3040">
        <v>8035</v>
      </c>
      <c r="I3040">
        <v>219</v>
      </c>
      <c r="J3040">
        <v>0.33</v>
      </c>
      <c r="K3040">
        <v>0.48</v>
      </c>
      <c r="L3040">
        <v>735.81</v>
      </c>
      <c r="M3040" t="s">
        <v>5940</v>
      </c>
      <c r="N3040" t="s">
        <v>121</v>
      </c>
      <c r="O3040">
        <v>9.25</v>
      </c>
      <c r="P3040">
        <v>9.25</v>
      </c>
      <c r="Q3040">
        <v>9.03</v>
      </c>
      <c r="R3040">
        <v>9.17</v>
      </c>
      <c r="S3040">
        <v>18.24</v>
      </c>
      <c r="T3040">
        <v>0.74</v>
      </c>
      <c r="U3040" t="s">
        <v>204</v>
      </c>
    </row>
    <row r="3041" spans="1:21">
      <c r="A3041" t="str">
        <f>"600600"</f>
        <v>600600</v>
      </c>
      <c r="B3041" t="s">
        <v>5941</v>
      </c>
      <c r="C3041">
        <v>0.09</v>
      </c>
      <c r="D3041">
        <v>98.52</v>
      </c>
      <c r="E3041">
        <v>0.09</v>
      </c>
      <c r="F3041">
        <v>98.51</v>
      </c>
      <c r="G3041">
        <v>98.52</v>
      </c>
      <c r="H3041">
        <v>30537</v>
      </c>
      <c r="I3041">
        <v>171</v>
      </c>
      <c r="J3041">
        <v>0.02</v>
      </c>
      <c r="K3041">
        <v>0.44</v>
      </c>
      <c r="L3041">
        <v>29919.78</v>
      </c>
      <c r="M3041" t="s">
        <v>5942</v>
      </c>
      <c r="N3041" t="s">
        <v>671</v>
      </c>
      <c r="O3041">
        <v>99.5</v>
      </c>
      <c r="P3041">
        <v>99.5</v>
      </c>
      <c r="Q3041">
        <v>96.8</v>
      </c>
      <c r="R3041">
        <v>98.43</v>
      </c>
      <c r="S3041">
        <v>27.92</v>
      </c>
      <c r="T3041">
        <v>0.6</v>
      </c>
      <c r="U3041" t="s">
        <v>221</v>
      </c>
    </row>
    <row r="3042" spans="1:21">
      <c r="A3042" t="str">
        <f>"600601"</f>
        <v>600601</v>
      </c>
      <c r="B3042" t="s">
        <v>5943</v>
      </c>
      <c r="C3042">
        <v>0.39</v>
      </c>
      <c r="D3042">
        <v>2.6</v>
      </c>
      <c r="E3042">
        <v>0.01</v>
      </c>
      <c r="F3042">
        <v>2.59</v>
      </c>
      <c r="G3042">
        <v>2.6</v>
      </c>
      <c r="H3042">
        <v>101117</v>
      </c>
      <c r="I3042">
        <v>1451</v>
      </c>
      <c r="J3042">
        <v>0.39</v>
      </c>
      <c r="K3042">
        <v>0.46</v>
      </c>
      <c r="L3042">
        <v>2620.05</v>
      </c>
      <c r="M3042" t="s">
        <v>5944</v>
      </c>
      <c r="N3042" t="s">
        <v>72</v>
      </c>
      <c r="O3042">
        <v>2.6</v>
      </c>
      <c r="P3042">
        <v>2.61</v>
      </c>
      <c r="Q3042">
        <v>2.57</v>
      </c>
      <c r="R3042">
        <v>2.59</v>
      </c>
      <c r="S3042" t="s">
        <v>40</v>
      </c>
      <c r="T3042">
        <v>1.01</v>
      </c>
      <c r="U3042" t="s">
        <v>848</v>
      </c>
    </row>
    <row r="3043" spans="1:21">
      <c r="A3043" t="str">
        <f>"600602"</f>
        <v>600602</v>
      </c>
      <c r="B3043" t="s">
        <v>5945</v>
      </c>
      <c r="C3043">
        <v>0.33</v>
      </c>
      <c r="D3043">
        <v>6.14</v>
      </c>
      <c r="E3043">
        <v>0.02</v>
      </c>
      <c r="F3043">
        <v>6.13</v>
      </c>
      <c r="G3043">
        <v>6.14</v>
      </c>
      <c r="H3043">
        <v>65601</v>
      </c>
      <c r="I3043">
        <v>587</v>
      </c>
      <c r="J3043">
        <v>0.16</v>
      </c>
      <c r="K3043">
        <v>0.61</v>
      </c>
      <c r="L3043">
        <v>4032.63</v>
      </c>
      <c r="M3043" t="s">
        <v>5946</v>
      </c>
      <c r="N3043" t="s">
        <v>30</v>
      </c>
      <c r="O3043">
        <v>6.11</v>
      </c>
      <c r="P3043">
        <v>6.21</v>
      </c>
      <c r="Q3043">
        <v>6.08</v>
      </c>
      <c r="R3043">
        <v>6.12</v>
      </c>
      <c r="S3043">
        <v>37.02</v>
      </c>
      <c r="T3043">
        <v>0.6</v>
      </c>
      <c r="U3043" t="s">
        <v>848</v>
      </c>
    </row>
    <row r="3044" spans="1:21">
      <c r="A3044" t="str">
        <f>"600603"</f>
        <v>600603</v>
      </c>
      <c r="B3044" t="s">
        <v>5947</v>
      </c>
      <c r="C3044">
        <v>2.94</v>
      </c>
      <c r="D3044">
        <v>3.85</v>
      </c>
      <c r="E3044">
        <v>0.11</v>
      </c>
      <c r="F3044">
        <v>3.84</v>
      </c>
      <c r="G3044">
        <v>3.85</v>
      </c>
      <c r="H3044">
        <v>58552</v>
      </c>
      <c r="I3044">
        <v>765</v>
      </c>
      <c r="J3044">
        <v>0.26</v>
      </c>
      <c r="K3044">
        <v>0.47</v>
      </c>
      <c r="L3044">
        <v>2229.71</v>
      </c>
      <c r="M3044" t="s">
        <v>5948</v>
      </c>
      <c r="N3044" t="s">
        <v>1049</v>
      </c>
      <c r="O3044">
        <v>3.74</v>
      </c>
      <c r="P3044">
        <v>3.87</v>
      </c>
      <c r="Q3044">
        <v>3.74</v>
      </c>
      <c r="R3044">
        <v>3.74</v>
      </c>
      <c r="S3044">
        <v>8.86</v>
      </c>
      <c r="T3044">
        <v>2.02</v>
      </c>
      <c r="U3044" t="s">
        <v>196</v>
      </c>
    </row>
    <row r="3045" spans="1:21">
      <c r="A3045" t="str">
        <f>"600604"</f>
        <v>600604</v>
      </c>
      <c r="B3045" t="s">
        <v>5949</v>
      </c>
      <c r="C3045">
        <v>0.97</v>
      </c>
      <c r="D3045">
        <v>5.21</v>
      </c>
      <c r="E3045">
        <v>0.05</v>
      </c>
      <c r="F3045">
        <v>5.21</v>
      </c>
      <c r="G3045">
        <v>5.22</v>
      </c>
      <c r="H3045">
        <v>34621</v>
      </c>
      <c r="I3045">
        <v>287</v>
      </c>
      <c r="J3045">
        <v>-0.37</v>
      </c>
      <c r="K3045">
        <v>0.25</v>
      </c>
      <c r="L3045">
        <v>1797.35</v>
      </c>
      <c r="M3045" t="s">
        <v>5950</v>
      </c>
      <c r="N3045" t="s">
        <v>520</v>
      </c>
      <c r="O3045">
        <v>5.15</v>
      </c>
      <c r="P3045">
        <v>5.23</v>
      </c>
      <c r="Q3045">
        <v>5.14</v>
      </c>
      <c r="R3045">
        <v>5.16</v>
      </c>
      <c r="S3045" t="s">
        <v>40</v>
      </c>
      <c r="T3045">
        <v>0.81</v>
      </c>
      <c r="U3045" t="s">
        <v>848</v>
      </c>
    </row>
    <row r="3046" spans="1:21">
      <c r="A3046" t="str">
        <f>"600605"</f>
        <v>600605</v>
      </c>
      <c r="B3046" t="s">
        <v>5951</v>
      </c>
      <c r="C3046">
        <v>1.2</v>
      </c>
      <c r="D3046">
        <v>8.41</v>
      </c>
      <c r="E3046">
        <v>0.1</v>
      </c>
      <c r="F3046">
        <v>8.41</v>
      </c>
      <c r="G3046">
        <v>8.42</v>
      </c>
      <c r="H3046">
        <v>7742</v>
      </c>
      <c r="I3046">
        <v>771</v>
      </c>
      <c r="J3046">
        <v>0</v>
      </c>
      <c r="K3046">
        <v>0.38</v>
      </c>
      <c r="L3046">
        <v>648.17</v>
      </c>
      <c r="M3046" t="s">
        <v>5952</v>
      </c>
      <c r="N3046" t="s">
        <v>134</v>
      </c>
      <c r="O3046">
        <v>8.23</v>
      </c>
      <c r="P3046">
        <v>8.42</v>
      </c>
      <c r="Q3046">
        <v>8.23</v>
      </c>
      <c r="R3046">
        <v>8.31</v>
      </c>
      <c r="S3046">
        <v>24.7</v>
      </c>
      <c r="T3046">
        <v>1.24</v>
      </c>
      <c r="U3046" t="s">
        <v>848</v>
      </c>
    </row>
    <row r="3047" spans="1:21">
      <c r="A3047" t="str">
        <f>"600606"</f>
        <v>600606</v>
      </c>
      <c r="B3047" t="s">
        <v>5953</v>
      </c>
      <c r="C3047">
        <v>2.45</v>
      </c>
      <c r="D3047">
        <v>4.18</v>
      </c>
      <c r="E3047">
        <v>0.1</v>
      </c>
      <c r="F3047">
        <v>4.18</v>
      </c>
      <c r="G3047">
        <v>4.19</v>
      </c>
      <c r="H3047">
        <v>313563</v>
      </c>
      <c r="I3047">
        <v>4753</v>
      </c>
      <c r="J3047">
        <v>0</v>
      </c>
      <c r="K3047">
        <v>0.25</v>
      </c>
      <c r="L3047">
        <v>12973.43</v>
      </c>
      <c r="M3047" t="s">
        <v>5954</v>
      </c>
      <c r="N3047" t="s">
        <v>50</v>
      </c>
      <c r="O3047">
        <v>4.08</v>
      </c>
      <c r="P3047">
        <v>4.22</v>
      </c>
      <c r="Q3047">
        <v>4.07</v>
      </c>
      <c r="R3047">
        <v>4.08</v>
      </c>
      <c r="S3047">
        <v>3.59</v>
      </c>
      <c r="T3047">
        <v>1.04</v>
      </c>
      <c r="U3047" t="s">
        <v>848</v>
      </c>
    </row>
    <row r="3048" spans="1:21">
      <c r="A3048" t="str">
        <f>"600608"</f>
        <v>600608</v>
      </c>
      <c r="B3048" t="s">
        <v>5955</v>
      </c>
      <c r="C3048">
        <v>0.75</v>
      </c>
      <c r="D3048">
        <v>5.39</v>
      </c>
      <c r="E3048">
        <v>0.04</v>
      </c>
      <c r="F3048">
        <v>5.39</v>
      </c>
      <c r="G3048">
        <v>5.4</v>
      </c>
      <c r="H3048">
        <v>6944</v>
      </c>
      <c r="I3048">
        <v>210</v>
      </c>
      <c r="J3048">
        <v>0</v>
      </c>
      <c r="K3048">
        <v>0.22</v>
      </c>
      <c r="L3048">
        <v>374.36</v>
      </c>
      <c r="M3048" t="s">
        <v>5956</v>
      </c>
      <c r="N3048" t="s">
        <v>189</v>
      </c>
      <c r="O3048">
        <v>5.35</v>
      </c>
      <c r="P3048">
        <v>5.43</v>
      </c>
      <c r="Q3048">
        <v>5.34</v>
      </c>
      <c r="R3048">
        <v>5.35</v>
      </c>
      <c r="S3048">
        <v>598.27</v>
      </c>
      <c r="T3048">
        <v>0.55</v>
      </c>
      <c r="U3048" t="s">
        <v>848</v>
      </c>
    </row>
    <row r="3049" spans="1:21">
      <c r="A3049" t="str">
        <f>"600609"</f>
        <v>600609</v>
      </c>
      <c r="B3049" t="s">
        <v>5957</v>
      </c>
      <c r="C3049">
        <v>0.14</v>
      </c>
      <c r="D3049">
        <v>7.08</v>
      </c>
      <c r="E3049">
        <v>0.01</v>
      </c>
      <c r="F3049">
        <v>7.07</v>
      </c>
      <c r="G3049">
        <v>7.08</v>
      </c>
      <c r="H3049">
        <v>124283</v>
      </c>
      <c r="I3049">
        <v>310</v>
      </c>
      <c r="J3049">
        <v>0.14</v>
      </c>
      <c r="K3049">
        <v>1.14</v>
      </c>
      <c r="L3049">
        <v>8864.05</v>
      </c>
      <c r="M3049" t="s">
        <v>5958</v>
      </c>
      <c r="N3049" t="s">
        <v>91</v>
      </c>
      <c r="O3049">
        <v>7.14</v>
      </c>
      <c r="P3049">
        <v>7.39</v>
      </c>
      <c r="Q3049">
        <v>7.04</v>
      </c>
      <c r="R3049">
        <v>7.07</v>
      </c>
      <c r="S3049">
        <v>29.36</v>
      </c>
      <c r="T3049">
        <v>0.64</v>
      </c>
      <c r="U3049" t="s">
        <v>141</v>
      </c>
    </row>
    <row r="3050" spans="1:21">
      <c r="A3050" t="str">
        <f>"600610"</f>
        <v>600610</v>
      </c>
      <c r="B3050" t="s">
        <v>5959</v>
      </c>
      <c r="C3050">
        <v>0</v>
      </c>
      <c r="D3050">
        <v>17.25</v>
      </c>
      <c r="E3050">
        <v>0</v>
      </c>
      <c r="F3050">
        <v>17.25</v>
      </c>
      <c r="G3050">
        <v>17.26</v>
      </c>
      <c r="H3050">
        <v>53381</v>
      </c>
      <c r="I3050">
        <v>216</v>
      </c>
      <c r="J3050">
        <v>-0.05</v>
      </c>
      <c r="K3050">
        <v>1.19</v>
      </c>
      <c r="L3050">
        <v>9211.46</v>
      </c>
      <c r="M3050" t="s">
        <v>5960</v>
      </c>
      <c r="N3050" t="s">
        <v>309</v>
      </c>
      <c r="O3050">
        <v>17.2</v>
      </c>
      <c r="P3050">
        <v>17.46</v>
      </c>
      <c r="Q3050">
        <v>17.05</v>
      </c>
      <c r="R3050">
        <v>17.25</v>
      </c>
      <c r="S3050">
        <v>349.5</v>
      </c>
      <c r="T3050">
        <v>0.52</v>
      </c>
      <c r="U3050" t="s">
        <v>848</v>
      </c>
    </row>
    <row r="3051" spans="1:21">
      <c r="A3051" t="str">
        <f>"600611"</f>
        <v>600611</v>
      </c>
      <c r="B3051" t="s">
        <v>5961</v>
      </c>
      <c r="C3051">
        <v>0.3</v>
      </c>
      <c r="D3051">
        <v>3.37</v>
      </c>
      <c r="E3051">
        <v>0.01</v>
      </c>
      <c r="F3051">
        <v>3.36</v>
      </c>
      <c r="G3051">
        <v>3.37</v>
      </c>
      <c r="H3051">
        <v>102709</v>
      </c>
      <c r="I3051">
        <v>1450</v>
      </c>
      <c r="J3051">
        <v>0.3</v>
      </c>
      <c r="K3051">
        <v>0.66</v>
      </c>
      <c r="L3051">
        <v>3451.58</v>
      </c>
      <c r="M3051" t="s">
        <v>5962</v>
      </c>
      <c r="N3051" t="s">
        <v>2308</v>
      </c>
      <c r="O3051">
        <v>3.35</v>
      </c>
      <c r="P3051">
        <v>3.39</v>
      </c>
      <c r="Q3051">
        <v>3.31</v>
      </c>
      <c r="R3051">
        <v>3.36</v>
      </c>
      <c r="S3051">
        <v>23.35</v>
      </c>
      <c r="T3051">
        <v>1.41</v>
      </c>
      <c r="U3051" t="s">
        <v>848</v>
      </c>
    </row>
    <row r="3052" spans="1:21">
      <c r="A3052" t="str">
        <f>"600612"</f>
        <v>600612</v>
      </c>
      <c r="B3052" t="s">
        <v>5963</v>
      </c>
      <c r="C3052">
        <v>0.22</v>
      </c>
      <c r="D3052">
        <v>46.17</v>
      </c>
      <c r="E3052">
        <v>0.1</v>
      </c>
      <c r="F3052">
        <v>46.17</v>
      </c>
      <c r="G3052">
        <v>46.18</v>
      </c>
      <c r="H3052">
        <v>4868</v>
      </c>
      <c r="I3052">
        <v>27</v>
      </c>
      <c r="J3052">
        <v>-0.03</v>
      </c>
      <c r="K3052">
        <v>0.15</v>
      </c>
      <c r="L3052">
        <v>2243.51</v>
      </c>
      <c r="M3052" t="s">
        <v>5964</v>
      </c>
      <c r="N3052" t="s">
        <v>1061</v>
      </c>
      <c r="O3052">
        <v>46.12</v>
      </c>
      <c r="P3052">
        <v>46.36</v>
      </c>
      <c r="Q3052">
        <v>45.84</v>
      </c>
      <c r="R3052">
        <v>46.07</v>
      </c>
      <c r="S3052">
        <v>12.09</v>
      </c>
      <c r="T3052">
        <v>0.81</v>
      </c>
      <c r="U3052" t="s">
        <v>848</v>
      </c>
    </row>
    <row r="3053" spans="1:21">
      <c r="A3053" t="str">
        <f>"600613"</f>
        <v>600613</v>
      </c>
      <c r="B3053" t="s">
        <v>5965</v>
      </c>
      <c r="C3053">
        <v>0.79</v>
      </c>
      <c r="D3053">
        <v>5.11</v>
      </c>
      <c r="E3053">
        <v>0.04</v>
      </c>
      <c r="F3053">
        <v>5.11</v>
      </c>
      <c r="G3053">
        <v>5.12</v>
      </c>
      <c r="H3053">
        <v>18572</v>
      </c>
      <c r="I3053">
        <v>501</v>
      </c>
      <c r="J3053">
        <v>0</v>
      </c>
      <c r="K3053">
        <v>0.39</v>
      </c>
      <c r="L3053">
        <v>947.12</v>
      </c>
      <c r="M3053" t="s">
        <v>5966</v>
      </c>
      <c r="N3053" t="s">
        <v>270</v>
      </c>
      <c r="O3053">
        <v>5.09</v>
      </c>
      <c r="P3053">
        <v>5.14</v>
      </c>
      <c r="Q3053">
        <v>5.06</v>
      </c>
      <c r="R3053">
        <v>5.07</v>
      </c>
      <c r="S3053">
        <v>38.6</v>
      </c>
      <c r="T3053">
        <v>0.77</v>
      </c>
      <c r="U3053" t="s">
        <v>848</v>
      </c>
    </row>
    <row r="3054" spans="1:21">
      <c r="A3054" t="str">
        <f>"600615"</f>
        <v>600615</v>
      </c>
      <c r="B3054" t="s">
        <v>5967</v>
      </c>
      <c r="C3054">
        <v>0.87</v>
      </c>
      <c r="D3054">
        <v>8.15</v>
      </c>
      <c r="E3054">
        <v>0.07</v>
      </c>
      <c r="F3054">
        <v>8.14</v>
      </c>
      <c r="G3054">
        <v>8.15</v>
      </c>
      <c r="H3054">
        <v>8463</v>
      </c>
      <c r="I3054">
        <v>48</v>
      </c>
      <c r="J3054">
        <v>0.12</v>
      </c>
      <c r="K3054">
        <v>0.45</v>
      </c>
      <c r="L3054">
        <v>691.39</v>
      </c>
      <c r="M3054" t="s">
        <v>530</v>
      </c>
      <c r="N3054" t="s">
        <v>523</v>
      </c>
      <c r="O3054">
        <v>8.11</v>
      </c>
      <c r="P3054">
        <v>8.35</v>
      </c>
      <c r="Q3054">
        <v>7.98</v>
      </c>
      <c r="R3054">
        <v>8.08</v>
      </c>
      <c r="S3054" t="s">
        <v>40</v>
      </c>
      <c r="T3054">
        <v>0.88</v>
      </c>
      <c r="U3054" t="s">
        <v>848</v>
      </c>
    </row>
    <row r="3055" spans="1:21">
      <c r="A3055" t="str">
        <f>"600616"</f>
        <v>600616</v>
      </c>
      <c r="B3055" t="s">
        <v>5968</v>
      </c>
      <c r="C3055">
        <v>0.59</v>
      </c>
      <c r="D3055">
        <v>6.82</v>
      </c>
      <c r="E3055">
        <v>0.04</v>
      </c>
      <c r="F3055">
        <v>6.81</v>
      </c>
      <c r="G3055">
        <v>6.82</v>
      </c>
      <c r="H3055">
        <v>54941</v>
      </c>
      <c r="I3055">
        <v>365</v>
      </c>
      <c r="J3055">
        <v>0.15</v>
      </c>
      <c r="K3055">
        <v>0.82</v>
      </c>
      <c r="L3055">
        <v>3740.64</v>
      </c>
      <c r="M3055" t="s">
        <v>5969</v>
      </c>
      <c r="N3055" t="s">
        <v>853</v>
      </c>
      <c r="O3055">
        <v>6.76</v>
      </c>
      <c r="P3055">
        <v>6.88</v>
      </c>
      <c r="Q3055">
        <v>6.76</v>
      </c>
      <c r="R3055">
        <v>6.78</v>
      </c>
      <c r="S3055" t="s">
        <v>40</v>
      </c>
      <c r="T3055">
        <v>0.66</v>
      </c>
      <c r="U3055" t="s">
        <v>848</v>
      </c>
    </row>
    <row r="3056" spans="1:21">
      <c r="A3056" t="str">
        <f>"600617"</f>
        <v>600617</v>
      </c>
      <c r="B3056" t="s">
        <v>5970</v>
      </c>
      <c r="C3056">
        <v>-0.45</v>
      </c>
      <c r="D3056">
        <v>4.38</v>
      </c>
      <c r="E3056">
        <v>-0.02</v>
      </c>
      <c r="F3056">
        <v>4.38</v>
      </c>
      <c r="G3056">
        <v>4.39</v>
      </c>
      <c r="H3056">
        <v>65784</v>
      </c>
      <c r="I3056">
        <v>882</v>
      </c>
      <c r="J3056">
        <v>0</v>
      </c>
      <c r="K3056">
        <v>0.67</v>
      </c>
      <c r="L3056">
        <v>2849.72</v>
      </c>
      <c r="M3056" t="s">
        <v>5868</v>
      </c>
      <c r="N3056" t="s">
        <v>238</v>
      </c>
      <c r="O3056">
        <v>4.4</v>
      </c>
      <c r="P3056">
        <v>4.4</v>
      </c>
      <c r="Q3056">
        <v>4.27</v>
      </c>
      <c r="R3056">
        <v>4.4</v>
      </c>
      <c r="S3056" t="s">
        <v>40</v>
      </c>
      <c r="T3056">
        <v>1.05</v>
      </c>
      <c r="U3056" t="s">
        <v>232</v>
      </c>
    </row>
    <row r="3057" spans="1:21">
      <c r="A3057" t="str">
        <f>"600618"</f>
        <v>600618</v>
      </c>
      <c r="B3057" t="s">
        <v>5971</v>
      </c>
      <c r="C3057">
        <v>4.98</v>
      </c>
      <c r="D3057">
        <v>12.44</v>
      </c>
      <c r="E3057">
        <v>0.59</v>
      </c>
      <c r="F3057">
        <v>12.43</v>
      </c>
      <c r="G3057">
        <v>12.44</v>
      </c>
      <c r="H3057">
        <v>317143</v>
      </c>
      <c r="I3057">
        <v>3885</v>
      </c>
      <c r="J3057">
        <v>0</v>
      </c>
      <c r="K3057">
        <v>4.23</v>
      </c>
      <c r="L3057">
        <v>38738.94</v>
      </c>
      <c r="M3057" t="s">
        <v>5972</v>
      </c>
      <c r="N3057" t="s">
        <v>309</v>
      </c>
      <c r="O3057">
        <v>11.78</v>
      </c>
      <c r="P3057">
        <v>12.58</v>
      </c>
      <c r="Q3057">
        <v>11.66</v>
      </c>
      <c r="R3057">
        <v>11.85</v>
      </c>
      <c r="S3057">
        <v>9.44</v>
      </c>
      <c r="T3057">
        <v>1.97</v>
      </c>
      <c r="U3057" t="s">
        <v>848</v>
      </c>
    </row>
    <row r="3058" spans="1:21">
      <c r="A3058" t="str">
        <f>"600619"</f>
        <v>600619</v>
      </c>
      <c r="B3058" t="s">
        <v>5973</v>
      </c>
      <c r="C3058">
        <v>2.26</v>
      </c>
      <c r="D3058">
        <v>8.13</v>
      </c>
      <c r="E3058">
        <v>0.18</v>
      </c>
      <c r="F3058">
        <v>8.12</v>
      </c>
      <c r="G3058">
        <v>8.13</v>
      </c>
      <c r="H3058">
        <v>44528</v>
      </c>
      <c r="I3058">
        <v>632</v>
      </c>
      <c r="J3058">
        <v>0.12</v>
      </c>
      <c r="K3058">
        <v>0.76</v>
      </c>
      <c r="L3058">
        <v>3592.96</v>
      </c>
      <c r="M3058" t="s">
        <v>5974</v>
      </c>
      <c r="N3058" t="s">
        <v>60</v>
      </c>
      <c r="O3058">
        <v>7.93</v>
      </c>
      <c r="P3058">
        <v>8.2</v>
      </c>
      <c r="Q3058">
        <v>7.9</v>
      </c>
      <c r="R3058">
        <v>7.95</v>
      </c>
      <c r="S3058">
        <v>49.87</v>
      </c>
      <c r="T3058">
        <v>0.88</v>
      </c>
      <c r="U3058" t="s">
        <v>848</v>
      </c>
    </row>
    <row r="3059" spans="1:21">
      <c r="A3059" t="str">
        <f>"600620"</f>
        <v>600620</v>
      </c>
      <c r="B3059" t="s">
        <v>5975</v>
      </c>
      <c r="C3059">
        <v>-0.12</v>
      </c>
      <c r="D3059">
        <v>8.62</v>
      </c>
      <c r="E3059">
        <v>-0.01</v>
      </c>
      <c r="F3059">
        <v>8.62</v>
      </c>
      <c r="G3059">
        <v>8.63</v>
      </c>
      <c r="H3059">
        <v>56299</v>
      </c>
      <c r="I3059">
        <v>565</v>
      </c>
      <c r="J3059">
        <v>-0.11</v>
      </c>
      <c r="K3059">
        <v>0.82</v>
      </c>
      <c r="L3059">
        <v>4847.56</v>
      </c>
      <c r="M3059" t="s">
        <v>2881</v>
      </c>
      <c r="N3059" t="s">
        <v>99</v>
      </c>
      <c r="O3059">
        <v>8.56</v>
      </c>
      <c r="P3059">
        <v>8.8</v>
      </c>
      <c r="Q3059">
        <v>8.45</v>
      </c>
      <c r="R3059">
        <v>8.63</v>
      </c>
      <c r="S3059">
        <v>26.12</v>
      </c>
      <c r="T3059">
        <v>0.77</v>
      </c>
      <c r="U3059" t="s">
        <v>848</v>
      </c>
    </row>
    <row r="3060" spans="1:21">
      <c r="A3060" t="str">
        <f>"600621"</f>
        <v>600621</v>
      </c>
      <c r="B3060" t="s">
        <v>5976</v>
      </c>
      <c r="C3060">
        <v>0.99</v>
      </c>
      <c r="D3060">
        <v>13.28</v>
      </c>
      <c r="E3060">
        <v>0.13</v>
      </c>
      <c r="F3060">
        <v>13.28</v>
      </c>
      <c r="G3060">
        <v>13.29</v>
      </c>
      <c r="H3060">
        <v>159831</v>
      </c>
      <c r="I3060">
        <v>1672</v>
      </c>
      <c r="J3060">
        <v>-0.07</v>
      </c>
      <c r="K3060">
        <v>1.51</v>
      </c>
      <c r="L3060">
        <v>21063.67</v>
      </c>
      <c r="M3060" t="s">
        <v>5977</v>
      </c>
      <c r="N3060" t="s">
        <v>213</v>
      </c>
      <c r="O3060">
        <v>13.01</v>
      </c>
      <c r="P3060">
        <v>13.46</v>
      </c>
      <c r="Q3060">
        <v>12.91</v>
      </c>
      <c r="R3060">
        <v>13.15</v>
      </c>
      <c r="S3060">
        <v>21.69</v>
      </c>
      <c r="T3060">
        <v>1.62</v>
      </c>
      <c r="U3060" t="s">
        <v>848</v>
      </c>
    </row>
    <row r="3061" spans="1:21">
      <c r="A3061" t="str">
        <f>"600622"</f>
        <v>600622</v>
      </c>
      <c r="B3061" t="s">
        <v>5978</v>
      </c>
      <c r="C3061">
        <v>1.92</v>
      </c>
      <c r="D3061">
        <v>2.66</v>
      </c>
      <c r="E3061">
        <v>0.05</v>
      </c>
      <c r="F3061">
        <v>2.65</v>
      </c>
      <c r="G3061">
        <v>2.66</v>
      </c>
      <c r="H3061">
        <v>53712</v>
      </c>
      <c r="I3061">
        <v>1032</v>
      </c>
      <c r="J3061">
        <v>0.38</v>
      </c>
      <c r="K3061">
        <v>0.36</v>
      </c>
      <c r="L3061">
        <v>1417.93</v>
      </c>
      <c r="M3061" t="s">
        <v>5979</v>
      </c>
      <c r="N3061" t="s">
        <v>36</v>
      </c>
      <c r="O3061">
        <v>2.62</v>
      </c>
      <c r="P3061">
        <v>2.68</v>
      </c>
      <c r="Q3061">
        <v>2.61</v>
      </c>
      <c r="R3061">
        <v>2.61</v>
      </c>
      <c r="S3061">
        <v>17.32</v>
      </c>
      <c r="T3061">
        <v>1.1</v>
      </c>
      <c r="U3061" t="s">
        <v>848</v>
      </c>
    </row>
    <row r="3062" spans="1:21">
      <c r="A3062" t="str">
        <f>"600623"</f>
        <v>600623</v>
      </c>
      <c r="B3062" t="s">
        <v>5980</v>
      </c>
      <c r="C3062">
        <v>2.86</v>
      </c>
      <c r="D3062">
        <v>9.34</v>
      </c>
      <c r="E3062">
        <v>0.26</v>
      </c>
      <c r="F3062">
        <v>9.33</v>
      </c>
      <c r="G3062">
        <v>9.34</v>
      </c>
      <c r="H3062">
        <v>172659</v>
      </c>
      <c r="I3062">
        <v>2118</v>
      </c>
      <c r="J3062">
        <v>0.11</v>
      </c>
      <c r="K3062">
        <v>0.93</v>
      </c>
      <c r="L3062">
        <v>15942.81</v>
      </c>
      <c r="M3062" t="s">
        <v>5981</v>
      </c>
      <c r="N3062" t="s">
        <v>91</v>
      </c>
      <c r="O3062">
        <v>9.08</v>
      </c>
      <c r="P3062">
        <v>9.36</v>
      </c>
      <c r="Q3062">
        <v>9.05</v>
      </c>
      <c r="R3062">
        <v>9.08</v>
      </c>
      <c r="S3062">
        <v>5.97</v>
      </c>
      <c r="T3062">
        <v>1.04</v>
      </c>
      <c r="U3062" t="s">
        <v>848</v>
      </c>
    </row>
    <row r="3063" spans="1:21">
      <c r="A3063" t="str">
        <f>"600624"</f>
        <v>600624</v>
      </c>
      <c r="B3063" t="s">
        <v>5982</v>
      </c>
      <c r="C3063">
        <v>1.24</v>
      </c>
      <c r="D3063">
        <v>6.54</v>
      </c>
      <c r="E3063">
        <v>0.08</v>
      </c>
      <c r="F3063">
        <v>6.53</v>
      </c>
      <c r="G3063">
        <v>6.54</v>
      </c>
      <c r="H3063">
        <v>36021</v>
      </c>
      <c r="I3063">
        <v>981</v>
      </c>
      <c r="J3063">
        <v>0</v>
      </c>
      <c r="K3063">
        <v>0.53</v>
      </c>
      <c r="L3063">
        <v>2347.76</v>
      </c>
      <c r="M3063" t="s">
        <v>5983</v>
      </c>
      <c r="N3063" t="s">
        <v>192</v>
      </c>
      <c r="O3063">
        <v>6.47</v>
      </c>
      <c r="P3063">
        <v>6.55</v>
      </c>
      <c r="Q3063">
        <v>6.44</v>
      </c>
      <c r="R3063">
        <v>6.46</v>
      </c>
      <c r="S3063">
        <v>199.95</v>
      </c>
      <c r="T3063">
        <v>0.77</v>
      </c>
      <c r="U3063" t="s">
        <v>848</v>
      </c>
    </row>
    <row r="3064" spans="1:21">
      <c r="A3064" t="str">
        <f>"600626"</f>
        <v>600626</v>
      </c>
      <c r="B3064" t="s">
        <v>5984</v>
      </c>
      <c r="C3064">
        <v>0</v>
      </c>
      <c r="D3064">
        <v>3.68</v>
      </c>
      <c r="E3064">
        <v>0</v>
      </c>
      <c r="F3064">
        <v>3.67</v>
      </c>
      <c r="G3064">
        <v>3.68</v>
      </c>
      <c r="H3064">
        <v>36987</v>
      </c>
      <c r="I3064">
        <v>879</v>
      </c>
      <c r="J3064">
        <v>0.27</v>
      </c>
      <c r="K3064">
        <v>0.46</v>
      </c>
      <c r="L3064">
        <v>1356.68</v>
      </c>
      <c r="M3064" t="s">
        <v>827</v>
      </c>
      <c r="N3064" t="s">
        <v>91</v>
      </c>
      <c r="O3064">
        <v>3.67</v>
      </c>
      <c r="P3064">
        <v>3.7</v>
      </c>
      <c r="Q3064">
        <v>3.64</v>
      </c>
      <c r="R3064">
        <v>3.68</v>
      </c>
      <c r="S3064">
        <v>41.95</v>
      </c>
      <c r="T3064">
        <v>1.01</v>
      </c>
      <c r="U3064" t="s">
        <v>848</v>
      </c>
    </row>
    <row r="3065" spans="1:21">
      <c r="A3065" t="str">
        <f>"600628"</f>
        <v>600628</v>
      </c>
      <c r="B3065" t="s">
        <v>5985</v>
      </c>
      <c r="C3065">
        <v>0.14</v>
      </c>
      <c r="D3065">
        <v>7.4</v>
      </c>
      <c r="E3065">
        <v>0.01</v>
      </c>
      <c r="F3065">
        <v>7.39</v>
      </c>
      <c r="G3065">
        <v>7.4</v>
      </c>
      <c r="H3065">
        <v>9553</v>
      </c>
      <c r="I3065">
        <v>87</v>
      </c>
      <c r="J3065">
        <v>-0.12</v>
      </c>
      <c r="K3065">
        <v>0.15</v>
      </c>
      <c r="L3065">
        <v>704.34</v>
      </c>
      <c r="M3065" t="s">
        <v>5986</v>
      </c>
      <c r="N3065" t="s">
        <v>258</v>
      </c>
      <c r="O3065">
        <v>7.38</v>
      </c>
      <c r="P3065">
        <v>7.42</v>
      </c>
      <c r="Q3065">
        <v>7.34</v>
      </c>
      <c r="R3065">
        <v>7.39</v>
      </c>
      <c r="S3065">
        <v>44.26</v>
      </c>
      <c r="T3065">
        <v>0.75</v>
      </c>
      <c r="U3065" t="s">
        <v>848</v>
      </c>
    </row>
    <row r="3066" spans="1:21">
      <c r="A3066" t="str">
        <f>"600629"</f>
        <v>600629</v>
      </c>
      <c r="B3066" t="s">
        <v>5987</v>
      </c>
      <c r="C3066">
        <v>1.15</v>
      </c>
      <c r="D3066">
        <v>6.15</v>
      </c>
      <c r="E3066">
        <v>0.07</v>
      </c>
      <c r="F3066">
        <v>6.14</v>
      </c>
      <c r="G3066">
        <v>6.15</v>
      </c>
      <c r="H3066">
        <v>23315</v>
      </c>
      <c r="I3066">
        <v>382</v>
      </c>
      <c r="J3066">
        <v>0.16</v>
      </c>
      <c r="K3066">
        <v>0.37</v>
      </c>
      <c r="L3066">
        <v>1428.64</v>
      </c>
      <c r="M3066" t="s">
        <v>5988</v>
      </c>
      <c r="N3066" t="s">
        <v>50</v>
      </c>
      <c r="O3066">
        <v>6.14</v>
      </c>
      <c r="P3066">
        <v>6.18</v>
      </c>
      <c r="Q3066">
        <v>6.05</v>
      </c>
      <c r="R3066">
        <v>6.08</v>
      </c>
      <c r="S3066">
        <v>10.98</v>
      </c>
      <c r="T3066">
        <v>0.32</v>
      </c>
      <c r="U3066" t="s">
        <v>848</v>
      </c>
    </row>
    <row r="3067" spans="1:21">
      <c r="A3067" t="str">
        <f>"600630"</f>
        <v>600630</v>
      </c>
      <c r="B3067" t="s">
        <v>5989</v>
      </c>
      <c r="C3067">
        <v>0.79</v>
      </c>
      <c r="D3067">
        <v>5.12</v>
      </c>
      <c r="E3067">
        <v>0.04</v>
      </c>
      <c r="F3067">
        <v>5.11</v>
      </c>
      <c r="G3067">
        <v>5.12</v>
      </c>
      <c r="H3067">
        <v>18505</v>
      </c>
      <c r="I3067">
        <v>93</v>
      </c>
      <c r="J3067">
        <v>0</v>
      </c>
      <c r="K3067">
        <v>0.44</v>
      </c>
      <c r="L3067">
        <v>943.84</v>
      </c>
      <c r="M3067" t="s">
        <v>5990</v>
      </c>
      <c r="N3067" t="s">
        <v>664</v>
      </c>
      <c r="O3067">
        <v>5.06</v>
      </c>
      <c r="P3067">
        <v>5.12</v>
      </c>
      <c r="Q3067">
        <v>5.06</v>
      </c>
      <c r="R3067">
        <v>5.08</v>
      </c>
      <c r="S3067">
        <v>76.63</v>
      </c>
      <c r="T3067">
        <v>0.91</v>
      </c>
      <c r="U3067" t="s">
        <v>848</v>
      </c>
    </row>
    <row r="3068" spans="1:21">
      <c r="A3068" t="str">
        <f>"600633"</f>
        <v>600633</v>
      </c>
      <c r="B3068" t="s">
        <v>5991</v>
      </c>
      <c r="C3068">
        <v>0.8</v>
      </c>
      <c r="D3068">
        <v>7.55</v>
      </c>
      <c r="E3068">
        <v>0.06</v>
      </c>
      <c r="F3068">
        <v>7.54</v>
      </c>
      <c r="G3068">
        <v>7.55</v>
      </c>
      <c r="H3068">
        <v>136099</v>
      </c>
      <c r="I3068">
        <v>1828</v>
      </c>
      <c r="J3068">
        <v>0.13</v>
      </c>
      <c r="K3068">
        <v>1.05</v>
      </c>
      <c r="L3068">
        <v>10317.9</v>
      </c>
      <c r="M3068" t="s">
        <v>5992</v>
      </c>
      <c r="N3068" t="s">
        <v>479</v>
      </c>
      <c r="O3068">
        <v>7.57</v>
      </c>
      <c r="P3068">
        <v>7.7</v>
      </c>
      <c r="Q3068">
        <v>7.51</v>
      </c>
      <c r="R3068">
        <v>7.49</v>
      </c>
      <c r="S3068">
        <v>15.69</v>
      </c>
      <c r="T3068">
        <v>0.67</v>
      </c>
      <c r="U3068" t="s">
        <v>200</v>
      </c>
    </row>
    <row r="3069" spans="1:21">
      <c r="A3069" t="str">
        <f>"600635"</f>
        <v>600635</v>
      </c>
      <c r="B3069" t="s">
        <v>5993</v>
      </c>
      <c r="C3069">
        <v>0</v>
      </c>
      <c r="D3069">
        <v>3.81</v>
      </c>
      <c r="E3069">
        <v>0</v>
      </c>
      <c r="F3069">
        <v>3.81</v>
      </c>
      <c r="G3069">
        <v>3.82</v>
      </c>
      <c r="H3069">
        <v>318799</v>
      </c>
      <c r="I3069">
        <v>2055</v>
      </c>
      <c r="J3069">
        <v>0</v>
      </c>
      <c r="K3069">
        <v>1.32</v>
      </c>
      <c r="L3069">
        <v>11882.25</v>
      </c>
      <c r="M3069" t="s">
        <v>5994</v>
      </c>
      <c r="N3069" t="s">
        <v>238</v>
      </c>
      <c r="O3069">
        <v>3.74</v>
      </c>
      <c r="P3069">
        <v>3.82</v>
      </c>
      <c r="Q3069">
        <v>3.66</v>
      </c>
      <c r="R3069">
        <v>3.81</v>
      </c>
      <c r="S3069">
        <v>38.07</v>
      </c>
      <c r="T3069">
        <v>1.49</v>
      </c>
      <c r="U3069" t="s">
        <v>848</v>
      </c>
    </row>
    <row r="3070" spans="1:21">
      <c r="A3070" t="str">
        <f>"600636"</f>
        <v>600636</v>
      </c>
      <c r="B3070" t="s">
        <v>5995</v>
      </c>
      <c r="C3070">
        <v>0.1</v>
      </c>
      <c r="D3070">
        <v>9.8</v>
      </c>
      <c r="E3070">
        <v>0.01</v>
      </c>
      <c r="F3070">
        <v>9.8</v>
      </c>
      <c r="G3070">
        <v>9.81</v>
      </c>
      <c r="H3070">
        <v>38662</v>
      </c>
      <c r="I3070">
        <v>448</v>
      </c>
      <c r="J3070">
        <v>0</v>
      </c>
      <c r="K3070">
        <v>0.88</v>
      </c>
      <c r="L3070">
        <v>3764.55</v>
      </c>
      <c r="M3070" t="s">
        <v>3174</v>
      </c>
      <c r="N3070" t="s">
        <v>63</v>
      </c>
      <c r="O3070">
        <v>9.77</v>
      </c>
      <c r="P3070">
        <v>9.84</v>
      </c>
      <c r="Q3070">
        <v>9.66</v>
      </c>
      <c r="R3070">
        <v>9.79</v>
      </c>
      <c r="S3070">
        <v>49.29</v>
      </c>
      <c r="T3070">
        <v>0.86</v>
      </c>
      <c r="U3070" t="s">
        <v>848</v>
      </c>
    </row>
    <row r="3071" spans="1:21">
      <c r="A3071" t="str">
        <f>"600637"</f>
        <v>600637</v>
      </c>
      <c r="B3071" t="s">
        <v>5996</v>
      </c>
      <c r="C3071">
        <v>0.65</v>
      </c>
      <c r="D3071">
        <v>7.78</v>
      </c>
      <c r="E3071">
        <v>0.05</v>
      </c>
      <c r="F3071">
        <v>7.77</v>
      </c>
      <c r="G3071">
        <v>7.78</v>
      </c>
      <c r="H3071">
        <v>95663</v>
      </c>
      <c r="I3071">
        <v>1107</v>
      </c>
      <c r="J3071">
        <v>0.13</v>
      </c>
      <c r="K3071">
        <v>0.28</v>
      </c>
      <c r="L3071">
        <v>7407.62</v>
      </c>
      <c r="M3071" t="s">
        <v>5997</v>
      </c>
      <c r="N3071" t="s">
        <v>199</v>
      </c>
      <c r="O3071">
        <v>7.74</v>
      </c>
      <c r="P3071">
        <v>7.79</v>
      </c>
      <c r="Q3071">
        <v>7.68</v>
      </c>
      <c r="R3071">
        <v>7.73</v>
      </c>
      <c r="S3071">
        <v>19.91</v>
      </c>
      <c r="T3071">
        <v>0.56</v>
      </c>
      <c r="U3071" t="s">
        <v>848</v>
      </c>
    </row>
    <row r="3072" spans="1:21">
      <c r="A3072" t="str">
        <f>"600638"</f>
        <v>600638</v>
      </c>
      <c r="B3072" t="s">
        <v>5998</v>
      </c>
      <c r="C3072">
        <v>1.98</v>
      </c>
      <c r="D3072">
        <v>5.14</v>
      </c>
      <c r="E3072">
        <v>0.1</v>
      </c>
      <c r="F3072">
        <v>5.12</v>
      </c>
      <c r="G3072">
        <v>5.14</v>
      </c>
      <c r="H3072">
        <v>12039</v>
      </c>
      <c r="I3072">
        <v>1029</v>
      </c>
      <c r="J3072">
        <v>0.19</v>
      </c>
      <c r="K3072">
        <v>0.18</v>
      </c>
      <c r="L3072">
        <v>613.96</v>
      </c>
      <c r="M3072" t="s">
        <v>5999</v>
      </c>
      <c r="N3072" t="s">
        <v>36</v>
      </c>
      <c r="O3072">
        <v>5.02</v>
      </c>
      <c r="P3072">
        <v>5.14</v>
      </c>
      <c r="Q3072">
        <v>5.02</v>
      </c>
      <c r="R3072">
        <v>5.04</v>
      </c>
      <c r="S3072">
        <v>33.37</v>
      </c>
      <c r="T3072">
        <v>1</v>
      </c>
      <c r="U3072" t="s">
        <v>848</v>
      </c>
    </row>
    <row r="3073" spans="1:21">
      <c r="A3073" t="str">
        <f>"600639"</f>
        <v>600639</v>
      </c>
      <c r="B3073" t="s">
        <v>6000</v>
      </c>
      <c r="C3073">
        <v>0.09</v>
      </c>
      <c r="D3073">
        <v>11.52</v>
      </c>
      <c r="E3073">
        <v>0.01</v>
      </c>
      <c r="F3073">
        <v>11.52</v>
      </c>
      <c r="G3073">
        <v>11.53</v>
      </c>
      <c r="H3073">
        <v>19950</v>
      </c>
      <c r="I3073">
        <v>121</v>
      </c>
      <c r="J3073">
        <v>0</v>
      </c>
      <c r="K3073">
        <v>0.23</v>
      </c>
      <c r="L3073">
        <v>2289.28</v>
      </c>
      <c r="M3073" t="s">
        <v>6001</v>
      </c>
      <c r="N3073" t="s">
        <v>520</v>
      </c>
      <c r="O3073">
        <v>11.5</v>
      </c>
      <c r="P3073">
        <v>11.54</v>
      </c>
      <c r="Q3073">
        <v>11.37</v>
      </c>
      <c r="R3073">
        <v>11.51</v>
      </c>
      <c r="S3073">
        <v>16.13</v>
      </c>
      <c r="T3073">
        <v>0.84</v>
      </c>
      <c r="U3073" t="s">
        <v>848</v>
      </c>
    </row>
    <row r="3074" spans="1:21">
      <c r="A3074" t="str">
        <f>"600640"</f>
        <v>600640</v>
      </c>
      <c r="B3074" t="s">
        <v>6002</v>
      </c>
      <c r="C3074">
        <v>-5.01</v>
      </c>
      <c r="D3074">
        <v>14.23</v>
      </c>
      <c r="E3074">
        <v>-0.75</v>
      </c>
      <c r="F3074">
        <v>14.22</v>
      </c>
      <c r="G3074">
        <v>14.23</v>
      </c>
      <c r="H3074">
        <v>323454</v>
      </c>
      <c r="I3074">
        <v>8329</v>
      </c>
      <c r="J3074">
        <v>-0.41</v>
      </c>
      <c r="K3074">
        <v>4.07</v>
      </c>
      <c r="L3074">
        <v>47067.7</v>
      </c>
      <c r="M3074" t="s">
        <v>6003</v>
      </c>
      <c r="N3074" t="s">
        <v>199</v>
      </c>
      <c r="O3074">
        <v>14.33</v>
      </c>
      <c r="P3074">
        <v>15.06</v>
      </c>
      <c r="Q3074">
        <v>14.22</v>
      </c>
      <c r="R3074">
        <v>14.98</v>
      </c>
      <c r="S3074" t="s">
        <v>40</v>
      </c>
      <c r="T3074">
        <v>0.78</v>
      </c>
      <c r="U3074" t="s">
        <v>848</v>
      </c>
    </row>
    <row r="3075" spans="1:21">
      <c r="A3075" t="str">
        <f>"600641"</f>
        <v>600641</v>
      </c>
      <c r="B3075" t="s">
        <v>6004</v>
      </c>
      <c r="C3075">
        <v>-0.38</v>
      </c>
      <c r="D3075">
        <v>37.16</v>
      </c>
      <c r="E3075">
        <v>-0.14</v>
      </c>
      <c r="F3075">
        <v>37.15</v>
      </c>
      <c r="G3075">
        <v>37.16</v>
      </c>
      <c r="H3075">
        <v>164255</v>
      </c>
      <c r="I3075">
        <v>2632</v>
      </c>
      <c r="J3075">
        <v>-0.15</v>
      </c>
      <c r="K3075">
        <v>1.71</v>
      </c>
      <c r="L3075">
        <v>61888.97</v>
      </c>
      <c r="M3075" t="s">
        <v>6005</v>
      </c>
      <c r="N3075" t="s">
        <v>36</v>
      </c>
      <c r="O3075">
        <v>36.82</v>
      </c>
      <c r="P3075">
        <v>38.5</v>
      </c>
      <c r="Q3075">
        <v>36.82</v>
      </c>
      <c r="R3075">
        <v>37.3</v>
      </c>
      <c r="S3075">
        <v>87.28</v>
      </c>
      <c r="T3075">
        <v>0.61</v>
      </c>
      <c r="U3075" t="s">
        <v>848</v>
      </c>
    </row>
    <row r="3076" spans="1:21">
      <c r="A3076" t="str">
        <f>"600642"</f>
        <v>600642</v>
      </c>
      <c r="B3076" t="s">
        <v>6006</v>
      </c>
      <c r="C3076">
        <v>0</v>
      </c>
      <c r="D3076">
        <v>6.01</v>
      </c>
      <c r="E3076">
        <v>0</v>
      </c>
      <c r="F3076">
        <v>6.01</v>
      </c>
      <c r="G3076">
        <v>6.02</v>
      </c>
      <c r="H3076">
        <v>205984</v>
      </c>
      <c r="I3076">
        <v>4605</v>
      </c>
      <c r="J3076">
        <v>-0.16</v>
      </c>
      <c r="K3076">
        <v>0.46</v>
      </c>
      <c r="L3076">
        <v>12325.74</v>
      </c>
      <c r="M3076" t="s">
        <v>6007</v>
      </c>
      <c r="N3076" t="s">
        <v>83</v>
      </c>
      <c r="O3076">
        <v>6.03</v>
      </c>
      <c r="P3076">
        <v>6.06</v>
      </c>
      <c r="Q3076">
        <v>5.91</v>
      </c>
      <c r="R3076">
        <v>6.01</v>
      </c>
      <c r="S3076">
        <v>9.21</v>
      </c>
      <c r="T3076">
        <v>1.08</v>
      </c>
      <c r="U3076" t="s">
        <v>848</v>
      </c>
    </row>
    <row r="3077" spans="1:21">
      <c r="A3077" t="str">
        <f>"600643"</f>
        <v>600643</v>
      </c>
      <c r="B3077" t="s">
        <v>6008</v>
      </c>
      <c r="C3077">
        <v>1.24</v>
      </c>
      <c r="D3077">
        <v>6.53</v>
      </c>
      <c r="E3077">
        <v>0.08</v>
      </c>
      <c r="F3077">
        <v>6.52</v>
      </c>
      <c r="G3077">
        <v>6.53</v>
      </c>
      <c r="H3077">
        <v>70013</v>
      </c>
      <c r="I3077">
        <v>875</v>
      </c>
      <c r="J3077">
        <v>0</v>
      </c>
      <c r="K3077">
        <v>0.43</v>
      </c>
      <c r="L3077">
        <v>4539.35</v>
      </c>
      <c r="M3077" t="s">
        <v>6009</v>
      </c>
      <c r="N3077" t="s">
        <v>121</v>
      </c>
      <c r="O3077">
        <v>6.45</v>
      </c>
      <c r="P3077">
        <v>6.54</v>
      </c>
      <c r="Q3077">
        <v>6.43</v>
      </c>
      <c r="R3077">
        <v>6.45</v>
      </c>
      <c r="S3077">
        <v>6.87</v>
      </c>
      <c r="T3077">
        <v>0.87</v>
      </c>
      <c r="U3077" t="s">
        <v>848</v>
      </c>
    </row>
    <row r="3078" spans="1:21">
      <c r="A3078" t="str">
        <f>"600644"</f>
        <v>600644</v>
      </c>
      <c r="B3078" t="s">
        <v>6010</v>
      </c>
      <c r="C3078">
        <v>0.15</v>
      </c>
      <c r="D3078">
        <v>6.62</v>
      </c>
      <c r="E3078">
        <v>0.01</v>
      </c>
      <c r="F3078">
        <v>6.62</v>
      </c>
      <c r="G3078">
        <v>6.63</v>
      </c>
      <c r="H3078">
        <v>78280</v>
      </c>
      <c r="I3078">
        <v>1789</v>
      </c>
      <c r="J3078">
        <v>0.15</v>
      </c>
      <c r="K3078">
        <v>1.45</v>
      </c>
      <c r="L3078">
        <v>5126.47</v>
      </c>
      <c r="M3078" t="s">
        <v>6011</v>
      </c>
      <c r="N3078" t="s">
        <v>472</v>
      </c>
      <c r="O3078">
        <v>6.61</v>
      </c>
      <c r="P3078">
        <v>6.62</v>
      </c>
      <c r="Q3078">
        <v>6.48</v>
      </c>
      <c r="R3078">
        <v>6.61</v>
      </c>
      <c r="S3078">
        <v>15.51</v>
      </c>
      <c r="T3078">
        <v>0.73</v>
      </c>
      <c r="U3078" t="s">
        <v>196</v>
      </c>
    </row>
    <row r="3079" spans="1:21">
      <c r="A3079" t="str">
        <f>"600645"</f>
        <v>600645</v>
      </c>
      <c r="B3079" t="s">
        <v>6012</v>
      </c>
      <c r="C3079">
        <v>-1.33</v>
      </c>
      <c r="D3079">
        <v>22.99</v>
      </c>
      <c r="E3079">
        <v>-0.31</v>
      </c>
      <c r="F3079">
        <v>22.99</v>
      </c>
      <c r="G3079">
        <v>23</v>
      </c>
      <c r="H3079">
        <v>70764</v>
      </c>
      <c r="I3079">
        <v>850</v>
      </c>
      <c r="J3079">
        <v>0.13</v>
      </c>
      <c r="K3079">
        <v>1.51</v>
      </c>
      <c r="L3079">
        <v>16235.2</v>
      </c>
      <c r="M3079" t="s">
        <v>6013</v>
      </c>
      <c r="N3079" t="s">
        <v>231</v>
      </c>
      <c r="O3079">
        <v>23.3</v>
      </c>
      <c r="P3079">
        <v>23.45</v>
      </c>
      <c r="Q3079">
        <v>22.76</v>
      </c>
      <c r="R3079">
        <v>23.3</v>
      </c>
      <c r="S3079">
        <v>42.28</v>
      </c>
      <c r="T3079">
        <v>0.94</v>
      </c>
      <c r="U3079" t="s">
        <v>360</v>
      </c>
    </row>
    <row r="3080" spans="1:21">
      <c r="A3080" t="str">
        <f>"600647"</f>
        <v>600647</v>
      </c>
      <c r="B3080" t="s">
        <v>6014</v>
      </c>
      <c r="C3080">
        <v>1.24</v>
      </c>
      <c r="D3080">
        <v>11.39</v>
      </c>
      <c r="E3080">
        <v>0.14</v>
      </c>
      <c r="F3080">
        <v>11.38</v>
      </c>
      <c r="G3080">
        <v>11.39</v>
      </c>
      <c r="H3080">
        <v>7430</v>
      </c>
      <c r="I3080">
        <v>173</v>
      </c>
      <c r="J3080">
        <v>0.18</v>
      </c>
      <c r="K3080">
        <v>0.53</v>
      </c>
      <c r="L3080">
        <v>841.4</v>
      </c>
      <c r="M3080" t="s">
        <v>6015</v>
      </c>
      <c r="N3080" t="s">
        <v>99</v>
      </c>
      <c r="O3080">
        <v>11.28</v>
      </c>
      <c r="P3080">
        <v>11.45</v>
      </c>
      <c r="Q3080">
        <v>11.15</v>
      </c>
      <c r="R3080">
        <v>11.25</v>
      </c>
      <c r="S3080">
        <v>154.19</v>
      </c>
      <c r="T3080">
        <v>0.81</v>
      </c>
      <c r="U3080" t="s">
        <v>848</v>
      </c>
    </row>
    <row r="3081" spans="1:21">
      <c r="A3081" t="str">
        <f>"600648"</f>
        <v>600648</v>
      </c>
      <c r="B3081" t="s">
        <v>6016</v>
      </c>
      <c r="C3081">
        <v>0.87</v>
      </c>
      <c r="D3081">
        <v>12.8</v>
      </c>
      <c r="E3081">
        <v>0.11</v>
      </c>
      <c r="F3081">
        <v>12.79</v>
      </c>
      <c r="G3081">
        <v>12.8</v>
      </c>
      <c r="H3081">
        <v>25338</v>
      </c>
      <c r="I3081">
        <v>1702</v>
      </c>
      <c r="J3081">
        <v>0.16</v>
      </c>
      <c r="K3081">
        <v>0.27</v>
      </c>
      <c r="L3081">
        <v>3227.28</v>
      </c>
      <c r="M3081" t="s">
        <v>6017</v>
      </c>
      <c r="N3081" t="s">
        <v>520</v>
      </c>
      <c r="O3081">
        <v>12.69</v>
      </c>
      <c r="P3081">
        <v>12.86</v>
      </c>
      <c r="Q3081">
        <v>12.64</v>
      </c>
      <c r="R3081">
        <v>12.69</v>
      </c>
      <c r="S3081">
        <v>19.41</v>
      </c>
      <c r="T3081">
        <v>1.26</v>
      </c>
      <c r="U3081" t="s">
        <v>848</v>
      </c>
    </row>
    <row r="3082" spans="1:21">
      <c r="A3082" t="str">
        <f>"600649"</f>
        <v>600649</v>
      </c>
      <c r="B3082" t="s">
        <v>6018</v>
      </c>
      <c r="C3082">
        <v>1.03</v>
      </c>
      <c r="D3082">
        <v>3.93</v>
      </c>
      <c r="E3082">
        <v>0.04</v>
      </c>
      <c r="F3082">
        <v>3.92</v>
      </c>
      <c r="G3082">
        <v>3.93</v>
      </c>
      <c r="H3082">
        <v>124333</v>
      </c>
      <c r="I3082">
        <v>1726</v>
      </c>
      <c r="J3082">
        <v>-0.24</v>
      </c>
      <c r="K3082">
        <v>0.49</v>
      </c>
      <c r="L3082">
        <v>4851.47</v>
      </c>
      <c r="M3082" t="s">
        <v>6019</v>
      </c>
      <c r="N3082" t="s">
        <v>36</v>
      </c>
      <c r="O3082">
        <v>3.88</v>
      </c>
      <c r="P3082">
        <v>3.94</v>
      </c>
      <c r="Q3082">
        <v>3.87</v>
      </c>
      <c r="R3082">
        <v>3.89</v>
      </c>
      <c r="S3082">
        <v>9.9</v>
      </c>
      <c r="T3082">
        <v>0.79</v>
      </c>
      <c r="U3082" t="s">
        <v>848</v>
      </c>
    </row>
    <row r="3083" spans="1:21">
      <c r="A3083" t="str">
        <f>"600650"</f>
        <v>600650</v>
      </c>
      <c r="B3083" t="s">
        <v>6020</v>
      </c>
      <c r="C3083">
        <v>1.24</v>
      </c>
      <c r="D3083">
        <v>8.99</v>
      </c>
      <c r="E3083">
        <v>0.11</v>
      </c>
      <c r="F3083">
        <v>8.98</v>
      </c>
      <c r="G3083">
        <v>8.99</v>
      </c>
      <c r="H3083">
        <v>7646</v>
      </c>
      <c r="I3083">
        <v>54</v>
      </c>
      <c r="J3083">
        <v>0.45</v>
      </c>
      <c r="K3083">
        <v>0.2</v>
      </c>
      <c r="L3083">
        <v>681.87</v>
      </c>
      <c r="M3083" t="s">
        <v>6021</v>
      </c>
      <c r="N3083" t="s">
        <v>2308</v>
      </c>
      <c r="O3083">
        <v>8.85</v>
      </c>
      <c r="P3083">
        <v>8.99</v>
      </c>
      <c r="Q3083">
        <v>8.82</v>
      </c>
      <c r="R3083">
        <v>8.88</v>
      </c>
      <c r="S3083">
        <v>40.62</v>
      </c>
      <c r="T3083">
        <v>0.88</v>
      </c>
      <c r="U3083" t="s">
        <v>848</v>
      </c>
    </row>
    <row r="3084" spans="1:21">
      <c r="A3084" t="str">
        <f>"600651"</f>
        <v>600651</v>
      </c>
      <c r="B3084" t="s">
        <v>6022</v>
      </c>
      <c r="C3084">
        <v>0</v>
      </c>
      <c r="D3084">
        <v>3.15</v>
      </c>
      <c r="E3084">
        <v>0</v>
      </c>
      <c r="F3084">
        <v>3.15</v>
      </c>
      <c r="G3084">
        <v>3.16</v>
      </c>
      <c r="H3084">
        <v>55066</v>
      </c>
      <c r="I3084">
        <v>418</v>
      </c>
      <c r="J3084">
        <v>0</v>
      </c>
      <c r="K3084">
        <v>0.48</v>
      </c>
      <c r="L3084">
        <v>1735</v>
      </c>
      <c r="M3084" t="s">
        <v>6023</v>
      </c>
      <c r="N3084" t="s">
        <v>1028</v>
      </c>
      <c r="O3084">
        <v>3.15</v>
      </c>
      <c r="P3084">
        <v>3.18</v>
      </c>
      <c r="Q3084">
        <v>3.13</v>
      </c>
      <c r="R3084">
        <v>3.15</v>
      </c>
      <c r="S3084" t="s">
        <v>40</v>
      </c>
      <c r="T3084">
        <v>0.51</v>
      </c>
      <c r="U3084" t="s">
        <v>848</v>
      </c>
    </row>
    <row r="3085" spans="1:21">
      <c r="A3085" t="str">
        <f>"600652"</f>
        <v>600652</v>
      </c>
      <c r="B3085" t="s">
        <v>6024</v>
      </c>
      <c r="C3085">
        <v>5.07</v>
      </c>
      <c r="D3085">
        <v>2.9</v>
      </c>
      <c r="E3085">
        <v>0.14</v>
      </c>
      <c r="F3085">
        <v>2.9</v>
      </c>
      <c r="G3085" t="s">
        <v>40</v>
      </c>
      <c r="H3085">
        <v>326369</v>
      </c>
      <c r="I3085">
        <v>80</v>
      </c>
      <c r="J3085">
        <v>0</v>
      </c>
      <c r="K3085">
        <v>3.92</v>
      </c>
      <c r="L3085">
        <v>9393.32</v>
      </c>
      <c r="M3085" t="s">
        <v>6025</v>
      </c>
      <c r="N3085" t="s">
        <v>479</v>
      </c>
      <c r="O3085">
        <v>2.81</v>
      </c>
      <c r="P3085">
        <v>2.9</v>
      </c>
      <c r="Q3085">
        <v>2.78</v>
      </c>
      <c r="R3085">
        <v>2.76</v>
      </c>
      <c r="S3085" t="s">
        <v>40</v>
      </c>
      <c r="T3085">
        <v>1.29</v>
      </c>
      <c r="U3085" t="s">
        <v>848</v>
      </c>
    </row>
    <row r="3086" spans="1:21">
      <c r="A3086" t="str">
        <f>"600653"</f>
        <v>600653</v>
      </c>
      <c r="B3086" t="s">
        <v>6026</v>
      </c>
      <c r="C3086">
        <v>2.38</v>
      </c>
      <c r="D3086">
        <v>2.15</v>
      </c>
      <c r="E3086">
        <v>0.05</v>
      </c>
      <c r="F3086">
        <v>2.15</v>
      </c>
      <c r="G3086">
        <v>2.16</v>
      </c>
      <c r="H3086">
        <v>456957</v>
      </c>
      <c r="I3086">
        <v>5186</v>
      </c>
      <c r="J3086">
        <v>-0.45</v>
      </c>
      <c r="K3086">
        <v>2.35</v>
      </c>
      <c r="L3086">
        <v>9854.34</v>
      </c>
      <c r="M3086" t="s">
        <v>6027</v>
      </c>
      <c r="N3086" t="s">
        <v>78</v>
      </c>
      <c r="O3086">
        <v>2.1</v>
      </c>
      <c r="P3086">
        <v>2.18</v>
      </c>
      <c r="Q3086">
        <v>2.1</v>
      </c>
      <c r="R3086">
        <v>2.1</v>
      </c>
      <c r="S3086">
        <v>400.21</v>
      </c>
      <c r="T3086">
        <v>0.78</v>
      </c>
      <c r="U3086" t="s">
        <v>141</v>
      </c>
    </row>
    <row r="3087" spans="1:21">
      <c r="A3087" t="str">
        <f>"600654"</f>
        <v>600654</v>
      </c>
      <c r="B3087" t="s">
        <v>6028</v>
      </c>
      <c r="C3087">
        <v>2.11</v>
      </c>
      <c r="D3087">
        <v>1.94</v>
      </c>
      <c r="E3087">
        <v>0.04</v>
      </c>
      <c r="F3087">
        <v>1.93</v>
      </c>
      <c r="G3087">
        <v>1.94</v>
      </c>
      <c r="H3087">
        <v>68829</v>
      </c>
      <c r="I3087">
        <v>375</v>
      </c>
      <c r="J3087">
        <v>0</v>
      </c>
      <c r="K3087">
        <v>0.91</v>
      </c>
      <c r="L3087">
        <v>1324.94</v>
      </c>
      <c r="M3087" t="s">
        <v>6029</v>
      </c>
      <c r="N3087" t="s">
        <v>30</v>
      </c>
      <c r="O3087">
        <v>1.89</v>
      </c>
      <c r="P3087">
        <v>1.94</v>
      </c>
      <c r="Q3087">
        <v>1.89</v>
      </c>
      <c r="R3087">
        <v>1.9</v>
      </c>
      <c r="S3087" t="s">
        <v>40</v>
      </c>
      <c r="T3087">
        <v>1.42</v>
      </c>
      <c r="U3087" t="s">
        <v>848</v>
      </c>
    </row>
    <row r="3088" spans="1:21">
      <c r="A3088" t="str">
        <f>"600655"</f>
        <v>600655</v>
      </c>
      <c r="B3088" t="s">
        <v>6030</v>
      </c>
      <c r="C3088">
        <v>0.31</v>
      </c>
      <c r="D3088">
        <v>9.86</v>
      </c>
      <c r="E3088">
        <v>0.03</v>
      </c>
      <c r="F3088">
        <v>9.85</v>
      </c>
      <c r="G3088">
        <v>9.86</v>
      </c>
      <c r="H3088">
        <v>55193</v>
      </c>
      <c r="I3088">
        <v>652</v>
      </c>
      <c r="J3088">
        <v>0.1</v>
      </c>
      <c r="K3088">
        <v>0.34</v>
      </c>
      <c r="L3088">
        <v>5425.62</v>
      </c>
      <c r="M3088" t="s">
        <v>6031</v>
      </c>
      <c r="N3088" t="s">
        <v>258</v>
      </c>
      <c r="O3088">
        <v>9.82</v>
      </c>
      <c r="P3088">
        <v>9.89</v>
      </c>
      <c r="Q3088">
        <v>9.78</v>
      </c>
      <c r="R3088">
        <v>9.83</v>
      </c>
      <c r="S3088">
        <v>15.95</v>
      </c>
      <c r="T3088">
        <v>0.59</v>
      </c>
      <c r="U3088" t="s">
        <v>848</v>
      </c>
    </row>
    <row r="3089" spans="1:21">
      <c r="A3089" t="str">
        <f>"600657"</f>
        <v>600657</v>
      </c>
      <c r="B3089" t="s">
        <v>6032</v>
      </c>
      <c r="C3089">
        <v>1.54</v>
      </c>
      <c r="D3089">
        <v>3.3</v>
      </c>
      <c r="E3089">
        <v>0.05</v>
      </c>
      <c r="F3089">
        <v>3.29</v>
      </c>
      <c r="G3089">
        <v>3.3</v>
      </c>
      <c r="H3089">
        <v>28763</v>
      </c>
      <c r="I3089">
        <v>317</v>
      </c>
      <c r="J3089">
        <v>-0.29</v>
      </c>
      <c r="K3089">
        <v>0.14</v>
      </c>
      <c r="L3089">
        <v>942.8</v>
      </c>
      <c r="M3089" t="s">
        <v>6033</v>
      </c>
      <c r="N3089" t="s">
        <v>27</v>
      </c>
      <c r="O3089">
        <v>3.24</v>
      </c>
      <c r="P3089">
        <v>3.31</v>
      </c>
      <c r="Q3089">
        <v>3.24</v>
      </c>
      <c r="R3089">
        <v>3.25</v>
      </c>
      <c r="S3089">
        <v>12.44</v>
      </c>
      <c r="T3089">
        <v>0.97</v>
      </c>
      <c r="U3089" t="s">
        <v>44</v>
      </c>
    </row>
    <row r="3090" spans="1:21">
      <c r="A3090" t="str">
        <f>"600658"</f>
        <v>600658</v>
      </c>
      <c r="B3090" t="s">
        <v>6034</v>
      </c>
      <c r="C3090">
        <v>0.51</v>
      </c>
      <c r="D3090">
        <v>3.95</v>
      </c>
      <c r="E3090">
        <v>0.02</v>
      </c>
      <c r="F3090">
        <v>3.95</v>
      </c>
      <c r="G3090">
        <v>3.96</v>
      </c>
      <c r="H3090">
        <v>56159</v>
      </c>
      <c r="I3090">
        <v>996</v>
      </c>
      <c r="J3090">
        <v>0</v>
      </c>
      <c r="K3090">
        <v>0.5</v>
      </c>
      <c r="L3090">
        <v>2193.16</v>
      </c>
      <c r="M3090" t="s">
        <v>6035</v>
      </c>
      <c r="N3090" t="s">
        <v>520</v>
      </c>
      <c r="O3090">
        <v>3.95</v>
      </c>
      <c r="P3090">
        <v>3.96</v>
      </c>
      <c r="Q3090">
        <v>3.87</v>
      </c>
      <c r="R3090">
        <v>3.93</v>
      </c>
      <c r="S3090" t="s">
        <v>40</v>
      </c>
      <c r="T3090">
        <v>0.61</v>
      </c>
      <c r="U3090" t="s">
        <v>44</v>
      </c>
    </row>
    <row r="3091" spans="1:21">
      <c r="A3091" t="str">
        <f>"600660"</f>
        <v>600660</v>
      </c>
      <c r="B3091" t="s">
        <v>6036</v>
      </c>
      <c r="C3091">
        <v>0.41</v>
      </c>
      <c r="D3091">
        <v>46.6</v>
      </c>
      <c r="E3091">
        <v>0.19</v>
      </c>
      <c r="F3091">
        <v>46.59</v>
      </c>
      <c r="G3091">
        <v>46.6</v>
      </c>
      <c r="H3091">
        <v>99162</v>
      </c>
      <c r="I3091">
        <v>1944</v>
      </c>
      <c r="J3091">
        <v>0.04</v>
      </c>
      <c r="K3091">
        <v>0.5</v>
      </c>
      <c r="L3091">
        <v>46093.63</v>
      </c>
      <c r="M3091" t="s">
        <v>6037</v>
      </c>
      <c r="N3091" t="s">
        <v>91</v>
      </c>
      <c r="O3091">
        <v>46.4</v>
      </c>
      <c r="P3091">
        <v>46.86</v>
      </c>
      <c r="Q3091">
        <v>46.06</v>
      </c>
      <c r="R3091">
        <v>46.41</v>
      </c>
      <c r="S3091">
        <v>35.14</v>
      </c>
      <c r="T3091">
        <v>0.55</v>
      </c>
      <c r="U3091" t="s">
        <v>339</v>
      </c>
    </row>
    <row r="3092" spans="1:21">
      <c r="A3092" t="str">
        <f>"600661"</f>
        <v>600661</v>
      </c>
      <c r="B3092" t="s">
        <v>6038</v>
      </c>
      <c r="C3092">
        <v>-0.1</v>
      </c>
      <c r="D3092">
        <v>9.55</v>
      </c>
      <c r="E3092">
        <v>-0.01</v>
      </c>
      <c r="F3092">
        <v>9.55</v>
      </c>
      <c r="G3092">
        <v>9.56</v>
      </c>
      <c r="H3092">
        <v>45604</v>
      </c>
      <c r="I3092">
        <v>965</v>
      </c>
      <c r="J3092">
        <v>0.1</v>
      </c>
      <c r="K3092">
        <v>1.59</v>
      </c>
      <c r="L3092">
        <v>4356.54</v>
      </c>
      <c r="M3092" t="s">
        <v>2575</v>
      </c>
      <c r="N3092" t="s">
        <v>63</v>
      </c>
      <c r="O3092">
        <v>9.51</v>
      </c>
      <c r="P3092">
        <v>9.61</v>
      </c>
      <c r="Q3092">
        <v>9.46</v>
      </c>
      <c r="R3092">
        <v>9.56</v>
      </c>
      <c r="S3092">
        <v>13.04</v>
      </c>
      <c r="T3092">
        <v>0.57</v>
      </c>
      <c r="U3092" t="s">
        <v>848</v>
      </c>
    </row>
    <row r="3093" spans="1:21">
      <c r="A3093" t="str">
        <f>"600662"</f>
        <v>600662</v>
      </c>
      <c r="B3093" t="s">
        <v>6039</v>
      </c>
      <c r="C3093">
        <v>0.26</v>
      </c>
      <c r="D3093">
        <v>7.57</v>
      </c>
      <c r="E3093">
        <v>0.02</v>
      </c>
      <c r="F3093">
        <v>7.56</v>
      </c>
      <c r="G3093">
        <v>7.57</v>
      </c>
      <c r="H3093">
        <v>40023</v>
      </c>
      <c r="I3093">
        <v>352</v>
      </c>
      <c r="J3093">
        <v>0</v>
      </c>
      <c r="K3093">
        <v>0.38</v>
      </c>
      <c r="L3093">
        <v>3017.4</v>
      </c>
      <c r="M3093" t="s">
        <v>6040</v>
      </c>
      <c r="N3093" t="s">
        <v>2308</v>
      </c>
      <c r="O3093">
        <v>7.56</v>
      </c>
      <c r="P3093">
        <v>7.63</v>
      </c>
      <c r="Q3093">
        <v>7.47</v>
      </c>
      <c r="R3093">
        <v>7.55</v>
      </c>
      <c r="S3093">
        <v>32.16</v>
      </c>
      <c r="T3093">
        <v>0.99</v>
      </c>
      <c r="U3093" t="s">
        <v>848</v>
      </c>
    </row>
    <row r="3094" spans="1:21">
      <c r="A3094" t="str">
        <f>"600663"</f>
        <v>600663</v>
      </c>
      <c r="B3094" t="s">
        <v>6041</v>
      </c>
      <c r="C3094">
        <v>1.05</v>
      </c>
      <c r="D3094">
        <v>10.56</v>
      </c>
      <c r="E3094">
        <v>0.11</v>
      </c>
      <c r="F3094">
        <v>10.55</v>
      </c>
      <c r="G3094">
        <v>10.56</v>
      </c>
      <c r="H3094">
        <v>55011</v>
      </c>
      <c r="I3094">
        <v>1176</v>
      </c>
      <c r="J3094">
        <v>0</v>
      </c>
      <c r="K3094">
        <v>0.19</v>
      </c>
      <c r="L3094">
        <v>5785.25</v>
      </c>
      <c r="M3094" t="s">
        <v>6042</v>
      </c>
      <c r="N3094" t="s">
        <v>520</v>
      </c>
      <c r="O3094">
        <v>10.45</v>
      </c>
      <c r="P3094">
        <v>10.58</v>
      </c>
      <c r="Q3094">
        <v>10.44</v>
      </c>
      <c r="R3094">
        <v>10.45</v>
      </c>
      <c r="S3094">
        <v>12.33</v>
      </c>
      <c r="T3094">
        <v>1.37</v>
      </c>
      <c r="U3094" t="s">
        <v>848</v>
      </c>
    </row>
    <row r="3095" spans="1:21">
      <c r="A3095" t="str">
        <f>"600664"</f>
        <v>600664</v>
      </c>
      <c r="B3095" t="s">
        <v>6043</v>
      </c>
      <c r="C3095">
        <v>1.89</v>
      </c>
      <c r="D3095">
        <v>3.23</v>
      </c>
      <c r="E3095">
        <v>0.06</v>
      </c>
      <c r="F3095">
        <v>3.23</v>
      </c>
      <c r="G3095">
        <v>3.24</v>
      </c>
      <c r="H3095">
        <v>160362</v>
      </c>
      <c r="I3095">
        <v>2249</v>
      </c>
      <c r="J3095">
        <v>-0.3</v>
      </c>
      <c r="K3095">
        <v>0.64</v>
      </c>
      <c r="L3095">
        <v>5141.82</v>
      </c>
      <c r="M3095" t="s">
        <v>469</v>
      </c>
      <c r="N3095" t="s">
        <v>192</v>
      </c>
      <c r="O3095">
        <v>3.16</v>
      </c>
      <c r="P3095">
        <v>3.25</v>
      </c>
      <c r="Q3095">
        <v>3.15</v>
      </c>
      <c r="R3095">
        <v>3.17</v>
      </c>
      <c r="S3095">
        <v>12.54</v>
      </c>
      <c r="T3095">
        <v>1.02</v>
      </c>
      <c r="U3095" t="s">
        <v>445</v>
      </c>
    </row>
    <row r="3096" spans="1:21">
      <c r="A3096" t="str">
        <f>"600665"</f>
        <v>600665</v>
      </c>
      <c r="B3096" t="s">
        <v>6044</v>
      </c>
      <c r="C3096">
        <v>1.81</v>
      </c>
      <c r="D3096">
        <v>2.81</v>
      </c>
      <c r="E3096">
        <v>0.05</v>
      </c>
      <c r="F3096">
        <v>2.81</v>
      </c>
      <c r="G3096">
        <v>2.82</v>
      </c>
      <c r="H3096">
        <v>31620</v>
      </c>
      <c r="I3096">
        <v>151</v>
      </c>
      <c r="J3096">
        <v>-0.34</v>
      </c>
      <c r="K3096">
        <v>0.37</v>
      </c>
      <c r="L3096">
        <v>881.84</v>
      </c>
      <c r="M3096" t="s">
        <v>6045</v>
      </c>
      <c r="N3096" t="s">
        <v>27</v>
      </c>
      <c r="O3096">
        <v>2.77</v>
      </c>
      <c r="P3096">
        <v>2.83</v>
      </c>
      <c r="Q3096">
        <v>2.75</v>
      </c>
      <c r="R3096">
        <v>2.76</v>
      </c>
      <c r="S3096">
        <v>6.37</v>
      </c>
      <c r="T3096">
        <v>0.7</v>
      </c>
      <c r="U3096" t="s">
        <v>317</v>
      </c>
    </row>
    <row r="3097" spans="1:21">
      <c r="A3097" t="str">
        <f>"600666"</f>
        <v>600666</v>
      </c>
      <c r="B3097" t="s">
        <v>6046</v>
      </c>
      <c r="C3097">
        <v>-1.78</v>
      </c>
      <c r="D3097">
        <v>1.66</v>
      </c>
      <c r="E3097">
        <v>-0.03</v>
      </c>
      <c r="F3097">
        <v>1.66</v>
      </c>
      <c r="G3097">
        <v>1.67</v>
      </c>
      <c r="H3097">
        <v>85297</v>
      </c>
      <c r="I3097">
        <v>1371</v>
      </c>
      <c r="J3097">
        <v>0</v>
      </c>
      <c r="K3097">
        <v>1.06</v>
      </c>
      <c r="L3097">
        <v>1427.01</v>
      </c>
      <c r="M3097" t="s">
        <v>1065</v>
      </c>
      <c r="N3097" t="s">
        <v>69</v>
      </c>
      <c r="O3097">
        <v>1.7</v>
      </c>
      <c r="P3097">
        <v>1.72</v>
      </c>
      <c r="Q3097">
        <v>1.65</v>
      </c>
      <c r="R3097">
        <v>1.69</v>
      </c>
      <c r="S3097" t="s">
        <v>40</v>
      </c>
      <c r="T3097">
        <v>1.12</v>
      </c>
      <c r="U3097" t="s">
        <v>445</v>
      </c>
    </row>
    <row r="3098" spans="1:21">
      <c r="A3098" t="str">
        <f>"600667"</f>
        <v>600667</v>
      </c>
      <c r="B3098" t="s">
        <v>6047</v>
      </c>
      <c r="C3098">
        <v>0.83</v>
      </c>
      <c r="D3098">
        <v>8.5</v>
      </c>
      <c r="E3098">
        <v>0.07</v>
      </c>
      <c r="F3098">
        <v>8.49</v>
      </c>
      <c r="G3098">
        <v>8.5</v>
      </c>
      <c r="H3098">
        <v>338885</v>
      </c>
      <c r="I3098">
        <v>3526</v>
      </c>
      <c r="J3098">
        <v>0</v>
      </c>
      <c r="K3098">
        <v>1.61</v>
      </c>
      <c r="L3098">
        <v>28665.49</v>
      </c>
      <c r="M3098" t="s">
        <v>6048</v>
      </c>
      <c r="N3098" t="s">
        <v>1246</v>
      </c>
      <c r="O3098">
        <v>8.42</v>
      </c>
      <c r="P3098">
        <v>8.53</v>
      </c>
      <c r="Q3098">
        <v>8.32</v>
      </c>
      <c r="R3098">
        <v>8.43</v>
      </c>
      <c r="S3098">
        <v>22.25</v>
      </c>
      <c r="T3098">
        <v>1.33</v>
      </c>
      <c r="U3098" t="s">
        <v>102</v>
      </c>
    </row>
    <row r="3099" spans="1:21">
      <c r="A3099" t="str">
        <f>"600668"</f>
        <v>600668</v>
      </c>
      <c r="B3099" t="s">
        <v>6049</v>
      </c>
      <c r="C3099">
        <v>-2.1</v>
      </c>
      <c r="D3099">
        <v>13.03</v>
      </c>
      <c r="E3099">
        <v>-0.28</v>
      </c>
      <c r="F3099">
        <v>13.02</v>
      </c>
      <c r="G3099">
        <v>13.03</v>
      </c>
      <c r="H3099">
        <v>132930</v>
      </c>
      <c r="I3099">
        <v>2261</v>
      </c>
      <c r="J3099">
        <v>0</v>
      </c>
      <c r="K3099">
        <v>3.86</v>
      </c>
      <c r="L3099">
        <v>17410.55</v>
      </c>
      <c r="M3099" t="s">
        <v>6050</v>
      </c>
      <c r="N3099" t="s">
        <v>75</v>
      </c>
      <c r="O3099">
        <v>13.07</v>
      </c>
      <c r="P3099">
        <v>13.43</v>
      </c>
      <c r="Q3099">
        <v>12.93</v>
      </c>
      <c r="R3099">
        <v>13.31</v>
      </c>
      <c r="S3099">
        <v>7.93</v>
      </c>
      <c r="T3099">
        <v>0.42</v>
      </c>
      <c r="U3099" t="s">
        <v>200</v>
      </c>
    </row>
    <row r="3100" spans="1:21">
      <c r="A3100" t="str">
        <f>"600671"</f>
        <v>600671</v>
      </c>
      <c r="B3100" t="s">
        <v>6051</v>
      </c>
      <c r="C3100">
        <v>-0.34</v>
      </c>
      <c r="D3100">
        <v>8.79</v>
      </c>
      <c r="E3100">
        <v>-0.03</v>
      </c>
      <c r="F3100">
        <v>8.79</v>
      </c>
      <c r="G3100">
        <v>8.8</v>
      </c>
      <c r="H3100">
        <v>2629</v>
      </c>
      <c r="I3100">
        <v>25</v>
      </c>
      <c r="J3100">
        <v>0.11</v>
      </c>
      <c r="K3100">
        <v>0.22</v>
      </c>
      <c r="L3100">
        <v>231.62</v>
      </c>
      <c r="M3100" t="s">
        <v>6052</v>
      </c>
      <c r="N3100" t="s">
        <v>270</v>
      </c>
      <c r="O3100">
        <v>9</v>
      </c>
      <c r="P3100">
        <v>9</v>
      </c>
      <c r="Q3100">
        <v>8.7</v>
      </c>
      <c r="R3100">
        <v>8.82</v>
      </c>
      <c r="S3100" t="s">
        <v>40</v>
      </c>
      <c r="T3100">
        <v>0.68</v>
      </c>
      <c r="U3100" t="s">
        <v>200</v>
      </c>
    </row>
    <row r="3101" spans="1:21">
      <c r="A3101" t="str">
        <f>"600673"</f>
        <v>600673</v>
      </c>
      <c r="B3101" t="s">
        <v>6053</v>
      </c>
      <c r="C3101">
        <v>0</v>
      </c>
      <c r="D3101">
        <v>10.37</v>
      </c>
      <c r="E3101">
        <v>0</v>
      </c>
      <c r="F3101">
        <v>10.37</v>
      </c>
      <c r="G3101">
        <v>10.38</v>
      </c>
      <c r="H3101">
        <v>593330</v>
      </c>
      <c r="I3101">
        <v>3909</v>
      </c>
      <c r="J3101">
        <v>0.39</v>
      </c>
      <c r="K3101">
        <v>1.98</v>
      </c>
      <c r="L3101">
        <v>61119.95</v>
      </c>
      <c r="M3101" t="s">
        <v>6054</v>
      </c>
      <c r="N3101" t="s">
        <v>494</v>
      </c>
      <c r="O3101">
        <v>10.52</v>
      </c>
      <c r="P3101">
        <v>10.58</v>
      </c>
      <c r="Q3101">
        <v>9.95</v>
      </c>
      <c r="R3101">
        <v>10.37</v>
      </c>
      <c r="S3101">
        <v>75.41</v>
      </c>
      <c r="T3101">
        <v>1.04</v>
      </c>
      <c r="U3101" t="s">
        <v>183</v>
      </c>
    </row>
    <row r="3102" spans="1:21">
      <c r="A3102" t="str">
        <f>"600674"</f>
        <v>600674</v>
      </c>
      <c r="B3102" t="s">
        <v>6055</v>
      </c>
      <c r="C3102">
        <v>0.7</v>
      </c>
      <c r="D3102">
        <v>11.52</v>
      </c>
      <c r="E3102">
        <v>0.08</v>
      </c>
      <c r="F3102">
        <v>11.52</v>
      </c>
      <c r="G3102">
        <v>11.53</v>
      </c>
      <c r="H3102">
        <v>98977</v>
      </c>
      <c r="I3102">
        <v>1105</v>
      </c>
      <c r="J3102">
        <v>-0.25</v>
      </c>
      <c r="K3102">
        <v>0.22</v>
      </c>
      <c r="L3102">
        <v>11316.43</v>
      </c>
      <c r="M3102" t="s">
        <v>6056</v>
      </c>
      <c r="N3102" t="s">
        <v>472</v>
      </c>
      <c r="O3102">
        <v>11.43</v>
      </c>
      <c r="P3102">
        <v>11.56</v>
      </c>
      <c r="Q3102">
        <v>11.35</v>
      </c>
      <c r="R3102">
        <v>11.44</v>
      </c>
      <c r="S3102">
        <v>13.7</v>
      </c>
      <c r="T3102">
        <v>0.94</v>
      </c>
      <c r="U3102" t="s">
        <v>196</v>
      </c>
    </row>
    <row r="3103" spans="1:21">
      <c r="A3103" t="str">
        <f>"600675"</f>
        <v>600675</v>
      </c>
      <c r="B3103" t="s">
        <v>6057</v>
      </c>
      <c r="C3103">
        <v>1.12</v>
      </c>
      <c r="D3103">
        <v>2.72</v>
      </c>
      <c r="E3103">
        <v>0.03</v>
      </c>
      <c r="F3103">
        <v>2.72</v>
      </c>
      <c r="G3103">
        <v>2.73</v>
      </c>
      <c r="H3103">
        <v>45555</v>
      </c>
      <c r="I3103">
        <v>1017</v>
      </c>
      <c r="J3103">
        <v>-0.36</v>
      </c>
      <c r="K3103">
        <v>0.08</v>
      </c>
      <c r="L3103">
        <v>1232.79</v>
      </c>
      <c r="M3103" t="s">
        <v>6058</v>
      </c>
      <c r="N3103" t="s">
        <v>36</v>
      </c>
      <c r="O3103">
        <v>2.69</v>
      </c>
      <c r="P3103">
        <v>2.73</v>
      </c>
      <c r="Q3103">
        <v>2.69</v>
      </c>
      <c r="R3103">
        <v>2.69</v>
      </c>
      <c r="S3103">
        <v>12.09</v>
      </c>
      <c r="T3103">
        <v>1.06</v>
      </c>
      <c r="U3103" t="s">
        <v>848</v>
      </c>
    </row>
    <row r="3104" spans="1:21">
      <c r="A3104" t="str">
        <f>"600676"</f>
        <v>600676</v>
      </c>
      <c r="B3104" t="s">
        <v>6059</v>
      </c>
      <c r="C3104">
        <v>0.5</v>
      </c>
      <c r="D3104">
        <v>4.04</v>
      </c>
      <c r="E3104">
        <v>0.02</v>
      </c>
      <c r="F3104">
        <v>4.03</v>
      </c>
      <c r="G3104">
        <v>4.04</v>
      </c>
      <c r="H3104">
        <v>21156</v>
      </c>
      <c r="I3104">
        <v>141</v>
      </c>
      <c r="J3104">
        <v>0</v>
      </c>
      <c r="K3104">
        <v>0.21</v>
      </c>
      <c r="L3104">
        <v>852.61</v>
      </c>
      <c r="M3104" t="s">
        <v>6060</v>
      </c>
      <c r="N3104" t="s">
        <v>91</v>
      </c>
      <c r="O3104">
        <v>4</v>
      </c>
      <c r="P3104">
        <v>4.05</v>
      </c>
      <c r="Q3104">
        <v>4</v>
      </c>
      <c r="R3104">
        <v>4.02</v>
      </c>
      <c r="S3104">
        <v>264.61</v>
      </c>
      <c r="T3104">
        <v>0.77</v>
      </c>
      <c r="U3104" t="s">
        <v>848</v>
      </c>
    </row>
    <row r="3105" spans="1:21">
      <c r="A3105" t="str">
        <f>"600678"</f>
        <v>600678</v>
      </c>
      <c r="B3105" t="s">
        <v>6061</v>
      </c>
      <c r="C3105">
        <v>0.54</v>
      </c>
      <c r="D3105">
        <v>5.59</v>
      </c>
      <c r="E3105">
        <v>0.03</v>
      </c>
      <c r="F3105">
        <v>5.58</v>
      </c>
      <c r="G3105">
        <v>5.59</v>
      </c>
      <c r="H3105">
        <v>41192</v>
      </c>
      <c r="I3105">
        <v>526</v>
      </c>
      <c r="J3105">
        <v>0</v>
      </c>
      <c r="K3105">
        <v>1.18</v>
      </c>
      <c r="L3105">
        <v>2291.26</v>
      </c>
      <c r="M3105" t="s">
        <v>4579</v>
      </c>
      <c r="N3105" t="s">
        <v>75</v>
      </c>
      <c r="O3105">
        <v>5.56</v>
      </c>
      <c r="P3105">
        <v>5.6</v>
      </c>
      <c r="Q3105">
        <v>5.52</v>
      </c>
      <c r="R3105">
        <v>5.56</v>
      </c>
      <c r="S3105">
        <v>24.72</v>
      </c>
      <c r="T3105">
        <v>0.71</v>
      </c>
      <c r="U3105" t="s">
        <v>196</v>
      </c>
    </row>
    <row r="3106" spans="1:21">
      <c r="A3106" t="str">
        <f>"600679"</f>
        <v>600679</v>
      </c>
      <c r="B3106" t="s">
        <v>6062</v>
      </c>
      <c r="C3106">
        <v>0.09</v>
      </c>
      <c r="D3106">
        <v>11.29</v>
      </c>
      <c r="E3106">
        <v>0.01</v>
      </c>
      <c r="F3106">
        <v>11.29</v>
      </c>
      <c r="G3106">
        <v>11.3</v>
      </c>
      <c r="H3106">
        <v>7938</v>
      </c>
      <c r="I3106">
        <v>103</v>
      </c>
      <c r="J3106">
        <v>-0.08</v>
      </c>
      <c r="K3106">
        <v>0.34</v>
      </c>
      <c r="L3106">
        <v>894.24</v>
      </c>
      <c r="M3106" t="s">
        <v>4028</v>
      </c>
      <c r="N3106" t="s">
        <v>63</v>
      </c>
      <c r="O3106">
        <v>11.29</v>
      </c>
      <c r="P3106">
        <v>11.36</v>
      </c>
      <c r="Q3106">
        <v>11.18</v>
      </c>
      <c r="R3106">
        <v>11.28</v>
      </c>
      <c r="S3106">
        <v>48.82</v>
      </c>
      <c r="T3106">
        <v>0.56</v>
      </c>
      <c r="U3106" t="s">
        <v>848</v>
      </c>
    </row>
    <row r="3107" spans="1:21">
      <c r="A3107" t="str">
        <f>"600681"</f>
        <v>600681</v>
      </c>
      <c r="B3107" t="s">
        <v>6063</v>
      </c>
      <c r="C3107">
        <v>1</v>
      </c>
      <c r="D3107">
        <v>5.04</v>
      </c>
      <c r="E3107">
        <v>0.05</v>
      </c>
      <c r="F3107">
        <v>5.03</v>
      </c>
      <c r="G3107">
        <v>5.04</v>
      </c>
      <c r="H3107">
        <v>109063</v>
      </c>
      <c r="I3107">
        <v>1100</v>
      </c>
      <c r="J3107">
        <v>0</v>
      </c>
      <c r="K3107">
        <v>0.8</v>
      </c>
      <c r="L3107">
        <v>5425.76</v>
      </c>
      <c r="M3107" t="s">
        <v>6064</v>
      </c>
      <c r="N3107" t="s">
        <v>238</v>
      </c>
      <c r="O3107">
        <v>4.97</v>
      </c>
      <c r="P3107">
        <v>5.04</v>
      </c>
      <c r="Q3107">
        <v>4.87</v>
      </c>
      <c r="R3107">
        <v>4.99</v>
      </c>
      <c r="S3107">
        <v>11.78</v>
      </c>
      <c r="T3107">
        <v>1.07</v>
      </c>
      <c r="U3107" t="s">
        <v>267</v>
      </c>
    </row>
    <row r="3108" spans="1:21">
      <c r="A3108" t="str">
        <f>"600682"</f>
        <v>600682</v>
      </c>
      <c r="B3108" t="s">
        <v>6065</v>
      </c>
      <c r="C3108">
        <v>3.35</v>
      </c>
      <c r="D3108">
        <v>12.34</v>
      </c>
      <c r="E3108">
        <v>0.4</v>
      </c>
      <c r="F3108">
        <v>12.34</v>
      </c>
      <c r="G3108">
        <v>12.35</v>
      </c>
      <c r="H3108">
        <v>232462</v>
      </c>
      <c r="I3108">
        <v>3746</v>
      </c>
      <c r="J3108">
        <v>0.16</v>
      </c>
      <c r="K3108">
        <v>2</v>
      </c>
      <c r="L3108">
        <v>28281.88</v>
      </c>
      <c r="M3108" t="s">
        <v>6066</v>
      </c>
      <c r="N3108" t="s">
        <v>258</v>
      </c>
      <c r="O3108">
        <v>12.06</v>
      </c>
      <c r="P3108">
        <v>12.46</v>
      </c>
      <c r="Q3108">
        <v>11.82</v>
      </c>
      <c r="R3108">
        <v>11.94</v>
      </c>
      <c r="S3108">
        <v>14.09</v>
      </c>
      <c r="T3108">
        <v>1.25</v>
      </c>
      <c r="U3108" t="s">
        <v>102</v>
      </c>
    </row>
    <row r="3109" spans="1:21">
      <c r="A3109" t="str">
        <f>"600683"</f>
        <v>600683</v>
      </c>
      <c r="B3109" t="s">
        <v>6067</v>
      </c>
      <c r="C3109">
        <v>0.5</v>
      </c>
      <c r="D3109">
        <v>6.06</v>
      </c>
      <c r="E3109">
        <v>0.03</v>
      </c>
      <c r="F3109">
        <v>6.06</v>
      </c>
      <c r="G3109">
        <v>6.07</v>
      </c>
      <c r="H3109">
        <v>249723</v>
      </c>
      <c r="I3109">
        <v>4277</v>
      </c>
      <c r="J3109">
        <v>-0.15</v>
      </c>
      <c r="K3109">
        <v>3.37</v>
      </c>
      <c r="L3109">
        <v>15122.13</v>
      </c>
      <c r="M3109" t="s">
        <v>6068</v>
      </c>
      <c r="N3109" t="s">
        <v>36</v>
      </c>
      <c r="O3109">
        <v>6.02</v>
      </c>
      <c r="P3109">
        <v>6.12</v>
      </c>
      <c r="Q3109">
        <v>5.97</v>
      </c>
      <c r="R3109">
        <v>6.03</v>
      </c>
      <c r="S3109">
        <v>40.15</v>
      </c>
      <c r="T3109">
        <v>0.51</v>
      </c>
      <c r="U3109" t="s">
        <v>200</v>
      </c>
    </row>
    <row r="3110" spans="1:21">
      <c r="A3110" t="str">
        <f>"600684"</f>
        <v>600684</v>
      </c>
      <c r="B3110" t="s">
        <v>6069</v>
      </c>
      <c r="C3110">
        <v>0.97</v>
      </c>
      <c r="D3110">
        <v>3.11</v>
      </c>
      <c r="E3110">
        <v>0.03</v>
      </c>
      <c r="F3110">
        <v>3.11</v>
      </c>
      <c r="G3110">
        <v>3.12</v>
      </c>
      <c r="H3110">
        <v>45963</v>
      </c>
      <c r="I3110">
        <v>989</v>
      </c>
      <c r="J3110">
        <v>0.32</v>
      </c>
      <c r="K3110">
        <v>0.54</v>
      </c>
      <c r="L3110">
        <v>1424.24</v>
      </c>
      <c r="M3110" t="s">
        <v>2284</v>
      </c>
      <c r="N3110" t="s">
        <v>27</v>
      </c>
      <c r="O3110">
        <v>3.08</v>
      </c>
      <c r="P3110">
        <v>3.12</v>
      </c>
      <c r="Q3110">
        <v>3.07</v>
      </c>
      <c r="R3110">
        <v>3.08</v>
      </c>
      <c r="S3110">
        <v>7.94</v>
      </c>
      <c r="T3110">
        <v>1.16</v>
      </c>
      <c r="U3110" t="s">
        <v>183</v>
      </c>
    </row>
    <row r="3111" spans="1:21">
      <c r="A3111" t="str">
        <f>"600685"</f>
        <v>600685</v>
      </c>
      <c r="B3111" t="s">
        <v>6070</v>
      </c>
      <c r="C3111">
        <v>-0.1</v>
      </c>
      <c r="D3111">
        <v>20.09</v>
      </c>
      <c r="E3111">
        <v>-0.02</v>
      </c>
      <c r="F3111">
        <v>20.09</v>
      </c>
      <c r="G3111">
        <v>20.1</v>
      </c>
      <c r="H3111">
        <v>55610</v>
      </c>
      <c r="I3111">
        <v>639</v>
      </c>
      <c r="J3111">
        <v>-0.04</v>
      </c>
      <c r="K3111">
        <v>0.68</v>
      </c>
      <c r="L3111">
        <v>11162.8</v>
      </c>
      <c r="M3111" t="s">
        <v>6071</v>
      </c>
      <c r="N3111" t="s">
        <v>3063</v>
      </c>
      <c r="O3111">
        <v>20.12</v>
      </c>
      <c r="P3111">
        <v>20.23</v>
      </c>
      <c r="Q3111">
        <v>19.95</v>
      </c>
      <c r="R3111">
        <v>20.11</v>
      </c>
      <c r="S3111">
        <v>3491.76</v>
      </c>
      <c r="T3111">
        <v>0.64</v>
      </c>
      <c r="U3111" t="s">
        <v>183</v>
      </c>
    </row>
    <row r="3112" spans="1:21">
      <c r="A3112" t="str">
        <f>"600686"</f>
        <v>600686</v>
      </c>
      <c r="B3112" t="s">
        <v>6072</v>
      </c>
      <c r="C3112">
        <v>1.49</v>
      </c>
      <c r="D3112">
        <v>6.12</v>
      </c>
      <c r="E3112">
        <v>0.09</v>
      </c>
      <c r="F3112">
        <v>6.12</v>
      </c>
      <c r="G3112">
        <v>6.13</v>
      </c>
      <c r="H3112">
        <v>53577</v>
      </c>
      <c r="I3112">
        <v>942</v>
      </c>
      <c r="J3112">
        <v>0</v>
      </c>
      <c r="K3112">
        <v>0.79</v>
      </c>
      <c r="L3112">
        <v>3269.95</v>
      </c>
      <c r="M3112" t="s">
        <v>6073</v>
      </c>
      <c r="N3112" t="s">
        <v>385</v>
      </c>
      <c r="O3112">
        <v>6.03</v>
      </c>
      <c r="P3112">
        <v>6.19</v>
      </c>
      <c r="Q3112">
        <v>5.99</v>
      </c>
      <c r="R3112">
        <v>6.03</v>
      </c>
      <c r="S3112" t="s">
        <v>40</v>
      </c>
      <c r="T3112">
        <v>1.23</v>
      </c>
      <c r="U3112" t="s">
        <v>339</v>
      </c>
    </row>
    <row r="3113" spans="1:21">
      <c r="A3113" t="str">
        <f>"600688"</f>
        <v>600688</v>
      </c>
      <c r="B3113" t="s">
        <v>6074</v>
      </c>
      <c r="C3113">
        <v>9.72</v>
      </c>
      <c r="D3113">
        <v>4.74</v>
      </c>
      <c r="E3113">
        <v>0.42</v>
      </c>
      <c r="F3113">
        <v>4.73</v>
      </c>
      <c r="G3113">
        <v>4.74</v>
      </c>
      <c r="H3113">
        <v>2000857</v>
      </c>
      <c r="I3113">
        <v>33787</v>
      </c>
      <c r="J3113">
        <v>-0.2</v>
      </c>
      <c r="K3113">
        <v>2.73</v>
      </c>
      <c r="L3113">
        <v>93691.13</v>
      </c>
      <c r="M3113" t="s">
        <v>6075</v>
      </c>
      <c r="N3113" t="s">
        <v>140</v>
      </c>
      <c r="O3113">
        <v>4.3</v>
      </c>
      <c r="P3113">
        <v>4.75</v>
      </c>
      <c r="Q3113">
        <v>4.28</v>
      </c>
      <c r="R3113">
        <v>4.32</v>
      </c>
      <c r="S3113">
        <v>19.58</v>
      </c>
      <c r="T3113">
        <v>1.8</v>
      </c>
      <c r="U3113" t="s">
        <v>848</v>
      </c>
    </row>
    <row r="3114" spans="1:21">
      <c r="A3114" t="str">
        <f>"600689"</f>
        <v>600689</v>
      </c>
      <c r="B3114" t="s">
        <v>6076</v>
      </c>
      <c r="C3114">
        <v>0.45</v>
      </c>
      <c r="D3114">
        <v>6.66</v>
      </c>
      <c r="E3114">
        <v>0.03</v>
      </c>
      <c r="F3114">
        <v>6.66</v>
      </c>
      <c r="G3114">
        <v>6.67</v>
      </c>
      <c r="H3114">
        <v>13844</v>
      </c>
      <c r="I3114">
        <v>404</v>
      </c>
      <c r="J3114">
        <v>-0.14</v>
      </c>
      <c r="K3114">
        <v>0.91</v>
      </c>
      <c r="L3114">
        <v>920.76</v>
      </c>
      <c r="M3114" t="s">
        <v>6077</v>
      </c>
      <c r="N3114" t="s">
        <v>664</v>
      </c>
      <c r="O3114">
        <v>6.66</v>
      </c>
      <c r="P3114">
        <v>6.73</v>
      </c>
      <c r="Q3114">
        <v>6.58</v>
      </c>
      <c r="R3114">
        <v>6.63</v>
      </c>
      <c r="S3114">
        <v>109.27</v>
      </c>
      <c r="T3114">
        <v>0.93</v>
      </c>
      <c r="U3114" t="s">
        <v>848</v>
      </c>
    </row>
    <row r="3115" spans="1:21">
      <c r="A3115" t="str">
        <f>"600690"</f>
        <v>600690</v>
      </c>
      <c r="B3115" t="s">
        <v>6078</v>
      </c>
      <c r="C3115">
        <v>3.53</v>
      </c>
      <c r="D3115">
        <v>28.19</v>
      </c>
      <c r="E3115">
        <v>0.96</v>
      </c>
      <c r="F3115">
        <v>28.18</v>
      </c>
      <c r="G3115">
        <v>28.19</v>
      </c>
      <c r="H3115">
        <v>367112</v>
      </c>
      <c r="I3115">
        <v>6256</v>
      </c>
      <c r="J3115">
        <v>0.18</v>
      </c>
      <c r="K3115">
        <v>0.58</v>
      </c>
      <c r="L3115">
        <v>102766.32</v>
      </c>
      <c r="M3115" t="s">
        <v>6079</v>
      </c>
      <c r="N3115" t="s">
        <v>60</v>
      </c>
      <c r="O3115">
        <v>27.44</v>
      </c>
      <c r="P3115">
        <v>28.3</v>
      </c>
      <c r="Q3115">
        <v>27.17</v>
      </c>
      <c r="R3115">
        <v>27.23</v>
      </c>
      <c r="S3115">
        <v>20</v>
      </c>
      <c r="T3115">
        <v>1.07</v>
      </c>
      <c r="U3115" t="s">
        <v>221</v>
      </c>
    </row>
    <row r="3116" spans="1:21">
      <c r="A3116" t="str">
        <f>"600691"</f>
        <v>600691</v>
      </c>
      <c r="B3116" t="s">
        <v>6080</v>
      </c>
      <c r="C3116">
        <v>9.95</v>
      </c>
      <c r="D3116">
        <v>4.75</v>
      </c>
      <c r="E3116">
        <v>0.43</v>
      </c>
      <c r="F3116">
        <v>4.75</v>
      </c>
      <c r="G3116" t="s">
        <v>40</v>
      </c>
      <c r="H3116">
        <v>2193384</v>
      </c>
      <c r="I3116">
        <v>847</v>
      </c>
      <c r="J3116">
        <v>0</v>
      </c>
      <c r="K3116">
        <v>12.49</v>
      </c>
      <c r="L3116">
        <v>98290.45</v>
      </c>
      <c r="M3116" t="s">
        <v>6081</v>
      </c>
      <c r="N3116" t="s">
        <v>241</v>
      </c>
      <c r="O3116">
        <v>4.5</v>
      </c>
      <c r="P3116">
        <v>4.75</v>
      </c>
      <c r="Q3116">
        <v>4.18</v>
      </c>
      <c r="R3116">
        <v>4.32</v>
      </c>
      <c r="S3116">
        <v>19.28</v>
      </c>
      <c r="T3116">
        <v>4.76</v>
      </c>
      <c r="U3116" t="s">
        <v>232</v>
      </c>
    </row>
    <row r="3117" spans="1:21">
      <c r="A3117" t="str">
        <f>"600692"</f>
        <v>600692</v>
      </c>
      <c r="B3117" t="s">
        <v>6082</v>
      </c>
      <c r="C3117">
        <v>0.53</v>
      </c>
      <c r="D3117">
        <v>5.68</v>
      </c>
      <c r="E3117">
        <v>0.03</v>
      </c>
      <c r="F3117">
        <v>5.68</v>
      </c>
      <c r="G3117">
        <v>5.69</v>
      </c>
      <c r="H3117">
        <v>12944</v>
      </c>
      <c r="I3117">
        <v>45</v>
      </c>
      <c r="J3117">
        <v>0</v>
      </c>
      <c r="K3117">
        <v>0.51</v>
      </c>
      <c r="L3117">
        <v>731.79</v>
      </c>
      <c r="M3117" t="s">
        <v>4213</v>
      </c>
      <c r="N3117" t="s">
        <v>134</v>
      </c>
      <c r="O3117">
        <v>5.65</v>
      </c>
      <c r="P3117">
        <v>5.7</v>
      </c>
      <c r="Q3117">
        <v>5.57</v>
      </c>
      <c r="R3117">
        <v>5.65</v>
      </c>
      <c r="S3117">
        <v>103.97</v>
      </c>
      <c r="T3117">
        <v>0.78</v>
      </c>
      <c r="U3117" t="s">
        <v>848</v>
      </c>
    </row>
    <row r="3118" spans="1:21">
      <c r="A3118" t="str">
        <f>"600693"</f>
        <v>600693</v>
      </c>
      <c r="B3118" t="s">
        <v>6083</v>
      </c>
      <c r="C3118">
        <v>0.52</v>
      </c>
      <c r="D3118">
        <v>3.9</v>
      </c>
      <c r="E3118">
        <v>0.02</v>
      </c>
      <c r="F3118">
        <v>3.89</v>
      </c>
      <c r="G3118">
        <v>3.9</v>
      </c>
      <c r="H3118">
        <v>65059</v>
      </c>
      <c r="I3118">
        <v>496</v>
      </c>
      <c r="J3118">
        <v>0</v>
      </c>
      <c r="K3118">
        <v>0.73</v>
      </c>
      <c r="L3118">
        <v>2529.1</v>
      </c>
      <c r="M3118" t="s">
        <v>3443</v>
      </c>
      <c r="N3118" t="s">
        <v>258</v>
      </c>
      <c r="O3118">
        <v>3.88</v>
      </c>
      <c r="P3118">
        <v>3.9</v>
      </c>
      <c r="Q3118">
        <v>3.86</v>
      </c>
      <c r="R3118">
        <v>3.88</v>
      </c>
      <c r="S3118">
        <v>34.88</v>
      </c>
      <c r="T3118">
        <v>2.3</v>
      </c>
      <c r="U3118" t="s">
        <v>339</v>
      </c>
    </row>
    <row r="3119" spans="1:21">
      <c r="A3119" t="str">
        <f>"600694"</f>
        <v>600694</v>
      </c>
      <c r="B3119" t="s">
        <v>6084</v>
      </c>
      <c r="C3119">
        <v>0.64</v>
      </c>
      <c r="D3119">
        <v>18.86</v>
      </c>
      <c r="E3119">
        <v>0.12</v>
      </c>
      <c r="F3119">
        <v>18.86</v>
      </c>
      <c r="G3119">
        <v>18.89</v>
      </c>
      <c r="H3119">
        <v>14994</v>
      </c>
      <c r="I3119">
        <v>303</v>
      </c>
      <c r="J3119">
        <v>-0.2</v>
      </c>
      <c r="K3119">
        <v>0.51</v>
      </c>
      <c r="L3119">
        <v>2818.03</v>
      </c>
      <c r="M3119" t="s">
        <v>6085</v>
      </c>
      <c r="N3119" t="s">
        <v>258</v>
      </c>
      <c r="O3119">
        <v>18.75</v>
      </c>
      <c r="P3119">
        <v>18.94</v>
      </c>
      <c r="Q3119">
        <v>18.67</v>
      </c>
      <c r="R3119">
        <v>18.74</v>
      </c>
      <c r="S3119">
        <v>6.39</v>
      </c>
      <c r="T3119">
        <v>0.79</v>
      </c>
      <c r="U3119" t="s">
        <v>141</v>
      </c>
    </row>
    <row r="3120" spans="1:21">
      <c r="A3120" t="str">
        <f>"600695"</f>
        <v>600695</v>
      </c>
      <c r="B3120" t="s">
        <v>6086</v>
      </c>
      <c r="C3120">
        <v>-2.42</v>
      </c>
      <c r="D3120">
        <v>6.86</v>
      </c>
      <c r="E3120">
        <v>-0.17</v>
      </c>
      <c r="F3120">
        <v>6.85</v>
      </c>
      <c r="G3120">
        <v>6.86</v>
      </c>
      <c r="H3120">
        <v>223700</v>
      </c>
      <c r="I3120">
        <v>2161</v>
      </c>
      <c r="J3120">
        <v>-0.28</v>
      </c>
      <c r="K3120">
        <v>6.1</v>
      </c>
      <c r="L3120">
        <v>15375.84</v>
      </c>
      <c r="M3120" t="s">
        <v>2121</v>
      </c>
      <c r="N3120" t="s">
        <v>121</v>
      </c>
      <c r="O3120">
        <v>6.68</v>
      </c>
      <c r="P3120">
        <v>7.34</v>
      </c>
      <c r="Q3120">
        <v>6.68</v>
      </c>
      <c r="R3120">
        <v>7.03</v>
      </c>
      <c r="S3120">
        <v>287.05</v>
      </c>
      <c r="T3120">
        <v>2.13</v>
      </c>
      <c r="U3120" t="s">
        <v>848</v>
      </c>
    </row>
    <row r="3121" spans="1:21">
      <c r="A3121" t="str">
        <f>"600696"</f>
        <v>600696</v>
      </c>
      <c r="B3121" t="s">
        <v>6087</v>
      </c>
      <c r="C3121">
        <v>0.11</v>
      </c>
      <c r="D3121">
        <v>28.53</v>
      </c>
      <c r="E3121">
        <v>0.03</v>
      </c>
      <c r="F3121">
        <v>28.52</v>
      </c>
      <c r="G3121">
        <v>28.53</v>
      </c>
      <c r="H3121">
        <v>23814</v>
      </c>
      <c r="I3121">
        <v>322</v>
      </c>
      <c r="J3121">
        <v>0</v>
      </c>
      <c r="K3121">
        <v>0.71</v>
      </c>
      <c r="L3121">
        <v>6812.69</v>
      </c>
      <c r="M3121" t="s">
        <v>6088</v>
      </c>
      <c r="N3121" t="s">
        <v>423</v>
      </c>
      <c r="O3121">
        <v>28.28</v>
      </c>
      <c r="P3121">
        <v>29.06</v>
      </c>
      <c r="Q3121">
        <v>28.28</v>
      </c>
      <c r="R3121">
        <v>28.5</v>
      </c>
      <c r="S3121">
        <v>86.7</v>
      </c>
      <c r="T3121">
        <v>0.65</v>
      </c>
      <c r="U3121" t="s">
        <v>848</v>
      </c>
    </row>
    <row r="3122" spans="1:21">
      <c r="A3122" t="str">
        <f>"600697"</f>
        <v>600697</v>
      </c>
      <c r="B3122" t="s">
        <v>6089</v>
      </c>
      <c r="C3122">
        <v>-0.08</v>
      </c>
      <c r="D3122">
        <v>11.93</v>
      </c>
      <c r="E3122">
        <v>-0.01</v>
      </c>
      <c r="F3122">
        <v>11.93</v>
      </c>
      <c r="G3122">
        <v>11.97</v>
      </c>
      <c r="H3122">
        <v>4218</v>
      </c>
      <c r="I3122">
        <v>99</v>
      </c>
      <c r="J3122">
        <v>-0.24</v>
      </c>
      <c r="K3122">
        <v>0.27</v>
      </c>
      <c r="L3122">
        <v>503.06</v>
      </c>
      <c r="M3122" t="s">
        <v>6090</v>
      </c>
      <c r="N3122" t="s">
        <v>258</v>
      </c>
      <c r="O3122">
        <v>11.88</v>
      </c>
      <c r="P3122">
        <v>11.99</v>
      </c>
      <c r="Q3122">
        <v>11.85</v>
      </c>
      <c r="R3122">
        <v>11.94</v>
      </c>
      <c r="S3122">
        <v>20.54</v>
      </c>
      <c r="T3122">
        <v>0.76</v>
      </c>
      <c r="U3122" t="s">
        <v>92</v>
      </c>
    </row>
    <row r="3123" spans="1:21">
      <c r="A3123" t="str">
        <f>"600698"</f>
        <v>600698</v>
      </c>
      <c r="B3123" t="s">
        <v>6091</v>
      </c>
      <c r="C3123">
        <v>2.52</v>
      </c>
      <c r="D3123">
        <v>3.26</v>
      </c>
      <c r="E3123">
        <v>0.08</v>
      </c>
      <c r="F3123">
        <v>3.26</v>
      </c>
      <c r="G3123">
        <v>3.27</v>
      </c>
      <c r="H3123">
        <v>114258</v>
      </c>
      <c r="I3123">
        <v>1588</v>
      </c>
      <c r="J3123">
        <v>-0.3</v>
      </c>
      <c r="K3123">
        <v>1.55</v>
      </c>
      <c r="L3123">
        <v>3708.86</v>
      </c>
      <c r="M3123" t="s">
        <v>2991</v>
      </c>
      <c r="N3123" t="s">
        <v>91</v>
      </c>
      <c r="O3123">
        <v>3.17</v>
      </c>
      <c r="P3123">
        <v>3.28</v>
      </c>
      <c r="Q3123">
        <v>3.17</v>
      </c>
      <c r="R3123">
        <v>3.18</v>
      </c>
      <c r="S3123">
        <v>16378.11</v>
      </c>
      <c r="T3123">
        <v>1.15</v>
      </c>
      <c r="U3123" t="s">
        <v>204</v>
      </c>
    </row>
    <row r="3124" spans="1:21">
      <c r="A3124" t="str">
        <f>"600699"</f>
        <v>600699</v>
      </c>
      <c r="B3124" t="s">
        <v>6092</v>
      </c>
      <c r="C3124">
        <v>0.27</v>
      </c>
      <c r="D3124">
        <v>22.17</v>
      </c>
      <c r="E3124">
        <v>0.06</v>
      </c>
      <c r="F3124">
        <v>22.17</v>
      </c>
      <c r="G3124">
        <v>22.18</v>
      </c>
      <c r="H3124">
        <v>395902</v>
      </c>
      <c r="I3124">
        <v>7579</v>
      </c>
      <c r="J3124">
        <v>-0.04</v>
      </c>
      <c r="K3124">
        <v>2.89</v>
      </c>
      <c r="L3124">
        <v>88282.94</v>
      </c>
      <c r="M3124" t="s">
        <v>6093</v>
      </c>
      <c r="N3124" t="s">
        <v>91</v>
      </c>
      <c r="O3124">
        <v>22.1</v>
      </c>
      <c r="P3124">
        <v>22.63</v>
      </c>
      <c r="Q3124">
        <v>22.07</v>
      </c>
      <c r="R3124">
        <v>22.11</v>
      </c>
      <c r="S3124">
        <v>1260.11</v>
      </c>
      <c r="T3124">
        <v>0.51</v>
      </c>
      <c r="U3124" t="s">
        <v>200</v>
      </c>
    </row>
    <row r="3125" spans="1:21">
      <c r="A3125" t="str">
        <f>"600702"</f>
        <v>600702</v>
      </c>
      <c r="B3125" t="s">
        <v>6094</v>
      </c>
      <c r="C3125">
        <v>0.87</v>
      </c>
      <c r="D3125">
        <v>185.17</v>
      </c>
      <c r="E3125">
        <v>1.59</v>
      </c>
      <c r="F3125">
        <v>185.17</v>
      </c>
      <c r="G3125">
        <v>185.18</v>
      </c>
      <c r="H3125">
        <v>69890</v>
      </c>
      <c r="I3125">
        <v>549</v>
      </c>
      <c r="J3125">
        <v>0.01</v>
      </c>
      <c r="K3125">
        <v>2.12</v>
      </c>
      <c r="L3125">
        <v>130227.58</v>
      </c>
      <c r="M3125" t="s">
        <v>6095</v>
      </c>
      <c r="N3125" t="s">
        <v>423</v>
      </c>
      <c r="O3125">
        <v>183.22</v>
      </c>
      <c r="P3125">
        <v>188.6</v>
      </c>
      <c r="Q3125">
        <v>183.2</v>
      </c>
      <c r="R3125">
        <v>183.58</v>
      </c>
      <c r="S3125">
        <v>47.56</v>
      </c>
      <c r="T3125">
        <v>0.88</v>
      </c>
      <c r="U3125" t="s">
        <v>196</v>
      </c>
    </row>
    <row r="3126" spans="1:21">
      <c r="A3126" t="str">
        <f>"600703"</f>
        <v>600703</v>
      </c>
      <c r="B3126" t="s">
        <v>6096</v>
      </c>
      <c r="C3126">
        <v>1.74</v>
      </c>
      <c r="D3126">
        <v>35.71</v>
      </c>
      <c r="E3126">
        <v>0.61</v>
      </c>
      <c r="F3126">
        <v>35.7</v>
      </c>
      <c r="G3126">
        <v>35.71</v>
      </c>
      <c r="H3126">
        <v>436750</v>
      </c>
      <c r="I3126">
        <v>6744</v>
      </c>
      <c r="J3126">
        <v>0</v>
      </c>
      <c r="K3126">
        <v>1.07</v>
      </c>
      <c r="L3126">
        <v>155398.9</v>
      </c>
      <c r="M3126" t="s">
        <v>6097</v>
      </c>
      <c r="N3126" t="s">
        <v>1246</v>
      </c>
      <c r="O3126">
        <v>34.98</v>
      </c>
      <c r="P3126">
        <v>35.85</v>
      </c>
      <c r="Q3126">
        <v>34.88</v>
      </c>
      <c r="R3126">
        <v>35.1</v>
      </c>
      <c r="S3126">
        <v>93.28</v>
      </c>
      <c r="T3126">
        <v>0.74</v>
      </c>
      <c r="U3126" t="s">
        <v>267</v>
      </c>
    </row>
    <row r="3127" spans="1:21">
      <c r="A3127" t="str">
        <f>"600704"</f>
        <v>600704</v>
      </c>
      <c r="B3127" t="s">
        <v>6098</v>
      </c>
      <c r="C3127">
        <v>1.24</v>
      </c>
      <c r="D3127">
        <v>6.51</v>
      </c>
      <c r="E3127">
        <v>0.08</v>
      </c>
      <c r="F3127">
        <v>6.5</v>
      </c>
      <c r="G3127">
        <v>6.51</v>
      </c>
      <c r="H3127">
        <v>834411</v>
      </c>
      <c r="I3127">
        <v>7318</v>
      </c>
      <c r="J3127">
        <v>0.15</v>
      </c>
      <c r="K3127">
        <v>1.65</v>
      </c>
      <c r="L3127">
        <v>54122.02</v>
      </c>
      <c r="M3127" t="s">
        <v>6099</v>
      </c>
      <c r="N3127" t="s">
        <v>189</v>
      </c>
      <c r="O3127">
        <v>6.43</v>
      </c>
      <c r="P3127">
        <v>6.58</v>
      </c>
      <c r="Q3127">
        <v>6.37</v>
      </c>
      <c r="R3127">
        <v>6.43</v>
      </c>
      <c r="S3127">
        <v>7.93</v>
      </c>
      <c r="T3127">
        <v>0.84</v>
      </c>
      <c r="U3127" t="s">
        <v>200</v>
      </c>
    </row>
    <row r="3128" spans="1:21">
      <c r="A3128" t="str">
        <f>"600705"</f>
        <v>600705</v>
      </c>
      <c r="B3128" t="s">
        <v>6100</v>
      </c>
      <c r="C3128">
        <v>1.04</v>
      </c>
      <c r="D3128">
        <v>3.88</v>
      </c>
      <c r="E3128">
        <v>0.04</v>
      </c>
      <c r="F3128">
        <v>3.87</v>
      </c>
      <c r="G3128">
        <v>3.88</v>
      </c>
      <c r="H3128">
        <v>263031</v>
      </c>
      <c r="I3128">
        <v>4557</v>
      </c>
      <c r="J3128">
        <v>0</v>
      </c>
      <c r="K3128">
        <v>0.3</v>
      </c>
      <c r="L3128">
        <v>10120.46</v>
      </c>
      <c r="M3128" t="s">
        <v>6101</v>
      </c>
      <c r="N3128" t="s">
        <v>121</v>
      </c>
      <c r="O3128">
        <v>3.83</v>
      </c>
      <c r="P3128">
        <v>3.88</v>
      </c>
      <c r="Q3128">
        <v>3.82</v>
      </c>
      <c r="R3128">
        <v>3.84</v>
      </c>
      <c r="S3128">
        <v>8.81</v>
      </c>
      <c r="T3128">
        <v>1.18</v>
      </c>
      <c r="U3128" t="s">
        <v>445</v>
      </c>
    </row>
    <row r="3129" spans="1:21">
      <c r="A3129" t="str">
        <f>"600706"</f>
        <v>600706</v>
      </c>
      <c r="B3129" t="s">
        <v>6102</v>
      </c>
      <c r="C3129">
        <v>-1.62</v>
      </c>
      <c r="D3129">
        <v>6.69</v>
      </c>
      <c r="E3129">
        <v>-0.11</v>
      </c>
      <c r="F3129">
        <v>6.69</v>
      </c>
      <c r="G3129">
        <v>6.7</v>
      </c>
      <c r="H3129">
        <v>52778</v>
      </c>
      <c r="I3129">
        <v>834</v>
      </c>
      <c r="J3129">
        <v>0.15</v>
      </c>
      <c r="K3129">
        <v>2.47</v>
      </c>
      <c r="L3129">
        <v>3528.07</v>
      </c>
      <c r="M3129" t="s">
        <v>5787</v>
      </c>
      <c r="N3129" t="s">
        <v>489</v>
      </c>
      <c r="O3129">
        <v>6.76</v>
      </c>
      <c r="P3129">
        <v>6.8</v>
      </c>
      <c r="Q3129">
        <v>6.6</v>
      </c>
      <c r="R3129">
        <v>6.8</v>
      </c>
      <c r="S3129" t="s">
        <v>40</v>
      </c>
      <c r="T3129">
        <v>0.6</v>
      </c>
      <c r="U3129" t="s">
        <v>317</v>
      </c>
    </row>
    <row r="3130" spans="1:21">
      <c r="A3130" t="str">
        <f>"600707"</f>
        <v>600707</v>
      </c>
      <c r="B3130" t="s">
        <v>6103</v>
      </c>
      <c r="C3130">
        <v>2.57</v>
      </c>
      <c r="D3130">
        <v>7.19</v>
      </c>
      <c r="E3130">
        <v>0.18</v>
      </c>
      <c r="F3130">
        <v>7.18</v>
      </c>
      <c r="G3130">
        <v>7.19</v>
      </c>
      <c r="H3130">
        <v>482075</v>
      </c>
      <c r="I3130">
        <v>8215</v>
      </c>
      <c r="J3130">
        <v>0</v>
      </c>
      <c r="K3130">
        <v>1.95</v>
      </c>
      <c r="L3130">
        <v>34428.49</v>
      </c>
      <c r="M3130" t="s">
        <v>6104</v>
      </c>
      <c r="N3130" t="s">
        <v>69</v>
      </c>
      <c r="O3130">
        <v>6.99</v>
      </c>
      <c r="P3130">
        <v>7.28</v>
      </c>
      <c r="Q3130">
        <v>6.95</v>
      </c>
      <c r="R3130">
        <v>7.01</v>
      </c>
      <c r="S3130">
        <v>5.58</v>
      </c>
      <c r="T3130">
        <v>1.64</v>
      </c>
      <c r="U3130" t="s">
        <v>317</v>
      </c>
    </row>
    <row r="3131" spans="1:21">
      <c r="A3131" t="str">
        <f>"600708"</f>
        <v>600708</v>
      </c>
      <c r="B3131" t="s">
        <v>6105</v>
      </c>
      <c r="C3131">
        <v>0.45</v>
      </c>
      <c r="D3131">
        <v>2.25</v>
      </c>
      <c r="E3131">
        <v>0.01</v>
      </c>
      <c r="F3131">
        <v>2.24</v>
      </c>
      <c r="G3131">
        <v>2.25</v>
      </c>
      <c r="H3131">
        <v>57505</v>
      </c>
      <c r="I3131">
        <v>894</v>
      </c>
      <c r="J3131">
        <v>-0.43</v>
      </c>
      <c r="K3131">
        <v>0.26</v>
      </c>
      <c r="L3131">
        <v>1288.23</v>
      </c>
      <c r="M3131" t="s">
        <v>6106</v>
      </c>
      <c r="N3131" t="s">
        <v>27</v>
      </c>
      <c r="O3131">
        <v>2.23</v>
      </c>
      <c r="P3131">
        <v>2.26</v>
      </c>
      <c r="Q3131">
        <v>2.22</v>
      </c>
      <c r="R3131">
        <v>2.24</v>
      </c>
      <c r="S3131">
        <v>66.53</v>
      </c>
      <c r="T3131">
        <v>0.75</v>
      </c>
      <c r="U3131" t="s">
        <v>848</v>
      </c>
    </row>
    <row r="3132" spans="1:21">
      <c r="A3132" t="str">
        <f>"600710"</f>
        <v>600710</v>
      </c>
      <c r="B3132" t="s">
        <v>6107</v>
      </c>
      <c r="C3132">
        <v>2.31</v>
      </c>
      <c r="D3132">
        <v>6.63</v>
      </c>
      <c r="E3132">
        <v>0.15</v>
      </c>
      <c r="F3132">
        <v>6.62</v>
      </c>
      <c r="G3132">
        <v>6.63</v>
      </c>
      <c r="H3132">
        <v>140558</v>
      </c>
      <c r="I3132">
        <v>2528</v>
      </c>
      <c r="J3132">
        <v>0.15</v>
      </c>
      <c r="K3132">
        <v>1.08</v>
      </c>
      <c r="L3132">
        <v>9254.32</v>
      </c>
      <c r="M3132" t="s">
        <v>6108</v>
      </c>
      <c r="N3132" t="s">
        <v>189</v>
      </c>
      <c r="O3132">
        <v>6.48</v>
      </c>
      <c r="P3132">
        <v>6.64</v>
      </c>
      <c r="Q3132">
        <v>6.47</v>
      </c>
      <c r="R3132">
        <v>6.48</v>
      </c>
      <c r="S3132">
        <v>9.94</v>
      </c>
      <c r="T3132">
        <v>1.05</v>
      </c>
      <c r="U3132" t="s">
        <v>102</v>
      </c>
    </row>
    <row r="3133" spans="1:21">
      <c r="A3133" t="str">
        <f>"600711"</f>
        <v>600711</v>
      </c>
      <c r="B3133" t="s">
        <v>6109</v>
      </c>
      <c r="C3133">
        <v>1.79</v>
      </c>
      <c r="D3133">
        <v>10.23</v>
      </c>
      <c r="E3133">
        <v>0.18</v>
      </c>
      <c r="F3133">
        <v>10.22</v>
      </c>
      <c r="G3133">
        <v>10.23</v>
      </c>
      <c r="H3133">
        <v>1240996</v>
      </c>
      <c r="I3133">
        <v>15123</v>
      </c>
      <c r="J3133">
        <v>0.2</v>
      </c>
      <c r="K3133">
        <v>4.76</v>
      </c>
      <c r="L3133">
        <v>126600.05</v>
      </c>
      <c r="M3133" t="s">
        <v>6110</v>
      </c>
      <c r="N3133" t="s">
        <v>523</v>
      </c>
      <c r="O3133">
        <v>10.13</v>
      </c>
      <c r="P3133">
        <v>10.35</v>
      </c>
      <c r="Q3133">
        <v>10.02</v>
      </c>
      <c r="R3133">
        <v>10.05</v>
      </c>
      <c r="S3133">
        <v>14.11</v>
      </c>
      <c r="T3133">
        <v>1.29</v>
      </c>
      <c r="U3133" t="s">
        <v>339</v>
      </c>
    </row>
    <row r="3134" spans="1:21">
      <c r="A3134" t="str">
        <f>"600712"</f>
        <v>600712</v>
      </c>
      <c r="B3134" t="s">
        <v>6111</v>
      </c>
      <c r="C3134">
        <v>2.03</v>
      </c>
      <c r="D3134">
        <v>3.52</v>
      </c>
      <c r="E3134">
        <v>0.07</v>
      </c>
      <c r="F3134">
        <v>3.51</v>
      </c>
      <c r="G3134">
        <v>3.52</v>
      </c>
      <c r="H3134">
        <v>32218</v>
      </c>
      <c r="I3134">
        <v>563</v>
      </c>
      <c r="J3134">
        <v>0.28</v>
      </c>
      <c r="K3134">
        <v>0.6</v>
      </c>
      <c r="L3134">
        <v>1123.27</v>
      </c>
      <c r="M3134" t="s">
        <v>6112</v>
      </c>
      <c r="N3134" t="s">
        <v>258</v>
      </c>
      <c r="O3134">
        <v>3.47</v>
      </c>
      <c r="P3134">
        <v>3.53</v>
      </c>
      <c r="Q3134">
        <v>3.44</v>
      </c>
      <c r="R3134">
        <v>3.45</v>
      </c>
      <c r="S3134" t="s">
        <v>40</v>
      </c>
      <c r="T3134">
        <v>1.12</v>
      </c>
      <c r="U3134" t="s">
        <v>342</v>
      </c>
    </row>
    <row r="3135" spans="1:21">
      <c r="A3135" t="str">
        <f>"600713"</f>
        <v>600713</v>
      </c>
      <c r="B3135" t="s">
        <v>6113</v>
      </c>
      <c r="C3135">
        <v>0.23</v>
      </c>
      <c r="D3135">
        <v>4.39</v>
      </c>
      <c r="E3135">
        <v>0.01</v>
      </c>
      <c r="F3135">
        <v>4.38</v>
      </c>
      <c r="G3135">
        <v>4.39</v>
      </c>
      <c r="H3135">
        <v>43608</v>
      </c>
      <c r="I3135">
        <v>503</v>
      </c>
      <c r="J3135">
        <v>0.23</v>
      </c>
      <c r="K3135">
        <v>0.42</v>
      </c>
      <c r="L3135">
        <v>1909.02</v>
      </c>
      <c r="M3135" t="s">
        <v>6114</v>
      </c>
      <c r="N3135" t="s">
        <v>86</v>
      </c>
      <c r="O3135">
        <v>4.38</v>
      </c>
      <c r="P3135">
        <v>4.42</v>
      </c>
      <c r="Q3135">
        <v>4.34</v>
      </c>
      <c r="R3135">
        <v>4.38</v>
      </c>
      <c r="S3135">
        <v>9.9</v>
      </c>
      <c r="T3135">
        <v>1.03</v>
      </c>
      <c r="U3135" t="s">
        <v>102</v>
      </c>
    </row>
    <row r="3136" spans="1:21">
      <c r="A3136" t="str">
        <f>"600714"</f>
        <v>600714</v>
      </c>
      <c r="B3136" t="s">
        <v>6115</v>
      </c>
      <c r="C3136">
        <v>2.62</v>
      </c>
      <c r="D3136">
        <v>9.81</v>
      </c>
      <c r="E3136">
        <v>0.25</v>
      </c>
      <c r="F3136">
        <v>9.81</v>
      </c>
      <c r="G3136">
        <v>9.82</v>
      </c>
      <c r="H3136">
        <v>54261</v>
      </c>
      <c r="I3136">
        <v>1566</v>
      </c>
      <c r="J3136">
        <v>-0.5</v>
      </c>
      <c r="K3136">
        <v>1.88</v>
      </c>
      <c r="L3136">
        <v>5264.88</v>
      </c>
      <c r="M3136" t="s">
        <v>4727</v>
      </c>
      <c r="N3136" t="s">
        <v>309</v>
      </c>
      <c r="O3136">
        <v>9.59</v>
      </c>
      <c r="P3136">
        <v>9.88</v>
      </c>
      <c r="Q3136">
        <v>9.41</v>
      </c>
      <c r="R3136">
        <v>9.56</v>
      </c>
      <c r="S3136">
        <v>41.37</v>
      </c>
      <c r="T3136">
        <v>1.35</v>
      </c>
      <c r="U3136" t="s">
        <v>242</v>
      </c>
    </row>
    <row r="3137" spans="1:21">
      <c r="A3137" t="str">
        <f>"600715"</f>
        <v>600715</v>
      </c>
      <c r="B3137" t="s">
        <v>6116</v>
      </c>
      <c r="C3137">
        <v>2.11</v>
      </c>
      <c r="D3137">
        <v>2.91</v>
      </c>
      <c r="E3137">
        <v>0.06</v>
      </c>
      <c r="F3137">
        <v>2.91</v>
      </c>
      <c r="G3137">
        <v>2.92</v>
      </c>
      <c r="H3137">
        <v>240348</v>
      </c>
      <c r="I3137">
        <v>3346</v>
      </c>
      <c r="J3137">
        <v>0.34</v>
      </c>
      <c r="K3137">
        <v>1.3</v>
      </c>
      <c r="L3137">
        <v>6943.65</v>
      </c>
      <c r="M3137" t="s">
        <v>349</v>
      </c>
      <c r="N3137" t="s">
        <v>199</v>
      </c>
      <c r="O3137">
        <v>2.88</v>
      </c>
      <c r="P3137">
        <v>2.94</v>
      </c>
      <c r="Q3137">
        <v>2.83</v>
      </c>
      <c r="R3137">
        <v>2.85</v>
      </c>
      <c r="S3137" t="s">
        <v>40</v>
      </c>
      <c r="T3137">
        <v>1.44</v>
      </c>
      <c r="U3137" t="s">
        <v>141</v>
      </c>
    </row>
    <row r="3138" spans="1:21">
      <c r="A3138" t="str">
        <f>"600716"</f>
        <v>600716</v>
      </c>
      <c r="B3138" t="s">
        <v>6117</v>
      </c>
      <c r="C3138">
        <v>0.77</v>
      </c>
      <c r="D3138">
        <v>3.95</v>
      </c>
      <c r="E3138">
        <v>0.03</v>
      </c>
      <c r="F3138">
        <v>3.94</v>
      </c>
      <c r="G3138">
        <v>3.95</v>
      </c>
      <c r="H3138">
        <v>13200</v>
      </c>
      <c r="I3138">
        <v>428</v>
      </c>
      <c r="J3138">
        <v>0</v>
      </c>
      <c r="K3138">
        <v>0.14</v>
      </c>
      <c r="L3138">
        <v>518.17</v>
      </c>
      <c r="M3138" t="s">
        <v>6118</v>
      </c>
      <c r="N3138" t="s">
        <v>36</v>
      </c>
      <c r="O3138">
        <v>3.92</v>
      </c>
      <c r="P3138">
        <v>3.95</v>
      </c>
      <c r="Q3138">
        <v>3.9</v>
      </c>
      <c r="R3138">
        <v>3.92</v>
      </c>
      <c r="S3138">
        <v>32.05</v>
      </c>
      <c r="T3138">
        <v>1</v>
      </c>
      <c r="U3138" t="s">
        <v>102</v>
      </c>
    </row>
    <row r="3139" spans="1:21">
      <c r="A3139" t="str">
        <f>"600717"</f>
        <v>600717</v>
      </c>
      <c r="B3139" t="s">
        <v>6119</v>
      </c>
      <c r="C3139">
        <v>1.03</v>
      </c>
      <c r="D3139">
        <v>3.92</v>
      </c>
      <c r="E3139">
        <v>0.04</v>
      </c>
      <c r="F3139">
        <v>3.91</v>
      </c>
      <c r="G3139">
        <v>3.92</v>
      </c>
      <c r="H3139">
        <v>78167</v>
      </c>
      <c r="I3139">
        <v>1190</v>
      </c>
      <c r="J3139">
        <v>0</v>
      </c>
      <c r="K3139">
        <v>0.27</v>
      </c>
      <c r="L3139">
        <v>3046.84</v>
      </c>
      <c r="M3139" t="s">
        <v>6120</v>
      </c>
      <c r="N3139" t="s">
        <v>169</v>
      </c>
      <c r="O3139">
        <v>3.89</v>
      </c>
      <c r="P3139">
        <v>3.93</v>
      </c>
      <c r="Q3139">
        <v>3.86</v>
      </c>
      <c r="R3139">
        <v>3.88</v>
      </c>
      <c r="S3139">
        <v>12.71</v>
      </c>
      <c r="T3139">
        <v>1.15</v>
      </c>
      <c r="U3139" t="s">
        <v>360</v>
      </c>
    </row>
    <row r="3140" spans="1:21">
      <c r="A3140" t="str">
        <f>"600718"</f>
        <v>600718</v>
      </c>
      <c r="B3140" t="s">
        <v>6121</v>
      </c>
      <c r="C3140">
        <v>1.26</v>
      </c>
      <c r="D3140">
        <v>10.45</v>
      </c>
      <c r="E3140">
        <v>0.13</v>
      </c>
      <c r="F3140">
        <v>10.43</v>
      </c>
      <c r="G3140">
        <v>10.45</v>
      </c>
      <c r="H3140">
        <v>93632</v>
      </c>
      <c r="I3140">
        <v>1556</v>
      </c>
      <c r="J3140">
        <v>0.1</v>
      </c>
      <c r="K3140">
        <v>0.78</v>
      </c>
      <c r="L3140">
        <v>9730.74</v>
      </c>
      <c r="M3140" t="s">
        <v>6122</v>
      </c>
      <c r="N3140" t="s">
        <v>30</v>
      </c>
      <c r="O3140">
        <v>10.33</v>
      </c>
      <c r="P3140">
        <v>10.47</v>
      </c>
      <c r="Q3140">
        <v>10.24</v>
      </c>
      <c r="R3140">
        <v>10.32</v>
      </c>
      <c r="S3140">
        <v>105.45</v>
      </c>
      <c r="T3140">
        <v>0.52</v>
      </c>
      <c r="U3140" t="s">
        <v>141</v>
      </c>
    </row>
    <row r="3141" spans="1:21">
      <c r="A3141" t="str">
        <f>"600719"</f>
        <v>600719</v>
      </c>
      <c r="B3141" t="s">
        <v>6123</v>
      </c>
      <c r="C3141">
        <v>0.5</v>
      </c>
      <c r="D3141">
        <v>4.05</v>
      </c>
      <c r="E3141">
        <v>0.02</v>
      </c>
      <c r="F3141">
        <v>4.04</v>
      </c>
      <c r="G3141">
        <v>4.05</v>
      </c>
      <c r="H3141">
        <v>64617</v>
      </c>
      <c r="I3141">
        <v>412</v>
      </c>
      <c r="J3141">
        <v>0</v>
      </c>
      <c r="K3141">
        <v>1.6</v>
      </c>
      <c r="L3141">
        <v>2571.74</v>
      </c>
      <c r="M3141" t="s">
        <v>3090</v>
      </c>
      <c r="N3141" t="s">
        <v>238</v>
      </c>
      <c r="O3141">
        <v>4.01</v>
      </c>
      <c r="P3141">
        <v>4.06</v>
      </c>
      <c r="Q3141">
        <v>3.91</v>
      </c>
      <c r="R3141">
        <v>4.03</v>
      </c>
      <c r="S3141" t="s">
        <v>40</v>
      </c>
      <c r="T3141">
        <v>0.82</v>
      </c>
      <c r="U3141" t="s">
        <v>141</v>
      </c>
    </row>
    <row r="3142" spans="1:21">
      <c r="A3142" t="str">
        <f>"600720"</f>
        <v>600720</v>
      </c>
      <c r="B3142" t="s">
        <v>6124</v>
      </c>
      <c r="C3142">
        <v>0.71</v>
      </c>
      <c r="D3142">
        <v>9.89</v>
      </c>
      <c r="E3142">
        <v>0.07</v>
      </c>
      <c r="F3142">
        <v>9.88</v>
      </c>
      <c r="G3142">
        <v>9.89</v>
      </c>
      <c r="H3142">
        <v>51869</v>
      </c>
      <c r="I3142">
        <v>940</v>
      </c>
      <c r="J3142">
        <v>0</v>
      </c>
      <c r="K3142">
        <v>0.67</v>
      </c>
      <c r="L3142">
        <v>5089.95</v>
      </c>
      <c r="M3142" t="s">
        <v>6125</v>
      </c>
      <c r="N3142" t="s">
        <v>75</v>
      </c>
      <c r="O3142">
        <v>9.8</v>
      </c>
      <c r="P3142">
        <v>9.89</v>
      </c>
      <c r="Q3142">
        <v>9.75</v>
      </c>
      <c r="R3142">
        <v>9.82</v>
      </c>
      <c r="S3142">
        <v>6.04</v>
      </c>
      <c r="T3142">
        <v>0.89</v>
      </c>
      <c r="U3142" t="s">
        <v>391</v>
      </c>
    </row>
    <row r="3143" spans="1:21">
      <c r="A3143" t="str">
        <f>"600721"</f>
        <v>600721</v>
      </c>
      <c r="B3143" t="s">
        <v>6126</v>
      </c>
      <c r="C3143">
        <v>3.83</v>
      </c>
      <c r="D3143">
        <v>8.95</v>
      </c>
      <c r="E3143">
        <v>0.33</v>
      </c>
      <c r="F3143">
        <v>8.95</v>
      </c>
      <c r="G3143">
        <v>8.96</v>
      </c>
      <c r="H3143">
        <v>113291</v>
      </c>
      <c r="I3143">
        <v>1416</v>
      </c>
      <c r="J3143">
        <v>0.11</v>
      </c>
      <c r="K3143">
        <v>3.02</v>
      </c>
      <c r="L3143">
        <v>9985.44</v>
      </c>
      <c r="M3143" t="s">
        <v>4763</v>
      </c>
      <c r="N3143" t="s">
        <v>231</v>
      </c>
      <c r="O3143">
        <v>8.81</v>
      </c>
      <c r="P3143">
        <v>9.04</v>
      </c>
      <c r="Q3143">
        <v>8.55</v>
      </c>
      <c r="R3143">
        <v>8.62</v>
      </c>
      <c r="S3143">
        <v>45.87</v>
      </c>
      <c r="T3143">
        <v>1.31</v>
      </c>
      <c r="U3143" t="s">
        <v>210</v>
      </c>
    </row>
    <row r="3144" spans="1:21">
      <c r="A3144" t="str">
        <f>"600722"</f>
        <v>600722</v>
      </c>
      <c r="B3144" t="s">
        <v>6127</v>
      </c>
      <c r="C3144">
        <v>0</v>
      </c>
      <c r="D3144">
        <v>5.91</v>
      </c>
      <c r="E3144">
        <v>0</v>
      </c>
      <c r="F3144">
        <v>5.91</v>
      </c>
      <c r="G3144">
        <v>5.92</v>
      </c>
      <c r="H3144">
        <v>178513</v>
      </c>
      <c r="I3144">
        <v>1999</v>
      </c>
      <c r="J3144">
        <v>-0.16</v>
      </c>
      <c r="K3144">
        <v>2.62</v>
      </c>
      <c r="L3144">
        <v>10505.32</v>
      </c>
      <c r="M3144" t="s">
        <v>6128</v>
      </c>
      <c r="N3144" t="s">
        <v>309</v>
      </c>
      <c r="O3144">
        <v>5.88</v>
      </c>
      <c r="P3144">
        <v>5.95</v>
      </c>
      <c r="Q3144">
        <v>5.77</v>
      </c>
      <c r="R3144">
        <v>5.91</v>
      </c>
      <c r="S3144">
        <v>100.87</v>
      </c>
      <c r="T3144">
        <v>1.45</v>
      </c>
      <c r="U3144" t="s">
        <v>207</v>
      </c>
    </row>
    <row r="3145" spans="1:21">
      <c r="A3145" t="str">
        <f>"600724"</f>
        <v>600724</v>
      </c>
      <c r="B3145" t="s">
        <v>6129</v>
      </c>
      <c r="C3145">
        <v>-0.57</v>
      </c>
      <c r="D3145">
        <v>3.48</v>
      </c>
      <c r="E3145">
        <v>-0.02</v>
      </c>
      <c r="F3145">
        <v>3.47</v>
      </c>
      <c r="G3145">
        <v>3.48</v>
      </c>
      <c r="H3145">
        <v>20160</v>
      </c>
      <c r="I3145">
        <v>316</v>
      </c>
      <c r="J3145">
        <v>0</v>
      </c>
      <c r="K3145">
        <v>0.14</v>
      </c>
      <c r="L3145">
        <v>698.57</v>
      </c>
      <c r="M3145" t="s">
        <v>6130</v>
      </c>
      <c r="N3145" t="s">
        <v>75</v>
      </c>
      <c r="O3145">
        <v>3.48</v>
      </c>
      <c r="P3145">
        <v>3.49</v>
      </c>
      <c r="Q3145">
        <v>3.44</v>
      </c>
      <c r="R3145">
        <v>3.5</v>
      </c>
      <c r="S3145">
        <v>16.36</v>
      </c>
      <c r="T3145">
        <v>0.93</v>
      </c>
      <c r="U3145" t="s">
        <v>200</v>
      </c>
    </row>
    <row r="3146" spans="1:21">
      <c r="A3146" t="str">
        <f>"600725"</f>
        <v>600725</v>
      </c>
      <c r="B3146" t="s">
        <v>6131</v>
      </c>
      <c r="C3146">
        <v>0.57</v>
      </c>
      <c r="D3146">
        <v>3.54</v>
      </c>
      <c r="E3146">
        <v>0.02</v>
      </c>
      <c r="F3146">
        <v>3.53</v>
      </c>
      <c r="G3146">
        <v>3.54</v>
      </c>
      <c r="H3146">
        <v>75824</v>
      </c>
      <c r="I3146">
        <v>945</v>
      </c>
      <c r="J3146">
        <v>0</v>
      </c>
      <c r="K3146">
        <v>0.62</v>
      </c>
      <c r="L3146">
        <v>2652.7</v>
      </c>
      <c r="M3146" t="s">
        <v>6132</v>
      </c>
      <c r="N3146" t="s">
        <v>659</v>
      </c>
      <c r="O3146">
        <v>3.52</v>
      </c>
      <c r="P3146">
        <v>3.56</v>
      </c>
      <c r="Q3146">
        <v>3.44</v>
      </c>
      <c r="R3146">
        <v>3.52</v>
      </c>
      <c r="S3146">
        <v>225.21</v>
      </c>
      <c r="T3146">
        <v>0.94</v>
      </c>
      <c r="U3146" t="s">
        <v>363</v>
      </c>
    </row>
    <row r="3147" spans="1:21">
      <c r="A3147" t="str">
        <f>"600726"</f>
        <v>600726</v>
      </c>
      <c r="B3147" t="s">
        <v>6133</v>
      </c>
      <c r="C3147">
        <v>1.82</v>
      </c>
      <c r="D3147">
        <v>2.8</v>
      </c>
      <c r="E3147">
        <v>0.05</v>
      </c>
      <c r="F3147">
        <v>2.79</v>
      </c>
      <c r="G3147">
        <v>2.8</v>
      </c>
      <c r="H3147">
        <v>195294</v>
      </c>
      <c r="I3147">
        <v>7031</v>
      </c>
      <c r="J3147">
        <v>0.72</v>
      </c>
      <c r="K3147">
        <v>1.27</v>
      </c>
      <c r="L3147">
        <v>5363.25</v>
      </c>
      <c r="M3147" t="s">
        <v>6134</v>
      </c>
      <c r="N3147" t="s">
        <v>83</v>
      </c>
      <c r="O3147">
        <v>2.74</v>
      </c>
      <c r="P3147">
        <v>2.8</v>
      </c>
      <c r="Q3147">
        <v>2.68</v>
      </c>
      <c r="R3147">
        <v>2.75</v>
      </c>
      <c r="S3147" t="s">
        <v>40</v>
      </c>
      <c r="T3147">
        <v>0.78</v>
      </c>
      <c r="U3147" t="s">
        <v>445</v>
      </c>
    </row>
    <row r="3148" spans="1:21">
      <c r="A3148" t="str">
        <f>"600727"</f>
        <v>600727</v>
      </c>
      <c r="B3148" t="s">
        <v>6135</v>
      </c>
      <c r="C3148">
        <v>3.2</v>
      </c>
      <c r="D3148">
        <v>9.68</v>
      </c>
      <c r="E3148">
        <v>0.3</v>
      </c>
      <c r="F3148">
        <v>9.68</v>
      </c>
      <c r="G3148">
        <v>9.69</v>
      </c>
      <c r="H3148">
        <v>286915</v>
      </c>
      <c r="I3148">
        <v>3465</v>
      </c>
      <c r="J3148">
        <v>0.1</v>
      </c>
      <c r="K3148">
        <v>6.53</v>
      </c>
      <c r="L3148">
        <v>27247.41</v>
      </c>
      <c r="M3148" t="s">
        <v>6136</v>
      </c>
      <c r="N3148" t="s">
        <v>309</v>
      </c>
      <c r="O3148">
        <v>9.38</v>
      </c>
      <c r="P3148">
        <v>9.74</v>
      </c>
      <c r="Q3148">
        <v>9.13</v>
      </c>
      <c r="R3148">
        <v>9.38</v>
      </c>
      <c r="S3148">
        <v>9.5</v>
      </c>
      <c r="T3148">
        <v>1.65</v>
      </c>
      <c r="U3148" t="s">
        <v>221</v>
      </c>
    </row>
    <row r="3149" spans="1:21">
      <c r="A3149" t="str">
        <f>"600728"</f>
        <v>600728</v>
      </c>
      <c r="B3149" t="s">
        <v>6137</v>
      </c>
      <c r="C3149">
        <v>2.15</v>
      </c>
      <c r="D3149">
        <v>8.07</v>
      </c>
      <c r="E3149">
        <v>0.17</v>
      </c>
      <c r="F3149">
        <v>8.07</v>
      </c>
      <c r="G3149">
        <v>8.08</v>
      </c>
      <c r="H3149">
        <v>189923</v>
      </c>
      <c r="I3149">
        <v>2526</v>
      </c>
      <c r="J3149">
        <v>-0.24</v>
      </c>
      <c r="K3149">
        <v>1.1</v>
      </c>
      <c r="L3149">
        <v>15275.16</v>
      </c>
      <c r="M3149" t="s">
        <v>6138</v>
      </c>
      <c r="N3149" t="s">
        <v>30</v>
      </c>
      <c r="O3149">
        <v>7.89</v>
      </c>
      <c r="P3149">
        <v>8.21</v>
      </c>
      <c r="Q3149">
        <v>7.88</v>
      </c>
      <c r="R3149">
        <v>7.9</v>
      </c>
      <c r="S3149">
        <v>50.07</v>
      </c>
      <c r="T3149">
        <v>1.3</v>
      </c>
      <c r="U3149" t="s">
        <v>183</v>
      </c>
    </row>
    <row r="3150" spans="1:21">
      <c r="A3150" t="str">
        <f>"600729"</f>
        <v>600729</v>
      </c>
      <c r="B3150" t="s">
        <v>6139</v>
      </c>
      <c r="C3150">
        <v>2.18</v>
      </c>
      <c r="D3150">
        <v>22.92</v>
      </c>
      <c r="E3150">
        <v>0.49</v>
      </c>
      <c r="F3150">
        <v>22.91</v>
      </c>
      <c r="G3150">
        <v>22.92</v>
      </c>
      <c r="H3150">
        <v>16493</v>
      </c>
      <c r="I3150">
        <v>221</v>
      </c>
      <c r="J3150">
        <v>-0.08</v>
      </c>
      <c r="K3150">
        <v>0.41</v>
      </c>
      <c r="L3150">
        <v>3749.2</v>
      </c>
      <c r="M3150" t="s">
        <v>5859</v>
      </c>
      <c r="N3150" t="s">
        <v>258</v>
      </c>
      <c r="O3150">
        <v>22.46</v>
      </c>
      <c r="P3150">
        <v>22.98</v>
      </c>
      <c r="Q3150">
        <v>22.4</v>
      </c>
      <c r="R3150">
        <v>22.43</v>
      </c>
      <c r="S3150">
        <v>8.3</v>
      </c>
      <c r="T3150">
        <v>1.03</v>
      </c>
      <c r="U3150" t="s">
        <v>314</v>
      </c>
    </row>
    <row r="3151" spans="1:21">
      <c r="A3151" t="str">
        <f>"600730"</f>
        <v>600730</v>
      </c>
      <c r="B3151" t="s">
        <v>6140</v>
      </c>
      <c r="C3151">
        <v>1.23</v>
      </c>
      <c r="D3151">
        <v>5.76</v>
      </c>
      <c r="E3151">
        <v>0.07</v>
      </c>
      <c r="F3151">
        <v>5.76</v>
      </c>
      <c r="G3151">
        <v>5.77</v>
      </c>
      <c r="H3151">
        <v>68218</v>
      </c>
      <c r="I3151">
        <v>904</v>
      </c>
      <c r="J3151">
        <v>0.17</v>
      </c>
      <c r="K3151">
        <v>1.16</v>
      </c>
      <c r="L3151">
        <v>3893.21</v>
      </c>
      <c r="M3151" t="s">
        <v>6141</v>
      </c>
      <c r="N3151" t="s">
        <v>99</v>
      </c>
      <c r="O3151">
        <v>5.68</v>
      </c>
      <c r="P3151">
        <v>5.78</v>
      </c>
      <c r="Q3151">
        <v>5.61</v>
      </c>
      <c r="R3151">
        <v>5.69</v>
      </c>
      <c r="S3151">
        <v>247.01</v>
      </c>
      <c r="T3151">
        <v>0.78</v>
      </c>
      <c r="U3151" t="s">
        <v>44</v>
      </c>
    </row>
    <row r="3152" spans="1:21">
      <c r="A3152" t="str">
        <f>"600731"</f>
        <v>600731</v>
      </c>
      <c r="B3152" t="s">
        <v>6142</v>
      </c>
      <c r="C3152">
        <v>0.89</v>
      </c>
      <c r="D3152">
        <v>9.04</v>
      </c>
      <c r="E3152">
        <v>0.08</v>
      </c>
      <c r="F3152">
        <v>9.03</v>
      </c>
      <c r="G3152">
        <v>9.04</v>
      </c>
      <c r="H3152">
        <v>165705</v>
      </c>
      <c r="I3152">
        <v>1196</v>
      </c>
      <c r="J3152">
        <v>-0.1</v>
      </c>
      <c r="K3152">
        <v>3.59</v>
      </c>
      <c r="L3152">
        <v>14738.56</v>
      </c>
      <c r="M3152" t="s">
        <v>6143</v>
      </c>
      <c r="N3152" t="s">
        <v>241</v>
      </c>
      <c r="O3152">
        <v>8.86</v>
      </c>
      <c r="P3152">
        <v>9.15</v>
      </c>
      <c r="Q3152">
        <v>8.69</v>
      </c>
      <c r="R3152">
        <v>8.96</v>
      </c>
      <c r="S3152">
        <v>15.4</v>
      </c>
      <c r="T3152">
        <v>0.62</v>
      </c>
      <c r="U3152" t="s">
        <v>204</v>
      </c>
    </row>
    <row r="3153" spans="1:21">
      <c r="A3153" t="str">
        <f>"600732"</f>
        <v>600732</v>
      </c>
      <c r="B3153" t="s">
        <v>6144</v>
      </c>
      <c r="C3153">
        <v>6.4</v>
      </c>
      <c r="D3153">
        <v>23.95</v>
      </c>
      <c r="E3153">
        <v>1.44</v>
      </c>
      <c r="F3153">
        <v>23.93</v>
      </c>
      <c r="G3153">
        <v>23.95</v>
      </c>
      <c r="H3153">
        <v>403167</v>
      </c>
      <c r="I3153">
        <v>3991</v>
      </c>
      <c r="J3153">
        <v>0</v>
      </c>
      <c r="K3153">
        <v>6.18</v>
      </c>
      <c r="L3153">
        <v>93739.9</v>
      </c>
      <c r="M3153" t="s">
        <v>6145</v>
      </c>
      <c r="N3153" t="s">
        <v>47</v>
      </c>
      <c r="O3153">
        <v>22.51</v>
      </c>
      <c r="P3153">
        <v>24.44</v>
      </c>
      <c r="Q3153">
        <v>22.47</v>
      </c>
      <c r="R3153">
        <v>22.51</v>
      </c>
      <c r="S3153" t="s">
        <v>40</v>
      </c>
      <c r="T3153">
        <v>1.04</v>
      </c>
      <c r="U3153" t="s">
        <v>848</v>
      </c>
    </row>
    <row r="3154" spans="1:21">
      <c r="A3154" t="str">
        <f>"600733"</f>
        <v>600733</v>
      </c>
      <c r="B3154" t="s">
        <v>6146</v>
      </c>
      <c r="C3154">
        <v>-2.52</v>
      </c>
      <c r="D3154">
        <v>11.97</v>
      </c>
      <c r="E3154">
        <v>-0.31</v>
      </c>
      <c r="F3154">
        <v>11.97</v>
      </c>
      <c r="G3154">
        <v>11.98</v>
      </c>
      <c r="H3154">
        <v>899450</v>
      </c>
      <c r="I3154">
        <v>8512</v>
      </c>
      <c r="J3154">
        <v>0</v>
      </c>
      <c r="K3154">
        <v>3.33</v>
      </c>
      <c r="L3154">
        <v>107686.52</v>
      </c>
      <c r="M3154" t="s">
        <v>6147</v>
      </c>
      <c r="N3154" t="s">
        <v>385</v>
      </c>
      <c r="O3154">
        <v>12.3</v>
      </c>
      <c r="P3154">
        <v>12.34</v>
      </c>
      <c r="Q3154">
        <v>11.73</v>
      </c>
      <c r="R3154">
        <v>12.28</v>
      </c>
      <c r="S3154" t="s">
        <v>40</v>
      </c>
      <c r="T3154">
        <v>1.53</v>
      </c>
      <c r="U3154" t="s">
        <v>44</v>
      </c>
    </row>
    <row r="3155" spans="1:21">
      <c r="A3155" t="str">
        <f>"600734"</f>
        <v>600734</v>
      </c>
      <c r="B3155" t="s">
        <v>6148</v>
      </c>
      <c r="C3155">
        <v>0.37</v>
      </c>
      <c r="D3155">
        <v>2.74</v>
      </c>
      <c r="E3155">
        <v>0.01</v>
      </c>
      <c r="F3155">
        <v>2.73</v>
      </c>
      <c r="G3155">
        <v>2.74</v>
      </c>
      <c r="H3155">
        <v>81455</v>
      </c>
      <c r="I3155">
        <v>712</v>
      </c>
      <c r="J3155">
        <v>0</v>
      </c>
      <c r="K3155">
        <v>1.52</v>
      </c>
      <c r="L3155">
        <v>2196.43</v>
      </c>
      <c r="M3155" t="s">
        <v>6149</v>
      </c>
      <c r="N3155" t="s">
        <v>72</v>
      </c>
      <c r="O3155">
        <v>2.73</v>
      </c>
      <c r="P3155">
        <v>2.75</v>
      </c>
      <c r="Q3155">
        <v>2.64</v>
      </c>
      <c r="R3155">
        <v>2.73</v>
      </c>
      <c r="S3155" t="s">
        <v>40</v>
      </c>
      <c r="T3155">
        <v>0.74</v>
      </c>
      <c r="U3155" t="s">
        <v>339</v>
      </c>
    </row>
    <row r="3156" spans="1:21">
      <c r="A3156" t="str">
        <f>"600735"</f>
        <v>600735</v>
      </c>
      <c r="B3156" t="s">
        <v>6150</v>
      </c>
      <c r="C3156">
        <v>0.15</v>
      </c>
      <c r="D3156">
        <v>6.84</v>
      </c>
      <c r="E3156">
        <v>0.01</v>
      </c>
      <c r="F3156">
        <v>6.84</v>
      </c>
      <c r="G3156">
        <v>6.85</v>
      </c>
      <c r="H3156">
        <v>88162</v>
      </c>
      <c r="I3156">
        <v>1599</v>
      </c>
      <c r="J3156">
        <v>0</v>
      </c>
      <c r="K3156">
        <v>2.34</v>
      </c>
      <c r="L3156">
        <v>6024.3</v>
      </c>
      <c r="M3156" t="s">
        <v>6151</v>
      </c>
      <c r="N3156" t="s">
        <v>189</v>
      </c>
      <c r="O3156">
        <v>6.88</v>
      </c>
      <c r="P3156">
        <v>6.91</v>
      </c>
      <c r="Q3156">
        <v>6.75</v>
      </c>
      <c r="R3156">
        <v>6.83</v>
      </c>
      <c r="S3156">
        <v>39.42</v>
      </c>
      <c r="T3156">
        <v>0.46</v>
      </c>
      <c r="U3156" t="s">
        <v>221</v>
      </c>
    </row>
    <row r="3157" spans="1:21">
      <c r="A3157" t="str">
        <f>"600736"</f>
        <v>600736</v>
      </c>
      <c r="B3157" t="s">
        <v>6152</v>
      </c>
      <c r="C3157">
        <v>1.39</v>
      </c>
      <c r="D3157">
        <v>4.39</v>
      </c>
      <c r="E3157">
        <v>0.06</v>
      </c>
      <c r="F3157">
        <v>4.38</v>
      </c>
      <c r="G3157">
        <v>4.39</v>
      </c>
      <c r="H3157">
        <v>57226</v>
      </c>
      <c r="I3157">
        <v>994</v>
      </c>
      <c r="J3157">
        <v>0</v>
      </c>
      <c r="K3157">
        <v>0.5</v>
      </c>
      <c r="L3157">
        <v>2486.99</v>
      </c>
      <c r="M3157" t="s">
        <v>6153</v>
      </c>
      <c r="N3157" t="s">
        <v>520</v>
      </c>
      <c r="O3157">
        <v>4.32</v>
      </c>
      <c r="P3157">
        <v>4.4</v>
      </c>
      <c r="Q3157">
        <v>4.3</v>
      </c>
      <c r="R3157">
        <v>4.33</v>
      </c>
      <c r="S3157">
        <v>12.58</v>
      </c>
      <c r="T3157">
        <v>1.17</v>
      </c>
      <c r="U3157" t="s">
        <v>102</v>
      </c>
    </row>
    <row r="3158" spans="1:21">
      <c r="A3158" t="str">
        <f>"600737"</f>
        <v>600737</v>
      </c>
      <c r="B3158" t="s">
        <v>6154</v>
      </c>
      <c r="C3158">
        <v>-6.29</v>
      </c>
      <c r="D3158">
        <v>9.83</v>
      </c>
      <c r="E3158">
        <v>-0.66</v>
      </c>
      <c r="F3158">
        <v>9.83</v>
      </c>
      <c r="G3158">
        <v>9.84</v>
      </c>
      <c r="H3158">
        <v>1098962</v>
      </c>
      <c r="I3158">
        <v>7792</v>
      </c>
      <c r="J3158">
        <v>0</v>
      </c>
      <c r="K3158">
        <v>5.21</v>
      </c>
      <c r="L3158">
        <v>107821.99</v>
      </c>
      <c r="M3158" t="s">
        <v>6155</v>
      </c>
      <c r="N3158" t="s">
        <v>299</v>
      </c>
      <c r="O3158">
        <v>10</v>
      </c>
      <c r="P3158">
        <v>10.05</v>
      </c>
      <c r="Q3158">
        <v>9.59</v>
      </c>
      <c r="R3158">
        <v>10.49</v>
      </c>
      <c r="S3158">
        <v>20.99</v>
      </c>
      <c r="T3158">
        <v>1.81</v>
      </c>
      <c r="U3158" t="s">
        <v>210</v>
      </c>
    </row>
    <row r="3159" spans="1:21">
      <c r="A3159" t="str">
        <f>"600738"</f>
        <v>600738</v>
      </c>
      <c r="B3159" t="s">
        <v>6156</v>
      </c>
      <c r="C3159">
        <v>0.16</v>
      </c>
      <c r="D3159">
        <v>6.32</v>
      </c>
      <c r="E3159">
        <v>0.01</v>
      </c>
      <c r="F3159">
        <v>6.31</v>
      </c>
      <c r="G3159">
        <v>6.32</v>
      </c>
      <c r="H3159">
        <v>81899</v>
      </c>
      <c r="I3159">
        <v>1541</v>
      </c>
      <c r="J3159">
        <v>-0.15</v>
      </c>
      <c r="K3159">
        <v>1.06</v>
      </c>
      <c r="L3159">
        <v>5167.74</v>
      </c>
      <c r="M3159" t="s">
        <v>3172</v>
      </c>
      <c r="N3159" t="s">
        <v>258</v>
      </c>
      <c r="O3159">
        <v>6.3</v>
      </c>
      <c r="P3159">
        <v>6.37</v>
      </c>
      <c r="Q3159">
        <v>6.2</v>
      </c>
      <c r="R3159">
        <v>6.31</v>
      </c>
      <c r="S3159">
        <v>27.78</v>
      </c>
      <c r="T3159">
        <v>0.79</v>
      </c>
      <c r="U3159" t="s">
        <v>391</v>
      </c>
    </row>
    <row r="3160" spans="1:21">
      <c r="A3160" t="str">
        <f>"600739"</f>
        <v>600739</v>
      </c>
      <c r="B3160" t="s">
        <v>6157</v>
      </c>
      <c r="C3160">
        <v>1.86</v>
      </c>
      <c r="D3160">
        <v>19.13</v>
      </c>
      <c r="E3160">
        <v>0.35</v>
      </c>
      <c r="F3160">
        <v>19.12</v>
      </c>
      <c r="G3160">
        <v>19.13</v>
      </c>
      <c r="H3160">
        <v>179097</v>
      </c>
      <c r="I3160">
        <v>3905</v>
      </c>
      <c r="J3160">
        <v>-0.15</v>
      </c>
      <c r="K3160">
        <v>1.17</v>
      </c>
      <c r="L3160">
        <v>33575.58</v>
      </c>
      <c r="M3160" t="s">
        <v>6158</v>
      </c>
      <c r="N3160" t="s">
        <v>189</v>
      </c>
      <c r="O3160">
        <v>18.76</v>
      </c>
      <c r="P3160">
        <v>19.19</v>
      </c>
      <c r="Q3160">
        <v>18.35</v>
      </c>
      <c r="R3160">
        <v>18.78</v>
      </c>
      <c r="S3160">
        <v>11.72</v>
      </c>
      <c r="T3160">
        <v>1.77</v>
      </c>
      <c r="U3160" t="s">
        <v>141</v>
      </c>
    </row>
    <row r="3161" spans="1:21">
      <c r="A3161" t="str">
        <f>"600740"</f>
        <v>600740</v>
      </c>
      <c r="B3161" t="s">
        <v>6159</v>
      </c>
      <c r="C3161">
        <v>2.23</v>
      </c>
      <c r="D3161">
        <v>6.41</v>
      </c>
      <c r="E3161">
        <v>0.14</v>
      </c>
      <c r="F3161">
        <v>6.4</v>
      </c>
      <c r="G3161">
        <v>6.41</v>
      </c>
      <c r="H3161">
        <v>841271</v>
      </c>
      <c r="I3161">
        <v>11901</v>
      </c>
      <c r="J3161">
        <v>0.16</v>
      </c>
      <c r="K3161">
        <v>3.28</v>
      </c>
      <c r="L3161">
        <v>53007.03</v>
      </c>
      <c r="M3161" t="s">
        <v>2202</v>
      </c>
      <c r="N3161" t="s">
        <v>659</v>
      </c>
      <c r="O3161">
        <v>6.22</v>
      </c>
      <c r="P3161">
        <v>6.41</v>
      </c>
      <c r="Q3161">
        <v>6.13</v>
      </c>
      <c r="R3161">
        <v>6.27</v>
      </c>
      <c r="S3161">
        <v>6.67</v>
      </c>
      <c r="T3161">
        <v>1.37</v>
      </c>
      <c r="U3161" t="s">
        <v>232</v>
      </c>
    </row>
    <row r="3162" spans="1:21">
      <c r="A3162" t="str">
        <f>"600741"</f>
        <v>600741</v>
      </c>
      <c r="B3162" t="s">
        <v>6160</v>
      </c>
      <c r="C3162">
        <v>5.63</v>
      </c>
      <c r="D3162">
        <v>26.09</v>
      </c>
      <c r="E3162">
        <v>1.39</v>
      </c>
      <c r="F3162">
        <v>26.08</v>
      </c>
      <c r="G3162">
        <v>26.09</v>
      </c>
      <c r="H3162">
        <v>223778</v>
      </c>
      <c r="I3162">
        <v>1471</v>
      </c>
      <c r="J3162">
        <v>0.04</v>
      </c>
      <c r="K3162">
        <v>0.71</v>
      </c>
      <c r="L3162">
        <v>57483.72</v>
      </c>
      <c r="M3162" t="s">
        <v>6161</v>
      </c>
      <c r="N3162" t="s">
        <v>91</v>
      </c>
      <c r="O3162">
        <v>24.8</v>
      </c>
      <c r="P3162">
        <v>26.2</v>
      </c>
      <c r="Q3162">
        <v>24.76</v>
      </c>
      <c r="R3162">
        <v>24.7</v>
      </c>
      <c r="S3162">
        <v>13.12</v>
      </c>
      <c r="T3162">
        <v>1.06</v>
      </c>
      <c r="U3162" t="s">
        <v>848</v>
      </c>
    </row>
    <row r="3163" spans="1:21">
      <c r="A3163" t="str">
        <f>"600742"</f>
        <v>600742</v>
      </c>
      <c r="B3163" t="s">
        <v>6162</v>
      </c>
      <c r="C3163">
        <v>1.16</v>
      </c>
      <c r="D3163">
        <v>13.05</v>
      </c>
      <c r="E3163">
        <v>0.15</v>
      </c>
      <c r="F3163">
        <v>13.05</v>
      </c>
      <c r="G3163">
        <v>13.06</v>
      </c>
      <c r="H3163">
        <v>540916</v>
      </c>
      <c r="I3163">
        <v>5862</v>
      </c>
      <c r="J3163">
        <v>0</v>
      </c>
      <c r="K3163">
        <v>8.08</v>
      </c>
      <c r="L3163">
        <v>70969.15</v>
      </c>
      <c r="M3163" t="s">
        <v>1058</v>
      </c>
      <c r="N3163" t="s">
        <v>91</v>
      </c>
      <c r="O3163">
        <v>13.2</v>
      </c>
      <c r="P3163">
        <v>13.46</v>
      </c>
      <c r="Q3163">
        <v>12.9</v>
      </c>
      <c r="R3163">
        <v>12.9</v>
      </c>
      <c r="S3163">
        <v>12.61</v>
      </c>
      <c r="T3163">
        <v>0.87</v>
      </c>
      <c r="U3163" t="s">
        <v>92</v>
      </c>
    </row>
    <row r="3164" spans="1:21">
      <c r="A3164" t="str">
        <f>"600743"</f>
        <v>600743</v>
      </c>
      <c r="B3164" t="s">
        <v>6163</v>
      </c>
      <c r="C3164">
        <v>1.09</v>
      </c>
      <c r="D3164">
        <v>1.86</v>
      </c>
      <c r="E3164">
        <v>0.02</v>
      </c>
      <c r="F3164">
        <v>1.85</v>
      </c>
      <c r="G3164">
        <v>1.86</v>
      </c>
      <c r="H3164">
        <v>53591</v>
      </c>
      <c r="I3164">
        <v>962</v>
      </c>
      <c r="J3164">
        <v>0</v>
      </c>
      <c r="K3164">
        <v>0.23</v>
      </c>
      <c r="L3164">
        <v>990.8</v>
      </c>
      <c r="M3164" t="s">
        <v>6164</v>
      </c>
      <c r="N3164" t="s">
        <v>36</v>
      </c>
      <c r="O3164">
        <v>1.84</v>
      </c>
      <c r="P3164">
        <v>1.87</v>
      </c>
      <c r="Q3164">
        <v>1.82</v>
      </c>
      <c r="R3164">
        <v>1.84</v>
      </c>
      <c r="S3164">
        <v>194.21</v>
      </c>
      <c r="T3164">
        <v>1.19</v>
      </c>
      <c r="U3164" t="s">
        <v>44</v>
      </c>
    </row>
    <row r="3165" spans="1:21">
      <c r="A3165" t="str">
        <f>"600744"</f>
        <v>600744</v>
      </c>
      <c r="B3165" t="s">
        <v>6165</v>
      </c>
      <c r="C3165">
        <v>0.17</v>
      </c>
      <c r="D3165">
        <v>5.93</v>
      </c>
      <c r="E3165">
        <v>0.01</v>
      </c>
      <c r="F3165">
        <v>5.92</v>
      </c>
      <c r="G3165">
        <v>5.93</v>
      </c>
      <c r="H3165">
        <v>319816</v>
      </c>
      <c r="I3165">
        <v>3942</v>
      </c>
      <c r="J3165">
        <v>0</v>
      </c>
      <c r="K3165">
        <v>3.86</v>
      </c>
      <c r="L3165">
        <v>18624.97</v>
      </c>
      <c r="M3165" t="s">
        <v>6166</v>
      </c>
      <c r="N3165" t="s">
        <v>83</v>
      </c>
      <c r="O3165">
        <v>5.88</v>
      </c>
      <c r="P3165">
        <v>5.93</v>
      </c>
      <c r="Q3165">
        <v>5.71</v>
      </c>
      <c r="R3165">
        <v>5.92</v>
      </c>
      <c r="S3165" t="s">
        <v>40</v>
      </c>
      <c r="T3165">
        <v>0.89</v>
      </c>
      <c r="U3165" t="s">
        <v>204</v>
      </c>
    </row>
    <row r="3166" spans="1:21">
      <c r="A3166" t="str">
        <f>"600745"</f>
        <v>600745</v>
      </c>
      <c r="B3166" t="s">
        <v>6167</v>
      </c>
      <c r="C3166">
        <v>0.65</v>
      </c>
      <c r="D3166">
        <v>114.47</v>
      </c>
      <c r="E3166">
        <v>0.74</v>
      </c>
      <c r="F3166">
        <v>114.46</v>
      </c>
      <c r="G3166">
        <v>114.47</v>
      </c>
      <c r="H3166">
        <v>75781</v>
      </c>
      <c r="I3166">
        <v>655</v>
      </c>
      <c r="J3166">
        <v>0.18</v>
      </c>
      <c r="K3166">
        <v>0.81</v>
      </c>
      <c r="L3166">
        <v>86256.24</v>
      </c>
      <c r="M3166" t="s">
        <v>6168</v>
      </c>
      <c r="N3166" t="s">
        <v>153</v>
      </c>
      <c r="O3166">
        <v>113.83</v>
      </c>
      <c r="P3166">
        <v>114.97</v>
      </c>
      <c r="Q3166">
        <v>112.88</v>
      </c>
      <c r="R3166">
        <v>113.73</v>
      </c>
      <c r="S3166">
        <v>52.36</v>
      </c>
      <c r="T3166">
        <v>0.72</v>
      </c>
      <c r="U3166" t="s">
        <v>267</v>
      </c>
    </row>
    <row r="3167" spans="1:21">
      <c r="A3167" t="str">
        <f>"600746"</f>
        <v>600746</v>
      </c>
      <c r="B3167" t="s">
        <v>6169</v>
      </c>
      <c r="C3167">
        <v>0.85</v>
      </c>
      <c r="D3167">
        <v>14.17</v>
      </c>
      <c r="E3167">
        <v>0.12</v>
      </c>
      <c r="F3167">
        <v>14.16</v>
      </c>
      <c r="G3167">
        <v>14.17</v>
      </c>
      <c r="H3167">
        <v>229278</v>
      </c>
      <c r="I3167">
        <v>3729</v>
      </c>
      <c r="J3167">
        <v>-0.06</v>
      </c>
      <c r="K3167">
        <v>5.41</v>
      </c>
      <c r="L3167">
        <v>32049.34</v>
      </c>
      <c r="M3167" t="s">
        <v>6170</v>
      </c>
      <c r="N3167" t="s">
        <v>309</v>
      </c>
      <c r="O3167">
        <v>14.04</v>
      </c>
      <c r="P3167">
        <v>14.25</v>
      </c>
      <c r="Q3167">
        <v>13.56</v>
      </c>
      <c r="R3167">
        <v>14.05</v>
      </c>
      <c r="S3167">
        <v>5.77</v>
      </c>
      <c r="T3167">
        <v>0.9</v>
      </c>
      <c r="U3167" t="s">
        <v>102</v>
      </c>
    </row>
    <row r="3168" spans="1:21">
      <c r="A3168" t="str">
        <f>"600748"</f>
        <v>600748</v>
      </c>
      <c r="B3168" t="s">
        <v>6171</v>
      </c>
      <c r="C3168">
        <v>1.07</v>
      </c>
      <c r="D3168">
        <v>3.79</v>
      </c>
      <c r="E3168">
        <v>0.04</v>
      </c>
      <c r="F3168">
        <v>3.79</v>
      </c>
      <c r="G3168">
        <v>3.8</v>
      </c>
      <c r="H3168">
        <v>58114</v>
      </c>
      <c r="I3168">
        <v>658</v>
      </c>
      <c r="J3168">
        <v>-0.25</v>
      </c>
      <c r="K3168">
        <v>0.32</v>
      </c>
      <c r="L3168">
        <v>2190.49</v>
      </c>
      <c r="M3168" t="s">
        <v>6172</v>
      </c>
      <c r="N3168" t="s">
        <v>27</v>
      </c>
      <c r="O3168">
        <v>3.75</v>
      </c>
      <c r="P3168">
        <v>3.81</v>
      </c>
      <c r="Q3168">
        <v>3.73</v>
      </c>
      <c r="R3168">
        <v>3.75</v>
      </c>
      <c r="S3168">
        <v>12.86</v>
      </c>
      <c r="T3168">
        <v>0.79</v>
      </c>
      <c r="U3168" t="s">
        <v>848</v>
      </c>
    </row>
    <row r="3169" spans="1:21">
      <c r="A3169" t="str">
        <f>"600749"</f>
        <v>600749</v>
      </c>
      <c r="B3169" t="s">
        <v>6173</v>
      </c>
      <c r="C3169">
        <v>0.2</v>
      </c>
      <c r="D3169">
        <v>10.14</v>
      </c>
      <c r="E3169">
        <v>0.02</v>
      </c>
      <c r="F3169">
        <v>10.14</v>
      </c>
      <c r="G3169">
        <v>10.15</v>
      </c>
      <c r="H3169">
        <v>21161</v>
      </c>
      <c r="I3169">
        <v>337</v>
      </c>
      <c r="J3169">
        <v>0.2</v>
      </c>
      <c r="K3169">
        <v>0.93</v>
      </c>
      <c r="L3169">
        <v>2143.81</v>
      </c>
      <c r="M3169" t="s">
        <v>6174</v>
      </c>
      <c r="N3169" t="s">
        <v>162</v>
      </c>
      <c r="O3169">
        <v>10.07</v>
      </c>
      <c r="P3169">
        <v>10.2</v>
      </c>
      <c r="Q3169">
        <v>10.04</v>
      </c>
      <c r="R3169">
        <v>10.12</v>
      </c>
      <c r="S3169">
        <v>193.26</v>
      </c>
      <c r="T3169">
        <v>0.63</v>
      </c>
      <c r="U3169" t="s">
        <v>694</v>
      </c>
    </row>
    <row r="3170" spans="1:21">
      <c r="A3170" t="str">
        <f>"600750"</f>
        <v>600750</v>
      </c>
      <c r="B3170" t="s">
        <v>6175</v>
      </c>
      <c r="C3170">
        <v>-0.08</v>
      </c>
      <c r="D3170">
        <v>12.02</v>
      </c>
      <c r="E3170">
        <v>-0.01</v>
      </c>
      <c r="F3170">
        <v>12.01</v>
      </c>
      <c r="G3170">
        <v>12.02</v>
      </c>
      <c r="H3170">
        <v>49358</v>
      </c>
      <c r="I3170">
        <v>480</v>
      </c>
      <c r="J3170">
        <v>-0.07</v>
      </c>
      <c r="K3170">
        <v>0.78</v>
      </c>
      <c r="L3170">
        <v>5912.04</v>
      </c>
      <c r="M3170" t="s">
        <v>3410</v>
      </c>
      <c r="N3170" t="s">
        <v>270</v>
      </c>
      <c r="O3170">
        <v>11.96</v>
      </c>
      <c r="P3170">
        <v>12.09</v>
      </c>
      <c r="Q3170">
        <v>11.89</v>
      </c>
      <c r="R3170">
        <v>12.03</v>
      </c>
      <c r="S3170">
        <v>12.57</v>
      </c>
      <c r="T3170">
        <v>0.67</v>
      </c>
      <c r="U3170" t="s">
        <v>235</v>
      </c>
    </row>
    <row r="3171" spans="1:21">
      <c r="A3171" t="str">
        <f>"600751"</f>
        <v>600751</v>
      </c>
      <c r="B3171" t="s">
        <v>6176</v>
      </c>
      <c r="C3171">
        <v>0</v>
      </c>
      <c r="D3171">
        <v>2.64</v>
      </c>
      <c r="E3171">
        <v>0</v>
      </c>
      <c r="F3171">
        <v>2.64</v>
      </c>
      <c r="G3171">
        <v>2.65</v>
      </c>
      <c r="H3171">
        <v>175265</v>
      </c>
      <c r="I3171">
        <v>2022</v>
      </c>
      <c r="J3171">
        <v>0</v>
      </c>
      <c r="K3171">
        <v>0.68</v>
      </c>
      <c r="L3171">
        <v>4593.75</v>
      </c>
      <c r="M3171" t="s">
        <v>6177</v>
      </c>
      <c r="N3171" t="s">
        <v>189</v>
      </c>
      <c r="O3171">
        <v>2.63</v>
      </c>
      <c r="P3171">
        <v>2.65</v>
      </c>
      <c r="Q3171">
        <v>2.6</v>
      </c>
      <c r="R3171">
        <v>2.64</v>
      </c>
      <c r="S3171">
        <v>326.73</v>
      </c>
      <c r="T3171">
        <v>0.95</v>
      </c>
      <c r="U3171" t="s">
        <v>360</v>
      </c>
    </row>
    <row r="3172" spans="1:21">
      <c r="A3172" t="str">
        <f>"600753"</f>
        <v>600753</v>
      </c>
      <c r="B3172" t="s">
        <v>6178</v>
      </c>
      <c r="C3172">
        <v>0.94</v>
      </c>
      <c r="D3172">
        <v>16.14</v>
      </c>
      <c r="E3172">
        <v>0.15</v>
      </c>
      <c r="F3172">
        <v>16.13</v>
      </c>
      <c r="G3172">
        <v>16.14</v>
      </c>
      <c r="H3172">
        <v>60093</v>
      </c>
      <c r="I3172">
        <v>964</v>
      </c>
      <c r="J3172">
        <v>-0.05</v>
      </c>
      <c r="K3172">
        <v>2.79</v>
      </c>
      <c r="L3172">
        <v>9636.72</v>
      </c>
      <c r="M3172" t="s">
        <v>6179</v>
      </c>
      <c r="N3172" t="s">
        <v>189</v>
      </c>
      <c r="O3172">
        <v>15.99</v>
      </c>
      <c r="P3172">
        <v>16.29</v>
      </c>
      <c r="Q3172">
        <v>15.71</v>
      </c>
      <c r="R3172">
        <v>15.99</v>
      </c>
      <c r="S3172">
        <v>704.52</v>
      </c>
      <c r="T3172">
        <v>0.89</v>
      </c>
      <c r="U3172" t="s">
        <v>339</v>
      </c>
    </row>
    <row r="3173" spans="1:21">
      <c r="A3173" t="str">
        <f>"600754"</f>
        <v>600754</v>
      </c>
      <c r="B3173" t="s">
        <v>6180</v>
      </c>
      <c r="C3173">
        <v>0.53</v>
      </c>
      <c r="D3173">
        <v>56.8</v>
      </c>
      <c r="E3173">
        <v>0.3</v>
      </c>
      <c r="F3173">
        <v>56.8</v>
      </c>
      <c r="G3173">
        <v>56.83</v>
      </c>
      <c r="H3173">
        <v>43958</v>
      </c>
      <c r="I3173">
        <v>317</v>
      </c>
      <c r="J3173">
        <v>0.12</v>
      </c>
      <c r="K3173">
        <v>0.48</v>
      </c>
      <c r="L3173">
        <v>24722.35</v>
      </c>
      <c r="M3173" t="s">
        <v>6181</v>
      </c>
      <c r="N3173" t="s">
        <v>39</v>
      </c>
      <c r="O3173">
        <v>56.73</v>
      </c>
      <c r="P3173">
        <v>57.14</v>
      </c>
      <c r="Q3173">
        <v>55.5</v>
      </c>
      <c r="R3173">
        <v>56.5</v>
      </c>
      <c r="S3173">
        <v>471.06</v>
      </c>
      <c r="T3173">
        <v>0.85</v>
      </c>
      <c r="U3173" t="s">
        <v>848</v>
      </c>
    </row>
    <row r="3174" spans="1:21">
      <c r="A3174" t="str">
        <f>"600755"</f>
        <v>600755</v>
      </c>
      <c r="B3174" t="s">
        <v>6182</v>
      </c>
      <c r="C3174">
        <v>2.23</v>
      </c>
      <c r="D3174">
        <v>6.87</v>
      </c>
      <c r="E3174">
        <v>0.15</v>
      </c>
      <c r="F3174">
        <v>6.87</v>
      </c>
      <c r="G3174">
        <v>6.88</v>
      </c>
      <c r="H3174">
        <v>411589</v>
      </c>
      <c r="I3174">
        <v>4924</v>
      </c>
      <c r="J3174">
        <v>-0.14</v>
      </c>
      <c r="K3174">
        <v>2.03</v>
      </c>
      <c r="L3174">
        <v>28126.01</v>
      </c>
      <c r="M3174" t="s">
        <v>6183</v>
      </c>
      <c r="N3174" t="s">
        <v>189</v>
      </c>
      <c r="O3174">
        <v>6.7</v>
      </c>
      <c r="P3174">
        <v>6.89</v>
      </c>
      <c r="Q3174">
        <v>6.69</v>
      </c>
      <c r="R3174">
        <v>6.72</v>
      </c>
      <c r="S3174">
        <v>3.82</v>
      </c>
      <c r="T3174">
        <v>1.07</v>
      </c>
      <c r="U3174" t="s">
        <v>339</v>
      </c>
    </row>
    <row r="3175" spans="1:21">
      <c r="A3175" t="str">
        <f>"600756"</f>
        <v>600756</v>
      </c>
      <c r="B3175" t="s">
        <v>6184</v>
      </c>
      <c r="C3175">
        <v>0.72</v>
      </c>
      <c r="D3175">
        <v>12.61</v>
      </c>
      <c r="E3175">
        <v>0.09</v>
      </c>
      <c r="F3175">
        <v>12.61</v>
      </c>
      <c r="G3175">
        <v>12.62</v>
      </c>
      <c r="H3175">
        <v>20443</v>
      </c>
      <c r="I3175">
        <v>184</v>
      </c>
      <c r="J3175">
        <v>0</v>
      </c>
      <c r="K3175">
        <v>0.63</v>
      </c>
      <c r="L3175">
        <v>2567.34</v>
      </c>
      <c r="M3175" t="s">
        <v>6185</v>
      </c>
      <c r="N3175" t="s">
        <v>30</v>
      </c>
      <c r="O3175">
        <v>12.48</v>
      </c>
      <c r="P3175">
        <v>12.65</v>
      </c>
      <c r="Q3175">
        <v>12.45</v>
      </c>
      <c r="R3175">
        <v>12.52</v>
      </c>
      <c r="S3175" t="s">
        <v>40</v>
      </c>
      <c r="T3175">
        <v>0.53</v>
      </c>
      <c r="U3175" t="s">
        <v>221</v>
      </c>
    </row>
    <row r="3176" spans="1:21">
      <c r="A3176" t="str">
        <f>"600757"</f>
        <v>600757</v>
      </c>
      <c r="B3176" t="s">
        <v>6186</v>
      </c>
      <c r="C3176">
        <v>0.38</v>
      </c>
      <c r="D3176">
        <v>5.23</v>
      </c>
      <c r="E3176">
        <v>0.02</v>
      </c>
      <c r="F3176">
        <v>5.23</v>
      </c>
      <c r="G3176">
        <v>5.24</v>
      </c>
      <c r="H3176">
        <v>38193</v>
      </c>
      <c r="I3176">
        <v>135</v>
      </c>
      <c r="J3176">
        <v>0</v>
      </c>
      <c r="K3176">
        <v>0.31</v>
      </c>
      <c r="L3176">
        <v>1992.96</v>
      </c>
      <c r="M3176" t="s">
        <v>6187</v>
      </c>
      <c r="N3176" t="s">
        <v>650</v>
      </c>
      <c r="O3176">
        <v>5.21</v>
      </c>
      <c r="P3176">
        <v>5.25</v>
      </c>
      <c r="Q3176">
        <v>5.18</v>
      </c>
      <c r="R3176">
        <v>5.21</v>
      </c>
      <c r="S3176">
        <v>6.98</v>
      </c>
      <c r="T3176">
        <v>0.97</v>
      </c>
      <c r="U3176" t="s">
        <v>267</v>
      </c>
    </row>
    <row r="3177" spans="1:21">
      <c r="A3177" t="str">
        <f>"600758"</f>
        <v>600758</v>
      </c>
      <c r="B3177" t="s">
        <v>6188</v>
      </c>
      <c r="C3177">
        <v>0.55</v>
      </c>
      <c r="D3177">
        <v>3.63</v>
      </c>
      <c r="E3177">
        <v>0.02</v>
      </c>
      <c r="F3177">
        <v>3.63</v>
      </c>
      <c r="G3177">
        <v>3.64</v>
      </c>
      <c r="H3177">
        <v>114134</v>
      </c>
      <c r="I3177">
        <v>2412</v>
      </c>
      <c r="J3177">
        <v>0.28</v>
      </c>
      <c r="K3177">
        <v>0.86</v>
      </c>
      <c r="L3177">
        <v>4098.71</v>
      </c>
      <c r="M3177" t="s">
        <v>6189</v>
      </c>
      <c r="N3177" t="s">
        <v>390</v>
      </c>
      <c r="O3177">
        <v>3.61</v>
      </c>
      <c r="P3177">
        <v>3.64</v>
      </c>
      <c r="Q3177">
        <v>3.55</v>
      </c>
      <c r="R3177">
        <v>3.61</v>
      </c>
      <c r="S3177">
        <v>478.64</v>
      </c>
      <c r="T3177">
        <v>0.84</v>
      </c>
      <c r="U3177" t="s">
        <v>141</v>
      </c>
    </row>
    <row r="3178" spans="1:21">
      <c r="A3178" t="str">
        <f>"600759"</f>
        <v>600759</v>
      </c>
      <c r="B3178" t="s">
        <v>6190</v>
      </c>
      <c r="C3178">
        <v>3.21</v>
      </c>
      <c r="D3178">
        <v>2.57</v>
      </c>
      <c r="E3178">
        <v>0.08</v>
      </c>
      <c r="F3178">
        <v>2.56</v>
      </c>
      <c r="G3178">
        <v>2.57</v>
      </c>
      <c r="H3178">
        <v>1211316</v>
      </c>
      <c r="I3178">
        <v>22087</v>
      </c>
      <c r="J3178">
        <v>0.78</v>
      </c>
      <c r="K3178">
        <v>5.36</v>
      </c>
      <c r="L3178">
        <v>30006.77</v>
      </c>
      <c r="M3178" t="s">
        <v>6191</v>
      </c>
      <c r="N3178" t="s">
        <v>996</v>
      </c>
      <c r="O3178">
        <v>2.48</v>
      </c>
      <c r="P3178">
        <v>2.57</v>
      </c>
      <c r="Q3178">
        <v>2.37</v>
      </c>
      <c r="R3178">
        <v>2.49</v>
      </c>
      <c r="S3178" t="s">
        <v>40</v>
      </c>
      <c r="T3178">
        <v>1.49</v>
      </c>
      <c r="U3178" t="s">
        <v>294</v>
      </c>
    </row>
    <row r="3179" spans="1:21">
      <c r="A3179" t="str">
        <f>"600760"</f>
        <v>600760</v>
      </c>
      <c r="B3179" t="s">
        <v>6192</v>
      </c>
      <c r="C3179">
        <v>-1.06</v>
      </c>
      <c r="D3179">
        <v>73.46</v>
      </c>
      <c r="E3179">
        <v>-0.79</v>
      </c>
      <c r="F3179">
        <v>73.46</v>
      </c>
      <c r="G3179">
        <v>73.47</v>
      </c>
      <c r="H3179">
        <v>121405</v>
      </c>
      <c r="I3179">
        <v>865</v>
      </c>
      <c r="J3179">
        <v>0.01</v>
      </c>
      <c r="K3179">
        <v>0.62</v>
      </c>
      <c r="L3179">
        <v>89470.57</v>
      </c>
      <c r="M3179" t="s">
        <v>6193</v>
      </c>
      <c r="N3179" t="s">
        <v>611</v>
      </c>
      <c r="O3179">
        <v>74</v>
      </c>
      <c r="P3179">
        <v>74.48</v>
      </c>
      <c r="Q3179">
        <v>73.22</v>
      </c>
      <c r="R3179">
        <v>74.25</v>
      </c>
      <c r="S3179">
        <v>74.28</v>
      </c>
      <c r="T3179">
        <v>0.57</v>
      </c>
      <c r="U3179" t="s">
        <v>221</v>
      </c>
    </row>
    <row r="3180" spans="1:21">
      <c r="A3180" t="str">
        <f>"600761"</f>
        <v>600761</v>
      </c>
      <c r="B3180" t="s">
        <v>6194</v>
      </c>
      <c r="C3180">
        <v>1.96</v>
      </c>
      <c r="D3180">
        <v>12.49</v>
      </c>
      <c r="E3180">
        <v>0.24</v>
      </c>
      <c r="F3180">
        <v>12.48</v>
      </c>
      <c r="G3180">
        <v>12.49</v>
      </c>
      <c r="H3180">
        <v>108477</v>
      </c>
      <c r="I3180">
        <v>339</v>
      </c>
      <c r="J3180">
        <v>0</v>
      </c>
      <c r="K3180">
        <v>1.47</v>
      </c>
      <c r="L3180">
        <v>13423.49</v>
      </c>
      <c r="M3180" t="s">
        <v>6195</v>
      </c>
      <c r="N3180" t="s">
        <v>203</v>
      </c>
      <c r="O3180">
        <v>12.2</v>
      </c>
      <c r="P3180">
        <v>12.55</v>
      </c>
      <c r="Q3180">
        <v>12.13</v>
      </c>
      <c r="R3180">
        <v>12.25</v>
      </c>
      <c r="S3180">
        <v>13.58</v>
      </c>
      <c r="T3180">
        <v>0.73</v>
      </c>
      <c r="U3180" t="s">
        <v>193</v>
      </c>
    </row>
    <row r="3181" spans="1:21">
      <c r="A3181" t="str">
        <f>"600763"</f>
        <v>600763</v>
      </c>
      <c r="B3181" t="s">
        <v>6196</v>
      </c>
      <c r="C3181">
        <v>-2.43</v>
      </c>
      <c r="D3181">
        <v>210.9</v>
      </c>
      <c r="E3181">
        <v>-5.26</v>
      </c>
      <c r="F3181">
        <v>210.9</v>
      </c>
      <c r="G3181">
        <v>210.91</v>
      </c>
      <c r="H3181">
        <v>70094</v>
      </c>
      <c r="I3181">
        <v>574</v>
      </c>
      <c r="J3181">
        <v>0.29</v>
      </c>
      <c r="K3181">
        <v>2.19</v>
      </c>
      <c r="L3181">
        <v>147813.35</v>
      </c>
      <c r="M3181" t="s">
        <v>6197</v>
      </c>
      <c r="N3181" t="s">
        <v>186</v>
      </c>
      <c r="O3181">
        <v>212.27</v>
      </c>
      <c r="P3181">
        <v>215.97</v>
      </c>
      <c r="Q3181">
        <v>208</v>
      </c>
      <c r="R3181">
        <v>216.16</v>
      </c>
      <c r="S3181">
        <v>81.79</v>
      </c>
      <c r="T3181">
        <v>1.15</v>
      </c>
      <c r="U3181" t="s">
        <v>200</v>
      </c>
    </row>
    <row r="3182" spans="1:21">
      <c r="A3182" t="str">
        <f>"600764"</f>
        <v>600764</v>
      </c>
      <c r="B3182" t="s">
        <v>6198</v>
      </c>
      <c r="C3182">
        <v>0.36</v>
      </c>
      <c r="D3182">
        <v>30.62</v>
      </c>
      <c r="E3182">
        <v>0.11</v>
      </c>
      <c r="F3182">
        <v>30.62</v>
      </c>
      <c r="G3182">
        <v>30.63</v>
      </c>
      <c r="H3182">
        <v>61065</v>
      </c>
      <c r="I3182">
        <v>835</v>
      </c>
      <c r="J3182">
        <v>0.03</v>
      </c>
      <c r="K3182">
        <v>1.23</v>
      </c>
      <c r="L3182">
        <v>18610.15</v>
      </c>
      <c r="M3182" t="s">
        <v>6199</v>
      </c>
      <c r="N3182" t="s">
        <v>153</v>
      </c>
      <c r="O3182">
        <v>30.49</v>
      </c>
      <c r="P3182">
        <v>30.92</v>
      </c>
      <c r="Q3182">
        <v>30.13</v>
      </c>
      <c r="R3182">
        <v>30.51</v>
      </c>
      <c r="S3182">
        <v>36.34</v>
      </c>
      <c r="T3182">
        <v>0.57</v>
      </c>
      <c r="U3182" t="s">
        <v>44</v>
      </c>
    </row>
    <row r="3183" spans="1:21">
      <c r="A3183" t="str">
        <f>"600765"</f>
        <v>600765</v>
      </c>
      <c r="B3183" t="s">
        <v>6200</v>
      </c>
      <c r="C3183">
        <v>0.06</v>
      </c>
      <c r="D3183">
        <v>48.9</v>
      </c>
      <c r="E3183">
        <v>0.03</v>
      </c>
      <c r="F3183">
        <v>48.9</v>
      </c>
      <c r="G3183">
        <v>48.91</v>
      </c>
      <c r="H3183">
        <v>147323</v>
      </c>
      <c r="I3183">
        <v>1329</v>
      </c>
      <c r="J3183">
        <v>0.18</v>
      </c>
      <c r="K3183">
        <v>1.72</v>
      </c>
      <c r="L3183">
        <v>71623.67</v>
      </c>
      <c r="M3183" t="s">
        <v>6201</v>
      </c>
      <c r="N3183" t="s">
        <v>611</v>
      </c>
      <c r="O3183">
        <v>48.88</v>
      </c>
      <c r="P3183">
        <v>49.28</v>
      </c>
      <c r="Q3183">
        <v>47.98</v>
      </c>
      <c r="R3183">
        <v>48.87</v>
      </c>
      <c r="S3183">
        <v>63.38</v>
      </c>
      <c r="T3183">
        <v>0.77</v>
      </c>
      <c r="U3183" t="s">
        <v>368</v>
      </c>
    </row>
    <row r="3184" spans="1:21">
      <c r="A3184" t="str">
        <f>"600766"</f>
        <v>600766</v>
      </c>
      <c r="B3184" t="s">
        <v>6202</v>
      </c>
      <c r="C3184">
        <v>1.81</v>
      </c>
      <c r="D3184">
        <v>4.51</v>
      </c>
      <c r="E3184">
        <v>0.08</v>
      </c>
      <c r="F3184">
        <v>4.5</v>
      </c>
      <c r="G3184">
        <v>4.51</v>
      </c>
      <c r="H3184">
        <v>34091</v>
      </c>
      <c r="I3184">
        <v>802</v>
      </c>
      <c r="J3184">
        <v>0</v>
      </c>
      <c r="K3184">
        <v>1.52</v>
      </c>
      <c r="L3184">
        <v>1528.52</v>
      </c>
      <c r="M3184" t="s">
        <v>6203</v>
      </c>
      <c r="N3184" t="s">
        <v>302</v>
      </c>
      <c r="O3184">
        <v>4.45</v>
      </c>
      <c r="P3184">
        <v>4.52</v>
      </c>
      <c r="Q3184">
        <v>4.42</v>
      </c>
      <c r="R3184">
        <v>4.43</v>
      </c>
      <c r="S3184">
        <v>193.59</v>
      </c>
      <c r="T3184">
        <v>0.88</v>
      </c>
      <c r="U3184" t="s">
        <v>221</v>
      </c>
    </row>
    <row r="3185" spans="1:21">
      <c r="A3185" t="str">
        <f>"600767"</f>
        <v>600767</v>
      </c>
      <c r="B3185" t="s">
        <v>6204</v>
      </c>
      <c r="C3185">
        <v>-1.15</v>
      </c>
      <c r="D3185">
        <v>7.73</v>
      </c>
      <c r="E3185">
        <v>-0.09</v>
      </c>
      <c r="F3185">
        <v>7.73</v>
      </c>
      <c r="G3185">
        <v>7.74</v>
      </c>
      <c r="H3185">
        <v>98975</v>
      </c>
      <c r="I3185">
        <v>577</v>
      </c>
      <c r="J3185">
        <v>0</v>
      </c>
      <c r="K3185">
        <v>2.9</v>
      </c>
      <c r="L3185">
        <v>7596.74</v>
      </c>
      <c r="M3185" t="s">
        <v>6205</v>
      </c>
      <c r="N3185" t="s">
        <v>186</v>
      </c>
      <c r="O3185">
        <v>7.82</v>
      </c>
      <c r="P3185">
        <v>7.94</v>
      </c>
      <c r="Q3185">
        <v>7.43</v>
      </c>
      <c r="R3185">
        <v>7.82</v>
      </c>
      <c r="S3185">
        <v>1419.75</v>
      </c>
      <c r="T3185">
        <v>1.17</v>
      </c>
      <c r="U3185" t="s">
        <v>196</v>
      </c>
    </row>
    <row r="3186" spans="1:21">
      <c r="A3186" t="str">
        <f>"600768"</f>
        <v>600768</v>
      </c>
      <c r="B3186" t="s">
        <v>6206</v>
      </c>
      <c r="C3186">
        <v>1.71</v>
      </c>
      <c r="D3186">
        <v>8.92</v>
      </c>
      <c r="E3186">
        <v>0.15</v>
      </c>
      <c r="F3186">
        <v>8.91</v>
      </c>
      <c r="G3186">
        <v>8.92</v>
      </c>
      <c r="H3186">
        <v>15956</v>
      </c>
      <c r="I3186">
        <v>132</v>
      </c>
      <c r="J3186">
        <v>0</v>
      </c>
      <c r="K3186">
        <v>1.19</v>
      </c>
      <c r="L3186">
        <v>1412.25</v>
      </c>
      <c r="M3186" t="s">
        <v>6207</v>
      </c>
      <c r="N3186" t="s">
        <v>494</v>
      </c>
      <c r="O3186">
        <v>8.77</v>
      </c>
      <c r="P3186">
        <v>8.98</v>
      </c>
      <c r="Q3186">
        <v>8.62</v>
      </c>
      <c r="R3186">
        <v>8.77</v>
      </c>
      <c r="S3186">
        <v>903.35</v>
      </c>
      <c r="T3186">
        <v>1.41</v>
      </c>
      <c r="U3186" t="s">
        <v>200</v>
      </c>
    </row>
    <row r="3187" spans="1:21">
      <c r="A3187" t="str">
        <f>"600769"</f>
        <v>600769</v>
      </c>
      <c r="B3187" t="s">
        <v>6208</v>
      </c>
      <c r="C3187">
        <v>-0.19</v>
      </c>
      <c r="D3187">
        <v>5.31</v>
      </c>
      <c r="E3187">
        <v>-0.01</v>
      </c>
      <c r="F3187">
        <v>5.31</v>
      </c>
      <c r="G3187">
        <v>5.32</v>
      </c>
      <c r="H3187">
        <v>28581</v>
      </c>
      <c r="I3187">
        <v>367</v>
      </c>
      <c r="J3187">
        <v>-0.18</v>
      </c>
      <c r="K3187">
        <v>0.76</v>
      </c>
      <c r="L3187">
        <v>1514.62</v>
      </c>
      <c r="M3187" t="s">
        <v>6209</v>
      </c>
      <c r="N3187" t="s">
        <v>50</v>
      </c>
      <c r="O3187">
        <v>5.31</v>
      </c>
      <c r="P3187">
        <v>5.36</v>
      </c>
      <c r="Q3187">
        <v>5.26</v>
      </c>
      <c r="R3187">
        <v>5.32</v>
      </c>
      <c r="S3187">
        <v>262.14</v>
      </c>
      <c r="T3187">
        <v>0.82</v>
      </c>
      <c r="U3187" t="s">
        <v>267</v>
      </c>
    </row>
    <row r="3188" spans="1:21">
      <c r="A3188" t="str">
        <f>"600770"</f>
        <v>600770</v>
      </c>
      <c r="B3188" t="s">
        <v>6210</v>
      </c>
      <c r="C3188">
        <v>0.88</v>
      </c>
      <c r="D3188">
        <v>5.7</v>
      </c>
      <c r="E3188">
        <v>0.05</v>
      </c>
      <c r="F3188">
        <v>5.69</v>
      </c>
      <c r="G3188">
        <v>5.7</v>
      </c>
      <c r="H3188">
        <v>62003</v>
      </c>
      <c r="I3188">
        <v>1455</v>
      </c>
      <c r="J3188">
        <v>0.18</v>
      </c>
      <c r="K3188">
        <v>0.48</v>
      </c>
      <c r="L3188">
        <v>3517.86</v>
      </c>
      <c r="M3188" t="s">
        <v>6211</v>
      </c>
      <c r="N3188" t="s">
        <v>99</v>
      </c>
      <c r="O3188">
        <v>5.63</v>
      </c>
      <c r="P3188">
        <v>5.73</v>
      </c>
      <c r="Q3188">
        <v>5.61</v>
      </c>
      <c r="R3188">
        <v>5.65</v>
      </c>
      <c r="S3188">
        <v>221.22</v>
      </c>
      <c r="T3188">
        <v>0.86</v>
      </c>
      <c r="U3188" t="s">
        <v>102</v>
      </c>
    </row>
    <row r="3189" spans="1:21">
      <c r="A3189" t="str">
        <f>"600771"</f>
        <v>600771</v>
      </c>
      <c r="B3189" t="s">
        <v>6212</v>
      </c>
      <c r="C3189">
        <v>-0.77</v>
      </c>
      <c r="D3189">
        <v>29.45</v>
      </c>
      <c r="E3189">
        <v>-0.23</v>
      </c>
      <c r="F3189">
        <v>29.45</v>
      </c>
      <c r="G3189">
        <v>29.46</v>
      </c>
      <c r="H3189">
        <v>115216</v>
      </c>
      <c r="I3189">
        <v>1978</v>
      </c>
      <c r="J3189">
        <v>0.03</v>
      </c>
      <c r="K3189">
        <v>2.34</v>
      </c>
      <c r="L3189">
        <v>34055.45</v>
      </c>
      <c r="M3189" t="s">
        <v>6213</v>
      </c>
      <c r="N3189" t="s">
        <v>270</v>
      </c>
      <c r="O3189">
        <v>29.39</v>
      </c>
      <c r="P3189">
        <v>30.23</v>
      </c>
      <c r="Q3189">
        <v>29.15</v>
      </c>
      <c r="R3189">
        <v>29.68</v>
      </c>
      <c r="S3189" t="s">
        <v>40</v>
      </c>
      <c r="T3189">
        <v>0.63</v>
      </c>
      <c r="U3189" t="s">
        <v>232</v>
      </c>
    </row>
    <row r="3190" spans="1:21">
      <c r="A3190" t="str">
        <f>"600773"</f>
        <v>600773</v>
      </c>
      <c r="B3190" t="s">
        <v>6214</v>
      </c>
      <c r="C3190">
        <v>0.6</v>
      </c>
      <c r="D3190">
        <v>23.3</v>
      </c>
      <c r="E3190">
        <v>0.14</v>
      </c>
      <c r="F3190">
        <v>23.3</v>
      </c>
      <c r="G3190">
        <v>23.31</v>
      </c>
      <c r="H3190">
        <v>642281</v>
      </c>
      <c r="I3190">
        <v>2845</v>
      </c>
      <c r="J3190">
        <v>0</v>
      </c>
      <c r="K3190">
        <v>7.84</v>
      </c>
      <c r="L3190">
        <v>150899.72</v>
      </c>
      <c r="M3190" t="s">
        <v>6215</v>
      </c>
      <c r="N3190" t="s">
        <v>36</v>
      </c>
      <c r="O3190">
        <v>22.95</v>
      </c>
      <c r="P3190">
        <v>24.4</v>
      </c>
      <c r="Q3190">
        <v>22.6</v>
      </c>
      <c r="R3190">
        <v>23.16</v>
      </c>
      <c r="S3190">
        <v>166.75</v>
      </c>
      <c r="T3190">
        <v>1.74</v>
      </c>
      <c r="U3190" t="s">
        <v>694</v>
      </c>
    </row>
    <row r="3191" spans="1:21">
      <c r="A3191" t="str">
        <f>"600774"</f>
        <v>600774</v>
      </c>
      <c r="B3191" t="s">
        <v>6216</v>
      </c>
      <c r="C3191">
        <v>-1.48</v>
      </c>
      <c r="D3191">
        <v>17.25</v>
      </c>
      <c r="E3191">
        <v>-0.26</v>
      </c>
      <c r="F3191">
        <v>17.25</v>
      </c>
      <c r="G3191">
        <v>17.3</v>
      </c>
      <c r="H3191">
        <v>8304</v>
      </c>
      <c r="I3191">
        <v>215</v>
      </c>
      <c r="J3191">
        <v>-0.11</v>
      </c>
      <c r="K3191">
        <v>0.37</v>
      </c>
      <c r="L3191">
        <v>1435.08</v>
      </c>
      <c r="M3191" t="s">
        <v>6217</v>
      </c>
      <c r="N3191" t="s">
        <v>258</v>
      </c>
      <c r="O3191">
        <v>17.58</v>
      </c>
      <c r="P3191">
        <v>17.59</v>
      </c>
      <c r="Q3191">
        <v>17.16</v>
      </c>
      <c r="R3191">
        <v>17.51</v>
      </c>
      <c r="S3191">
        <v>65.7</v>
      </c>
      <c r="T3191">
        <v>0.58</v>
      </c>
      <c r="U3191" t="s">
        <v>267</v>
      </c>
    </row>
    <row r="3192" spans="1:21">
      <c r="A3192" t="str">
        <f>"600775"</f>
        <v>600775</v>
      </c>
      <c r="B3192" t="s">
        <v>6218</v>
      </c>
      <c r="C3192">
        <v>2.64</v>
      </c>
      <c r="D3192">
        <v>8.17</v>
      </c>
      <c r="E3192">
        <v>0.21</v>
      </c>
      <c r="F3192">
        <v>8.16</v>
      </c>
      <c r="G3192">
        <v>8.17</v>
      </c>
      <c r="H3192">
        <v>83074</v>
      </c>
      <c r="I3192">
        <v>718</v>
      </c>
      <c r="J3192">
        <v>0</v>
      </c>
      <c r="K3192">
        <v>1.24</v>
      </c>
      <c r="L3192">
        <v>6766.5</v>
      </c>
      <c r="M3192" t="s">
        <v>5439</v>
      </c>
      <c r="N3192" t="s">
        <v>153</v>
      </c>
      <c r="O3192">
        <v>7.98</v>
      </c>
      <c r="P3192">
        <v>8.27</v>
      </c>
      <c r="Q3192">
        <v>7.98</v>
      </c>
      <c r="R3192">
        <v>7.96</v>
      </c>
      <c r="S3192">
        <v>1679.18</v>
      </c>
      <c r="T3192">
        <v>0.86</v>
      </c>
      <c r="U3192" t="s">
        <v>102</v>
      </c>
    </row>
    <row r="3193" spans="1:21">
      <c r="A3193" t="str">
        <f>"600776"</f>
        <v>600776</v>
      </c>
      <c r="B3193" t="s">
        <v>6219</v>
      </c>
      <c r="C3193">
        <v>-0.59</v>
      </c>
      <c r="D3193">
        <v>11.73</v>
      </c>
      <c r="E3193">
        <v>-0.07</v>
      </c>
      <c r="F3193">
        <v>11.72</v>
      </c>
      <c r="G3193">
        <v>11.73</v>
      </c>
      <c r="H3193">
        <v>122745</v>
      </c>
      <c r="I3193">
        <v>2619</v>
      </c>
      <c r="J3193">
        <v>0.17</v>
      </c>
      <c r="K3193">
        <v>1.28</v>
      </c>
      <c r="L3193">
        <v>14351.18</v>
      </c>
      <c r="M3193" t="s">
        <v>6220</v>
      </c>
      <c r="N3193" t="s">
        <v>153</v>
      </c>
      <c r="O3193">
        <v>11.82</v>
      </c>
      <c r="P3193">
        <v>11.88</v>
      </c>
      <c r="Q3193">
        <v>11.55</v>
      </c>
      <c r="R3193">
        <v>11.8</v>
      </c>
      <c r="S3193">
        <v>180.93</v>
      </c>
      <c r="T3193">
        <v>0.55</v>
      </c>
      <c r="U3193" t="s">
        <v>200</v>
      </c>
    </row>
    <row r="3194" spans="1:21">
      <c r="A3194" t="str">
        <f>"600777"</f>
        <v>600777</v>
      </c>
      <c r="B3194" t="s">
        <v>6221</v>
      </c>
      <c r="C3194">
        <v>0.97</v>
      </c>
      <c r="D3194">
        <v>2.08</v>
      </c>
      <c r="E3194">
        <v>0.02</v>
      </c>
      <c r="F3194">
        <v>2.07</v>
      </c>
      <c r="G3194">
        <v>2.08</v>
      </c>
      <c r="H3194">
        <v>1286527</v>
      </c>
      <c r="I3194">
        <v>9288</v>
      </c>
      <c r="J3194">
        <v>0.48</v>
      </c>
      <c r="K3194">
        <v>2.06</v>
      </c>
      <c r="L3194">
        <v>26318.79</v>
      </c>
      <c r="M3194" t="s">
        <v>6222</v>
      </c>
      <c r="N3194" t="s">
        <v>996</v>
      </c>
      <c r="O3194">
        <v>2.06</v>
      </c>
      <c r="P3194">
        <v>2.08</v>
      </c>
      <c r="Q3194">
        <v>2.01</v>
      </c>
      <c r="R3194">
        <v>2.06</v>
      </c>
      <c r="S3194">
        <v>21.11</v>
      </c>
      <c r="T3194">
        <v>0.7</v>
      </c>
      <c r="U3194" t="s">
        <v>221</v>
      </c>
    </row>
    <row r="3195" spans="1:21">
      <c r="A3195" t="str">
        <f>"600778"</f>
        <v>600778</v>
      </c>
      <c r="B3195" t="s">
        <v>6223</v>
      </c>
      <c r="C3195">
        <v>0.72</v>
      </c>
      <c r="D3195">
        <v>4.22</v>
      </c>
      <c r="E3195">
        <v>0.03</v>
      </c>
      <c r="F3195">
        <v>4.22</v>
      </c>
      <c r="G3195">
        <v>4.23</v>
      </c>
      <c r="H3195">
        <v>18636</v>
      </c>
      <c r="I3195">
        <v>149</v>
      </c>
      <c r="J3195">
        <v>0.24</v>
      </c>
      <c r="K3195">
        <v>0.6</v>
      </c>
      <c r="L3195">
        <v>784.53</v>
      </c>
      <c r="M3195" t="s">
        <v>6224</v>
      </c>
      <c r="N3195" t="s">
        <v>258</v>
      </c>
      <c r="O3195">
        <v>4.21</v>
      </c>
      <c r="P3195">
        <v>4.25</v>
      </c>
      <c r="Q3195">
        <v>4.16</v>
      </c>
      <c r="R3195">
        <v>4.19</v>
      </c>
      <c r="S3195">
        <v>161.54</v>
      </c>
      <c r="T3195">
        <v>0.89</v>
      </c>
      <c r="U3195" t="s">
        <v>210</v>
      </c>
    </row>
    <row r="3196" spans="1:21">
      <c r="A3196" t="str">
        <f>"600779"</f>
        <v>600779</v>
      </c>
      <c r="B3196" t="s">
        <v>6225</v>
      </c>
      <c r="C3196">
        <v>0.23</v>
      </c>
      <c r="D3196">
        <v>127.03</v>
      </c>
      <c r="E3196">
        <v>0.29</v>
      </c>
      <c r="F3196">
        <v>127.02</v>
      </c>
      <c r="G3196">
        <v>127.03</v>
      </c>
      <c r="H3196">
        <v>38155</v>
      </c>
      <c r="I3196">
        <v>471</v>
      </c>
      <c r="J3196">
        <v>0.24</v>
      </c>
      <c r="K3196">
        <v>0.78</v>
      </c>
      <c r="L3196">
        <v>48617.91</v>
      </c>
      <c r="M3196" t="s">
        <v>6226</v>
      </c>
      <c r="N3196" t="s">
        <v>423</v>
      </c>
      <c r="O3196">
        <v>126.3</v>
      </c>
      <c r="P3196">
        <v>129.1</v>
      </c>
      <c r="Q3196">
        <v>125.6</v>
      </c>
      <c r="R3196">
        <v>126.74</v>
      </c>
      <c r="S3196">
        <v>46.51</v>
      </c>
      <c r="T3196">
        <v>1.02</v>
      </c>
      <c r="U3196" t="s">
        <v>196</v>
      </c>
    </row>
    <row r="3197" spans="1:21">
      <c r="A3197" t="str">
        <f>"600780"</f>
        <v>600780</v>
      </c>
      <c r="B3197" t="s">
        <v>6227</v>
      </c>
      <c r="C3197">
        <v>-0.55</v>
      </c>
      <c r="D3197">
        <v>3.61</v>
      </c>
      <c r="E3197">
        <v>-0.02</v>
      </c>
      <c r="F3197">
        <v>3.61</v>
      </c>
      <c r="G3197">
        <v>3.62</v>
      </c>
      <c r="H3197">
        <v>39499</v>
      </c>
      <c r="I3197">
        <v>682</v>
      </c>
      <c r="J3197">
        <v>0</v>
      </c>
      <c r="K3197">
        <v>0.34</v>
      </c>
      <c r="L3197">
        <v>1423.41</v>
      </c>
      <c r="M3197" t="s">
        <v>6228</v>
      </c>
      <c r="N3197" t="s">
        <v>83</v>
      </c>
      <c r="O3197">
        <v>3.62</v>
      </c>
      <c r="P3197">
        <v>3.64</v>
      </c>
      <c r="Q3197">
        <v>3.58</v>
      </c>
      <c r="R3197">
        <v>3.63</v>
      </c>
      <c r="S3197">
        <v>362.31</v>
      </c>
      <c r="T3197">
        <v>0.95</v>
      </c>
      <c r="U3197" t="s">
        <v>232</v>
      </c>
    </row>
    <row r="3198" spans="1:21">
      <c r="A3198" t="str">
        <f>"600781"</f>
        <v>600781</v>
      </c>
      <c r="B3198" t="s">
        <v>6229</v>
      </c>
      <c r="C3198">
        <v>0.97</v>
      </c>
      <c r="D3198">
        <v>3.12</v>
      </c>
      <c r="E3198">
        <v>0.03</v>
      </c>
      <c r="F3198">
        <v>3.11</v>
      </c>
      <c r="G3198">
        <v>3.12</v>
      </c>
      <c r="H3198">
        <v>35182</v>
      </c>
      <c r="I3198">
        <v>372</v>
      </c>
      <c r="J3198">
        <v>0.32</v>
      </c>
      <c r="K3198">
        <v>0.94</v>
      </c>
      <c r="L3198">
        <v>1092.62</v>
      </c>
      <c r="M3198" t="s">
        <v>6230</v>
      </c>
      <c r="N3198" t="s">
        <v>270</v>
      </c>
      <c r="O3198">
        <v>3.07</v>
      </c>
      <c r="P3198">
        <v>3.15</v>
      </c>
      <c r="Q3198">
        <v>3.07</v>
      </c>
      <c r="R3198">
        <v>3.09</v>
      </c>
      <c r="S3198" t="s">
        <v>40</v>
      </c>
      <c r="T3198">
        <v>0.86</v>
      </c>
      <c r="U3198" t="s">
        <v>224</v>
      </c>
    </row>
    <row r="3199" spans="1:21">
      <c r="A3199" t="str">
        <f>"600782"</f>
        <v>600782</v>
      </c>
      <c r="B3199" t="s">
        <v>6231</v>
      </c>
      <c r="C3199">
        <v>2.51</v>
      </c>
      <c r="D3199">
        <v>5.3</v>
      </c>
      <c r="E3199">
        <v>0.13</v>
      </c>
      <c r="F3199">
        <v>5.3</v>
      </c>
      <c r="G3199">
        <v>5.31</v>
      </c>
      <c r="H3199">
        <v>660998</v>
      </c>
      <c r="I3199">
        <v>8124</v>
      </c>
      <c r="J3199">
        <v>0</v>
      </c>
      <c r="K3199">
        <v>2.07</v>
      </c>
      <c r="L3199">
        <v>34532.01</v>
      </c>
      <c r="M3199" t="s">
        <v>6232</v>
      </c>
      <c r="N3199" t="s">
        <v>551</v>
      </c>
      <c r="O3199">
        <v>5.18</v>
      </c>
      <c r="P3199">
        <v>5.32</v>
      </c>
      <c r="Q3199">
        <v>5.1</v>
      </c>
      <c r="R3199">
        <v>5.17</v>
      </c>
      <c r="S3199">
        <v>3.7</v>
      </c>
      <c r="T3199">
        <v>1.02</v>
      </c>
      <c r="U3199" t="s">
        <v>235</v>
      </c>
    </row>
    <row r="3200" spans="1:21">
      <c r="A3200" t="str">
        <f>"600783"</f>
        <v>600783</v>
      </c>
      <c r="B3200" t="s">
        <v>6233</v>
      </c>
      <c r="C3200">
        <v>2.08</v>
      </c>
      <c r="D3200">
        <v>12.78</v>
      </c>
      <c r="E3200">
        <v>0.26</v>
      </c>
      <c r="F3200">
        <v>12.78</v>
      </c>
      <c r="G3200">
        <v>12.79</v>
      </c>
      <c r="H3200">
        <v>66257</v>
      </c>
      <c r="I3200">
        <v>992</v>
      </c>
      <c r="J3200">
        <v>-0.22</v>
      </c>
      <c r="K3200">
        <v>0.89</v>
      </c>
      <c r="L3200">
        <v>8361.63</v>
      </c>
      <c r="M3200" t="s">
        <v>6234</v>
      </c>
      <c r="N3200" t="s">
        <v>121</v>
      </c>
      <c r="O3200">
        <v>12.57</v>
      </c>
      <c r="P3200">
        <v>12.84</v>
      </c>
      <c r="Q3200">
        <v>12.4</v>
      </c>
      <c r="R3200">
        <v>12.52</v>
      </c>
      <c r="S3200">
        <v>34.53</v>
      </c>
      <c r="T3200">
        <v>0.94</v>
      </c>
      <c r="U3200" t="s">
        <v>221</v>
      </c>
    </row>
    <row r="3201" spans="1:21">
      <c r="A3201" t="str">
        <f>"600784"</f>
        <v>600784</v>
      </c>
      <c r="B3201" t="s">
        <v>6235</v>
      </c>
      <c r="C3201">
        <v>1.61</v>
      </c>
      <c r="D3201">
        <v>6.31</v>
      </c>
      <c r="E3201">
        <v>0.1</v>
      </c>
      <c r="F3201">
        <v>6.3</v>
      </c>
      <c r="G3201">
        <v>6.31</v>
      </c>
      <c r="H3201">
        <v>126206</v>
      </c>
      <c r="I3201">
        <v>2430</v>
      </c>
      <c r="J3201">
        <v>0.16</v>
      </c>
      <c r="K3201">
        <v>2.22</v>
      </c>
      <c r="L3201">
        <v>7853.15</v>
      </c>
      <c r="M3201" t="s">
        <v>6236</v>
      </c>
      <c r="N3201" t="s">
        <v>99</v>
      </c>
      <c r="O3201">
        <v>6.21</v>
      </c>
      <c r="P3201">
        <v>6.38</v>
      </c>
      <c r="Q3201">
        <v>6.05</v>
      </c>
      <c r="R3201">
        <v>6.21</v>
      </c>
      <c r="S3201">
        <v>19.56</v>
      </c>
      <c r="T3201">
        <v>1.21</v>
      </c>
      <c r="U3201" t="s">
        <v>221</v>
      </c>
    </row>
    <row r="3202" spans="1:21">
      <c r="A3202" t="str">
        <f>"600785"</f>
        <v>600785</v>
      </c>
      <c r="B3202" t="s">
        <v>6237</v>
      </c>
      <c r="C3202">
        <v>-0.32</v>
      </c>
      <c r="D3202">
        <v>12.61</v>
      </c>
      <c r="E3202">
        <v>-0.04</v>
      </c>
      <c r="F3202">
        <v>12.61</v>
      </c>
      <c r="G3202">
        <v>12.62</v>
      </c>
      <c r="H3202">
        <v>4179</v>
      </c>
      <c r="I3202">
        <v>23</v>
      </c>
      <c r="J3202">
        <v>0.08</v>
      </c>
      <c r="K3202">
        <v>0.19</v>
      </c>
      <c r="L3202">
        <v>524.42</v>
      </c>
      <c r="M3202" t="s">
        <v>6238</v>
      </c>
      <c r="N3202" t="s">
        <v>258</v>
      </c>
      <c r="O3202">
        <v>12.63</v>
      </c>
      <c r="P3202">
        <v>12.64</v>
      </c>
      <c r="Q3202">
        <v>12.5</v>
      </c>
      <c r="R3202">
        <v>12.65</v>
      </c>
      <c r="S3202">
        <v>85.04</v>
      </c>
      <c r="T3202">
        <v>0.48</v>
      </c>
      <c r="U3202" t="s">
        <v>401</v>
      </c>
    </row>
    <row r="3203" spans="1:21">
      <c r="A3203" t="str">
        <f>"600787"</f>
        <v>600787</v>
      </c>
      <c r="B3203" t="s">
        <v>6239</v>
      </c>
      <c r="C3203">
        <v>2.69</v>
      </c>
      <c r="D3203">
        <v>6.87</v>
      </c>
      <c r="E3203">
        <v>0.18</v>
      </c>
      <c r="F3203">
        <v>6.86</v>
      </c>
      <c r="G3203">
        <v>6.87</v>
      </c>
      <c r="H3203">
        <v>309221</v>
      </c>
      <c r="I3203">
        <v>2514</v>
      </c>
      <c r="J3203">
        <v>0</v>
      </c>
      <c r="K3203">
        <v>1.42</v>
      </c>
      <c r="L3203">
        <v>21177.66</v>
      </c>
      <c r="M3203" t="s">
        <v>6240</v>
      </c>
      <c r="N3203" t="s">
        <v>1049</v>
      </c>
      <c r="O3203">
        <v>6.7</v>
      </c>
      <c r="P3203">
        <v>6.92</v>
      </c>
      <c r="Q3203">
        <v>6.7</v>
      </c>
      <c r="R3203">
        <v>6.69</v>
      </c>
      <c r="S3203">
        <v>17.51</v>
      </c>
      <c r="T3203">
        <v>1.15</v>
      </c>
      <c r="U3203" t="s">
        <v>360</v>
      </c>
    </row>
    <row r="3204" spans="1:21">
      <c r="A3204" t="str">
        <f>"600789"</f>
        <v>600789</v>
      </c>
      <c r="B3204" t="s">
        <v>6241</v>
      </c>
      <c r="C3204">
        <v>0.43</v>
      </c>
      <c r="D3204">
        <v>7.05</v>
      </c>
      <c r="E3204">
        <v>0.03</v>
      </c>
      <c r="F3204">
        <v>7.04</v>
      </c>
      <c r="G3204">
        <v>7.05</v>
      </c>
      <c r="H3204">
        <v>48272</v>
      </c>
      <c r="I3204">
        <v>635</v>
      </c>
      <c r="J3204">
        <v>0</v>
      </c>
      <c r="K3204">
        <v>0.55</v>
      </c>
      <c r="L3204">
        <v>3393.34</v>
      </c>
      <c r="M3204" t="s">
        <v>6242</v>
      </c>
      <c r="N3204" t="s">
        <v>192</v>
      </c>
      <c r="O3204">
        <v>7.02</v>
      </c>
      <c r="P3204">
        <v>7.06</v>
      </c>
      <c r="Q3204">
        <v>7</v>
      </c>
      <c r="R3204">
        <v>7.02</v>
      </c>
      <c r="S3204">
        <v>55.62</v>
      </c>
      <c r="T3204">
        <v>0.7</v>
      </c>
      <c r="U3204" t="s">
        <v>221</v>
      </c>
    </row>
    <row r="3205" spans="1:21">
      <c r="A3205" t="str">
        <f>"600790"</f>
        <v>600790</v>
      </c>
      <c r="B3205" t="s">
        <v>6243</v>
      </c>
      <c r="C3205">
        <v>1.62</v>
      </c>
      <c r="D3205">
        <v>3.13</v>
      </c>
      <c r="E3205">
        <v>0.05</v>
      </c>
      <c r="F3205">
        <v>3.13</v>
      </c>
      <c r="G3205">
        <v>3.14</v>
      </c>
      <c r="H3205">
        <v>89035</v>
      </c>
      <c r="I3205">
        <v>598</v>
      </c>
      <c r="J3205">
        <v>0.32</v>
      </c>
      <c r="K3205">
        <v>0.61</v>
      </c>
      <c r="L3205">
        <v>2777.32</v>
      </c>
      <c r="M3205" t="s">
        <v>6244</v>
      </c>
      <c r="N3205" t="s">
        <v>137</v>
      </c>
      <c r="O3205">
        <v>3.09</v>
      </c>
      <c r="P3205">
        <v>3.15</v>
      </c>
      <c r="Q3205">
        <v>3.08</v>
      </c>
      <c r="R3205">
        <v>3.08</v>
      </c>
      <c r="S3205">
        <v>13.06</v>
      </c>
      <c r="T3205">
        <v>1.98</v>
      </c>
      <c r="U3205" t="s">
        <v>200</v>
      </c>
    </row>
    <row r="3206" spans="1:21">
      <c r="A3206" t="str">
        <f>"600791"</f>
        <v>600791</v>
      </c>
      <c r="B3206" t="s">
        <v>6245</v>
      </c>
      <c r="C3206">
        <v>1.51</v>
      </c>
      <c r="D3206">
        <v>3.37</v>
      </c>
      <c r="E3206">
        <v>0.05</v>
      </c>
      <c r="F3206">
        <v>3.37</v>
      </c>
      <c r="G3206">
        <v>3.38</v>
      </c>
      <c r="H3206">
        <v>34782</v>
      </c>
      <c r="I3206">
        <v>306</v>
      </c>
      <c r="J3206">
        <v>0.3</v>
      </c>
      <c r="K3206">
        <v>0.77</v>
      </c>
      <c r="L3206">
        <v>1159.7</v>
      </c>
      <c r="M3206" t="s">
        <v>2741</v>
      </c>
      <c r="N3206" t="s">
        <v>27</v>
      </c>
      <c r="O3206">
        <v>3.32</v>
      </c>
      <c r="P3206">
        <v>3.38</v>
      </c>
      <c r="Q3206">
        <v>3.27</v>
      </c>
      <c r="R3206">
        <v>3.32</v>
      </c>
      <c r="S3206" t="s">
        <v>40</v>
      </c>
      <c r="T3206">
        <v>1.18</v>
      </c>
      <c r="U3206" t="s">
        <v>44</v>
      </c>
    </row>
    <row r="3207" spans="1:21">
      <c r="A3207" t="str">
        <f>"600792"</f>
        <v>600792</v>
      </c>
      <c r="B3207" t="s">
        <v>6246</v>
      </c>
      <c r="C3207">
        <v>0.5</v>
      </c>
      <c r="D3207">
        <v>3.99</v>
      </c>
      <c r="E3207">
        <v>0.02</v>
      </c>
      <c r="F3207">
        <v>3.98</v>
      </c>
      <c r="G3207">
        <v>3.99</v>
      </c>
      <c r="H3207">
        <v>151826</v>
      </c>
      <c r="I3207">
        <v>2949</v>
      </c>
      <c r="J3207">
        <v>0.25</v>
      </c>
      <c r="K3207">
        <v>1.53</v>
      </c>
      <c r="L3207">
        <v>5966.14</v>
      </c>
      <c r="M3207" t="s">
        <v>6247</v>
      </c>
      <c r="N3207" t="s">
        <v>659</v>
      </c>
      <c r="O3207">
        <v>3.97</v>
      </c>
      <c r="P3207">
        <v>4</v>
      </c>
      <c r="Q3207">
        <v>3.83</v>
      </c>
      <c r="R3207">
        <v>3.97</v>
      </c>
      <c r="S3207">
        <v>23.61</v>
      </c>
      <c r="T3207">
        <v>1.32</v>
      </c>
      <c r="U3207" t="s">
        <v>363</v>
      </c>
    </row>
    <row r="3208" spans="1:21">
      <c r="A3208" t="str">
        <f>"600793"</f>
        <v>600793</v>
      </c>
      <c r="B3208" t="s">
        <v>6248</v>
      </c>
      <c r="C3208">
        <v>0.28</v>
      </c>
      <c r="D3208">
        <v>14.27</v>
      </c>
      <c r="E3208">
        <v>0.04</v>
      </c>
      <c r="F3208">
        <v>14.26</v>
      </c>
      <c r="G3208">
        <v>14.27</v>
      </c>
      <c r="H3208">
        <v>39477</v>
      </c>
      <c r="I3208">
        <v>525</v>
      </c>
      <c r="J3208">
        <v>0.14</v>
      </c>
      <c r="K3208">
        <v>2.23</v>
      </c>
      <c r="L3208">
        <v>5617.62</v>
      </c>
      <c r="M3208" t="s">
        <v>6249</v>
      </c>
      <c r="N3208" t="s">
        <v>285</v>
      </c>
      <c r="O3208">
        <v>14.23</v>
      </c>
      <c r="P3208">
        <v>14.45</v>
      </c>
      <c r="Q3208">
        <v>14.12</v>
      </c>
      <c r="R3208">
        <v>14.23</v>
      </c>
      <c r="S3208">
        <v>75.86</v>
      </c>
      <c r="T3208">
        <v>0.71</v>
      </c>
      <c r="U3208" t="s">
        <v>196</v>
      </c>
    </row>
    <row r="3209" spans="1:21">
      <c r="A3209" t="str">
        <f>"600794"</f>
        <v>600794</v>
      </c>
      <c r="B3209" t="s">
        <v>6250</v>
      </c>
      <c r="C3209">
        <v>1.94</v>
      </c>
      <c r="D3209">
        <v>3.15</v>
      </c>
      <c r="E3209">
        <v>0.06</v>
      </c>
      <c r="F3209">
        <v>3.15</v>
      </c>
      <c r="G3209">
        <v>3.16</v>
      </c>
      <c r="H3209">
        <v>93724</v>
      </c>
      <c r="I3209">
        <v>980</v>
      </c>
      <c r="J3209">
        <v>-0.31</v>
      </c>
      <c r="K3209">
        <v>0.77</v>
      </c>
      <c r="L3209">
        <v>2945.59</v>
      </c>
      <c r="M3209" t="s">
        <v>6251</v>
      </c>
      <c r="N3209" t="s">
        <v>1049</v>
      </c>
      <c r="O3209">
        <v>3.09</v>
      </c>
      <c r="P3209">
        <v>3.18</v>
      </c>
      <c r="Q3209">
        <v>3.08</v>
      </c>
      <c r="R3209">
        <v>3.09</v>
      </c>
      <c r="S3209">
        <v>30.36</v>
      </c>
      <c r="T3209">
        <v>2.89</v>
      </c>
      <c r="U3209" t="s">
        <v>102</v>
      </c>
    </row>
    <row r="3210" spans="1:21">
      <c r="A3210" t="str">
        <f>"600795"</f>
        <v>600795</v>
      </c>
      <c r="B3210" t="s">
        <v>6252</v>
      </c>
      <c r="C3210">
        <v>0.4</v>
      </c>
      <c r="D3210">
        <v>2.5</v>
      </c>
      <c r="E3210">
        <v>0.01</v>
      </c>
      <c r="F3210">
        <v>2.5</v>
      </c>
      <c r="G3210">
        <v>2.51</v>
      </c>
      <c r="H3210">
        <v>584671</v>
      </c>
      <c r="I3210">
        <v>5655</v>
      </c>
      <c r="J3210">
        <v>-0.39</v>
      </c>
      <c r="K3210">
        <v>0.33</v>
      </c>
      <c r="L3210">
        <v>14545.15</v>
      </c>
      <c r="M3210" t="s">
        <v>6253</v>
      </c>
      <c r="N3210" t="s">
        <v>83</v>
      </c>
      <c r="O3210">
        <v>2.5</v>
      </c>
      <c r="P3210">
        <v>2.51</v>
      </c>
      <c r="Q3210">
        <v>2.47</v>
      </c>
      <c r="R3210">
        <v>2.49</v>
      </c>
      <c r="S3210">
        <v>17.93</v>
      </c>
      <c r="T3210">
        <v>0.83</v>
      </c>
      <c r="U3210" t="s">
        <v>141</v>
      </c>
    </row>
    <row r="3211" spans="1:21">
      <c r="A3211" t="str">
        <f>"600796"</f>
        <v>600796</v>
      </c>
      <c r="B3211" t="s">
        <v>6254</v>
      </c>
      <c r="C3211">
        <v>-1.61</v>
      </c>
      <c r="D3211">
        <v>6.1</v>
      </c>
      <c r="E3211">
        <v>-0.1</v>
      </c>
      <c r="F3211">
        <v>6.1</v>
      </c>
      <c r="G3211">
        <v>6.11</v>
      </c>
      <c r="H3211">
        <v>181704</v>
      </c>
      <c r="I3211">
        <v>2635</v>
      </c>
      <c r="J3211">
        <v>0.16</v>
      </c>
      <c r="K3211">
        <v>6.03</v>
      </c>
      <c r="L3211">
        <v>11075.76</v>
      </c>
      <c r="M3211" t="s">
        <v>2598</v>
      </c>
      <c r="N3211" t="s">
        <v>241</v>
      </c>
      <c r="O3211">
        <v>6.3</v>
      </c>
      <c r="P3211">
        <v>6.3</v>
      </c>
      <c r="Q3211">
        <v>5.93</v>
      </c>
      <c r="R3211">
        <v>6.2</v>
      </c>
      <c r="S3211">
        <v>192.7</v>
      </c>
      <c r="T3211">
        <v>1.17</v>
      </c>
      <c r="U3211" t="s">
        <v>200</v>
      </c>
    </row>
    <row r="3212" spans="1:21">
      <c r="A3212" t="str">
        <f>"600797"</f>
        <v>600797</v>
      </c>
      <c r="B3212" t="s">
        <v>6255</v>
      </c>
      <c r="C3212">
        <v>0.31</v>
      </c>
      <c r="D3212">
        <v>6.4</v>
      </c>
      <c r="E3212">
        <v>0.02</v>
      </c>
      <c r="F3212">
        <v>6.4</v>
      </c>
      <c r="G3212">
        <v>6.42</v>
      </c>
      <c r="H3212">
        <v>43989</v>
      </c>
      <c r="I3212">
        <v>669</v>
      </c>
      <c r="J3212">
        <v>-0.15</v>
      </c>
      <c r="K3212">
        <v>0.43</v>
      </c>
      <c r="L3212">
        <v>2817.29</v>
      </c>
      <c r="M3212" t="s">
        <v>6256</v>
      </c>
      <c r="N3212" t="s">
        <v>30</v>
      </c>
      <c r="O3212">
        <v>6.41</v>
      </c>
      <c r="P3212">
        <v>6.45</v>
      </c>
      <c r="Q3212">
        <v>6.36</v>
      </c>
      <c r="R3212">
        <v>6.38</v>
      </c>
      <c r="S3212">
        <v>87.5</v>
      </c>
      <c r="T3212">
        <v>0.69</v>
      </c>
      <c r="U3212" t="s">
        <v>200</v>
      </c>
    </row>
    <row r="3213" spans="1:21">
      <c r="A3213" t="str">
        <f>"600798"</f>
        <v>600798</v>
      </c>
      <c r="B3213" t="s">
        <v>6257</v>
      </c>
      <c r="C3213">
        <v>-0.25</v>
      </c>
      <c r="D3213">
        <v>4.05</v>
      </c>
      <c r="E3213">
        <v>-0.01</v>
      </c>
      <c r="F3213">
        <v>4.05</v>
      </c>
      <c r="G3213">
        <v>4.06</v>
      </c>
      <c r="H3213">
        <v>90022</v>
      </c>
      <c r="I3213">
        <v>2348</v>
      </c>
      <c r="J3213">
        <v>-0.24</v>
      </c>
      <c r="K3213">
        <v>0.87</v>
      </c>
      <c r="L3213">
        <v>3626.02</v>
      </c>
      <c r="M3213" t="s">
        <v>6258</v>
      </c>
      <c r="N3213" t="s">
        <v>327</v>
      </c>
      <c r="O3213">
        <v>4.07</v>
      </c>
      <c r="P3213">
        <v>4.08</v>
      </c>
      <c r="Q3213">
        <v>3.99</v>
      </c>
      <c r="R3213">
        <v>4.06</v>
      </c>
      <c r="S3213">
        <v>20.45</v>
      </c>
      <c r="T3213">
        <v>1.38</v>
      </c>
      <c r="U3213" t="s">
        <v>200</v>
      </c>
    </row>
    <row r="3214" spans="1:21">
      <c r="A3214" t="str">
        <f>"600800"</f>
        <v>600800</v>
      </c>
      <c r="B3214" t="s">
        <v>6259</v>
      </c>
      <c r="C3214">
        <v>-0.23</v>
      </c>
      <c r="D3214">
        <v>4.41</v>
      </c>
      <c r="E3214">
        <v>-0.01</v>
      </c>
      <c r="F3214">
        <v>4.41</v>
      </c>
      <c r="G3214">
        <v>4.42</v>
      </c>
      <c r="H3214">
        <v>59781</v>
      </c>
      <c r="I3214">
        <v>1359</v>
      </c>
      <c r="J3214">
        <v>0</v>
      </c>
      <c r="K3214">
        <v>0.75</v>
      </c>
      <c r="L3214">
        <v>2630.24</v>
      </c>
      <c r="M3214" t="s">
        <v>6260</v>
      </c>
      <c r="N3214" t="s">
        <v>309</v>
      </c>
      <c r="O3214">
        <v>4.41</v>
      </c>
      <c r="P3214">
        <v>4.44</v>
      </c>
      <c r="Q3214">
        <v>4.37</v>
      </c>
      <c r="R3214">
        <v>4.42</v>
      </c>
      <c r="S3214">
        <v>33.38</v>
      </c>
      <c r="T3214">
        <v>1.04</v>
      </c>
      <c r="U3214" t="s">
        <v>360</v>
      </c>
    </row>
    <row r="3215" spans="1:21">
      <c r="A3215" t="str">
        <f>"600801"</f>
        <v>600801</v>
      </c>
      <c r="B3215" t="s">
        <v>6261</v>
      </c>
      <c r="C3215">
        <v>3.49</v>
      </c>
      <c r="D3215">
        <v>17.5</v>
      </c>
      <c r="E3215">
        <v>0.59</v>
      </c>
      <c r="F3215">
        <v>17.5</v>
      </c>
      <c r="G3215">
        <v>17.51</v>
      </c>
      <c r="H3215">
        <v>222681</v>
      </c>
      <c r="I3215">
        <v>3757</v>
      </c>
      <c r="J3215">
        <v>-0.27</v>
      </c>
      <c r="K3215">
        <v>1.64</v>
      </c>
      <c r="L3215">
        <v>38286.69</v>
      </c>
      <c r="M3215" t="s">
        <v>6262</v>
      </c>
      <c r="N3215" t="s">
        <v>75</v>
      </c>
      <c r="O3215">
        <v>16.82</v>
      </c>
      <c r="P3215">
        <v>17.58</v>
      </c>
      <c r="Q3215">
        <v>16.75</v>
      </c>
      <c r="R3215">
        <v>16.91</v>
      </c>
      <c r="S3215">
        <v>7.72</v>
      </c>
      <c r="T3215">
        <v>0.99</v>
      </c>
      <c r="U3215" t="s">
        <v>267</v>
      </c>
    </row>
    <row r="3216" spans="1:21">
      <c r="A3216" t="str">
        <f>"600802"</f>
        <v>600802</v>
      </c>
      <c r="B3216" t="s">
        <v>6263</v>
      </c>
      <c r="C3216">
        <v>0.85</v>
      </c>
      <c r="D3216">
        <v>7.13</v>
      </c>
      <c r="E3216">
        <v>0.06</v>
      </c>
      <c r="F3216">
        <v>7.12</v>
      </c>
      <c r="G3216">
        <v>7.13</v>
      </c>
      <c r="H3216">
        <v>39963</v>
      </c>
      <c r="I3216">
        <v>743</v>
      </c>
      <c r="J3216">
        <v>0.14</v>
      </c>
      <c r="K3216">
        <v>0.87</v>
      </c>
      <c r="L3216">
        <v>2839.07</v>
      </c>
      <c r="M3216" t="s">
        <v>467</v>
      </c>
      <c r="N3216" t="s">
        <v>75</v>
      </c>
      <c r="O3216">
        <v>7.1</v>
      </c>
      <c r="P3216">
        <v>7.13</v>
      </c>
      <c r="Q3216">
        <v>7.06</v>
      </c>
      <c r="R3216">
        <v>7.07</v>
      </c>
      <c r="S3216">
        <v>10.3</v>
      </c>
      <c r="T3216">
        <v>0.75</v>
      </c>
      <c r="U3216" t="s">
        <v>339</v>
      </c>
    </row>
    <row r="3217" spans="1:21">
      <c r="A3217" t="str">
        <f>"600803"</f>
        <v>600803</v>
      </c>
      <c r="B3217" t="s">
        <v>6264</v>
      </c>
      <c r="C3217">
        <v>4</v>
      </c>
      <c r="D3217">
        <v>20.04</v>
      </c>
      <c r="E3217">
        <v>0.77</v>
      </c>
      <c r="F3217">
        <v>20.03</v>
      </c>
      <c r="G3217">
        <v>20.04</v>
      </c>
      <c r="H3217">
        <v>221892</v>
      </c>
      <c r="I3217">
        <v>4885</v>
      </c>
      <c r="J3217">
        <v>0.15</v>
      </c>
      <c r="K3217">
        <v>1.55</v>
      </c>
      <c r="L3217">
        <v>44043.49</v>
      </c>
      <c r="M3217" t="s">
        <v>6265</v>
      </c>
      <c r="N3217" t="s">
        <v>238</v>
      </c>
      <c r="O3217">
        <v>19.28</v>
      </c>
      <c r="P3217">
        <v>20.12</v>
      </c>
      <c r="Q3217">
        <v>19.04</v>
      </c>
      <c r="R3217">
        <v>19.27</v>
      </c>
      <c r="S3217">
        <v>13.32</v>
      </c>
      <c r="T3217">
        <v>2</v>
      </c>
      <c r="U3217" t="s">
        <v>207</v>
      </c>
    </row>
    <row r="3218" spans="1:21">
      <c r="A3218" t="str">
        <f>"600804"</f>
        <v>600804</v>
      </c>
      <c r="B3218" t="s">
        <v>6266</v>
      </c>
      <c r="C3218">
        <v>3.76</v>
      </c>
      <c r="D3218">
        <v>6.63</v>
      </c>
      <c r="E3218">
        <v>0.24</v>
      </c>
      <c r="F3218">
        <v>6.63</v>
      </c>
      <c r="G3218">
        <v>6.64</v>
      </c>
      <c r="H3218">
        <v>864005</v>
      </c>
      <c r="I3218">
        <v>9801</v>
      </c>
      <c r="J3218">
        <v>0</v>
      </c>
      <c r="K3218">
        <v>6.03</v>
      </c>
      <c r="L3218">
        <v>57050.41</v>
      </c>
      <c r="M3218" t="s">
        <v>6267</v>
      </c>
      <c r="N3218" t="s">
        <v>1279</v>
      </c>
      <c r="O3218">
        <v>6.4</v>
      </c>
      <c r="P3218">
        <v>6.81</v>
      </c>
      <c r="Q3218">
        <v>6.4</v>
      </c>
      <c r="R3218">
        <v>6.39</v>
      </c>
      <c r="S3218">
        <v>7.91</v>
      </c>
      <c r="T3218">
        <v>1.25</v>
      </c>
      <c r="U3218" t="s">
        <v>196</v>
      </c>
    </row>
    <row r="3219" spans="1:21">
      <c r="A3219" t="str">
        <f>"600805"</f>
        <v>600805</v>
      </c>
      <c r="B3219" t="s">
        <v>6268</v>
      </c>
      <c r="C3219">
        <v>-0.6</v>
      </c>
      <c r="D3219">
        <v>4.94</v>
      </c>
      <c r="E3219">
        <v>-0.03</v>
      </c>
      <c r="F3219">
        <v>4.94</v>
      </c>
      <c r="G3219">
        <v>4.95</v>
      </c>
      <c r="H3219">
        <v>106961</v>
      </c>
      <c r="I3219">
        <v>1348</v>
      </c>
      <c r="J3219">
        <v>-0.39</v>
      </c>
      <c r="K3219">
        <v>1.26</v>
      </c>
      <c r="L3219">
        <v>5318.66</v>
      </c>
      <c r="M3219" t="s">
        <v>6269</v>
      </c>
      <c r="N3219" t="s">
        <v>99</v>
      </c>
      <c r="O3219">
        <v>4.99</v>
      </c>
      <c r="P3219">
        <v>5.08</v>
      </c>
      <c r="Q3219">
        <v>4.87</v>
      </c>
      <c r="R3219">
        <v>4.97</v>
      </c>
      <c r="S3219" t="s">
        <v>40</v>
      </c>
      <c r="T3219">
        <v>0.61</v>
      </c>
      <c r="U3219" t="s">
        <v>102</v>
      </c>
    </row>
    <row r="3220" spans="1:21">
      <c r="A3220" t="str">
        <f>"600807"</f>
        <v>600807</v>
      </c>
      <c r="B3220" t="s">
        <v>6270</v>
      </c>
      <c r="C3220">
        <v>0.3</v>
      </c>
      <c r="D3220">
        <v>3.35</v>
      </c>
      <c r="E3220">
        <v>0.01</v>
      </c>
      <c r="F3220">
        <v>3.34</v>
      </c>
      <c r="G3220">
        <v>3.35</v>
      </c>
      <c r="H3220">
        <v>92898</v>
      </c>
      <c r="I3220">
        <v>1845</v>
      </c>
      <c r="J3220">
        <v>0.3</v>
      </c>
      <c r="K3220">
        <v>1.18</v>
      </c>
      <c r="L3220">
        <v>3081.52</v>
      </c>
      <c r="M3220" t="s">
        <v>4826</v>
      </c>
      <c r="N3220" t="s">
        <v>36</v>
      </c>
      <c r="O3220">
        <v>3.33</v>
      </c>
      <c r="P3220">
        <v>3.37</v>
      </c>
      <c r="Q3220">
        <v>3.28</v>
      </c>
      <c r="R3220">
        <v>3.34</v>
      </c>
      <c r="S3220" t="s">
        <v>40</v>
      </c>
      <c r="T3220">
        <v>1.38</v>
      </c>
      <c r="U3220" t="s">
        <v>221</v>
      </c>
    </row>
    <row r="3221" spans="1:21">
      <c r="A3221" t="str">
        <f>"600808"</f>
        <v>600808</v>
      </c>
      <c r="B3221" t="s">
        <v>6271</v>
      </c>
      <c r="C3221">
        <v>1.94</v>
      </c>
      <c r="D3221">
        <v>3.68</v>
      </c>
      <c r="E3221">
        <v>0.07</v>
      </c>
      <c r="F3221">
        <v>3.68</v>
      </c>
      <c r="G3221">
        <v>3.69</v>
      </c>
      <c r="H3221">
        <v>848428</v>
      </c>
      <c r="I3221">
        <v>10035</v>
      </c>
      <c r="J3221">
        <v>-0.26</v>
      </c>
      <c r="K3221">
        <v>1.42</v>
      </c>
      <c r="L3221">
        <v>30858.31</v>
      </c>
      <c r="M3221" t="s">
        <v>6272</v>
      </c>
      <c r="N3221" t="s">
        <v>551</v>
      </c>
      <c r="O3221">
        <v>3.61</v>
      </c>
      <c r="P3221">
        <v>3.69</v>
      </c>
      <c r="Q3221">
        <v>3.56</v>
      </c>
      <c r="R3221">
        <v>3.61</v>
      </c>
      <c r="S3221">
        <v>3.26</v>
      </c>
      <c r="T3221">
        <v>1.25</v>
      </c>
      <c r="U3221" t="s">
        <v>193</v>
      </c>
    </row>
    <row r="3222" spans="1:21">
      <c r="A3222" t="str">
        <f>"600809"</f>
        <v>600809</v>
      </c>
      <c r="B3222" t="s">
        <v>6273</v>
      </c>
      <c r="C3222">
        <v>0.19</v>
      </c>
      <c r="D3222">
        <v>311.7</v>
      </c>
      <c r="E3222">
        <v>0.58</v>
      </c>
      <c r="F3222">
        <v>311.69</v>
      </c>
      <c r="G3222">
        <v>311.7</v>
      </c>
      <c r="H3222">
        <v>57762</v>
      </c>
      <c r="I3222">
        <v>472</v>
      </c>
      <c r="J3222">
        <v>-0.01</v>
      </c>
      <c r="K3222">
        <v>0.48</v>
      </c>
      <c r="L3222">
        <v>181185.56</v>
      </c>
      <c r="M3222" t="s">
        <v>6274</v>
      </c>
      <c r="N3222" t="s">
        <v>423</v>
      </c>
      <c r="O3222">
        <v>309</v>
      </c>
      <c r="P3222">
        <v>316.8</v>
      </c>
      <c r="Q3222">
        <v>308.06</v>
      </c>
      <c r="R3222">
        <v>311.12</v>
      </c>
      <c r="S3222">
        <v>58.46</v>
      </c>
      <c r="T3222">
        <v>1.1</v>
      </c>
      <c r="U3222" t="s">
        <v>232</v>
      </c>
    </row>
    <row r="3223" spans="1:21">
      <c r="A3223" t="str">
        <f>"600810"</f>
        <v>600810</v>
      </c>
      <c r="B3223" t="s">
        <v>6275</v>
      </c>
      <c r="C3223">
        <v>2.37</v>
      </c>
      <c r="D3223">
        <v>11.21</v>
      </c>
      <c r="E3223">
        <v>0.26</v>
      </c>
      <c r="F3223">
        <v>11.2</v>
      </c>
      <c r="G3223">
        <v>11.21</v>
      </c>
      <c r="H3223">
        <v>187531</v>
      </c>
      <c r="I3223">
        <v>1540</v>
      </c>
      <c r="J3223">
        <v>0</v>
      </c>
      <c r="K3223">
        <v>2.59</v>
      </c>
      <c r="L3223">
        <v>20772.4</v>
      </c>
      <c r="M3223" t="s">
        <v>6276</v>
      </c>
      <c r="N3223" t="s">
        <v>216</v>
      </c>
      <c r="O3223">
        <v>10.98</v>
      </c>
      <c r="P3223">
        <v>11.24</v>
      </c>
      <c r="Q3223">
        <v>10.77</v>
      </c>
      <c r="R3223">
        <v>10.95</v>
      </c>
      <c r="S3223">
        <v>5.36</v>
      </c>
      <c r="T3223">
        <v>0.98</v>
      </c>
      <c r="U3223" t="s">
        <v>224</v>
      </c>
    </row>
    <row r="3224" spans="1:21">
      <c r="A3224" t="str">
        <f>"600811"</f>
        <v>600811</v>
      </c>
      <c r="B3224" t="s">
        <v>6277</v>
      </c>
      <c r="C3224">
        <v>1.02</v>
      </c>
      <c r="D3224">
        <v>2.98</v>
      </c>
      <c r="E3224">
        <v>0.03</v>
      </c>
      <c r="F3224">
        <v>2.98</v>
      </c>
      <c r="G3224">
        <v>2.99</v>
      </c>
      <c r="H3224">
        <v>127904</v>
      </c>
      <c r="I3224">
        <v>3779</v>
      </c>
      <c r="J3224">
        <v>0</v>
      </c>
      <c r="K3224">
        <v>0.34</v>
      </c>
      <c r="L3224">
        <v>3791.45</v>
      </c>
      <c r="M3224" t="s">
        <v>6278</v>
      </c>
      <c r="N3224" t="s">
        <v>147</v>
      </c>
      <c r="O3224">
        <v>2.96</v>
      </c>
      <c r="P3224">
        <v>2.99</v>
      </c>
      <c r="Q3224">
        <v>2.94</v>
      </c>
      <c r="R3224">
        <v>2.95</v>
      </c>
      <c r="S3224">
        <v>31.05</v>
      </c>
      <c r="T3224">
        <v>0.69</v>
      </c>
      <c r="U3224" t="s">
        <v>445</v>
      </c>
    </row>
    <row r="3225" spans="1:21">
      <c r="A3225" t="str">
        <f>"600812"</f>
        <v>600812</v>
      </c>
      <c r="B3225" t="s">
        <v>6279</v>
      </c>
      <c r="C3225">
        <v>0.86</v>
      </c>
      <c r="D3225">
        <v>9.36</v>
      </c>
      <c r="E3225">
        <v>0.08</v>
      </c>
      <c r="F3225">
        <v>9.35</v>
      </c>
      <c r="G3225">
        <v>9.36</v>
      </c>
      <c r="H3225">
        <v>96935</v>
      </c>
      <c r="I3225">
        <v>345</v>
      </c>
      <c r="J3225">
        <v>0.11</v>
      </c>
      <c r="K3225">
        <v>0.59</v>
      </c>
      <c r="L3225">
        <v>9078.58</v>
      </c>
      <c r="M3225" t="s">
        <v>6280</v>
      </c>
      <c r="N3225" t="s">
        <v>192</v>
      </c>
      <c r="O3225">
        <v>9.2</v>
      </c>
      <c r="P3225">
        <v>9.42</v>
      </c>
      <c r="Q3225">
        <v>9.18</v>
      </c>
      <c r="R3225">
        <v>9.28</v>
      </c>
      <c r="S3225">
        <v>677.5</v>
      </c>
      <c r="T3225">
        <v>0.71</v>
      </c>
      <c r="U3225" t="s">
        <v>207</v>
      </c>
    </row>
    <row r="3226" spans="1:21">
      <c r="A3226" t="str">
        <f>"600814"</f>
        <v>600814</v>
      </c>
      <c r="B3226" t="s">
        <v>6281</v>
      </c>
      <c r="C3226">
        <v>0.85</v>
      </c>
      <c r="D3226">
        <v>5.92</v>
      </c>
      <c r="E3226">
        <v>0.05</v>
      </c>
      <c r="F3226">
        <v>5.91</v>
      </c>
      <c r="G3226">
        <v>5.92</v>
      </c>
      <c r="H3226">
        <v>12697</v>
      </c>
      <c r="I3226">
        <v>85</v>
      </c>
      <c r="J3226">
        <v>0.17</v>
      </c>
      <c r="K3226">
        <v>0.18</v>
      </c>
      <c r="L3226">
        <v>747.97</v>
      </c>
      <c r="M3226" t="s">
        <v>6282</v>
      </c>
      <c r="N3226" t="s">
        <v>258</v>
      </c>
      <c r="O3226">
        <v>5.85</v>
      </c>
      <c r="P3226">
        <v>5.93</v>
      </c>
      <c r="Q3226">
        <v>5.85</v>
      </c>
      <c r="R3226">
        <v>5.87</v>
      </c>
      <c r="S3226">
        <v>11.72</v>
      </c>
      <c r="T3226">
        <v>0.72</v>
      </c>
      <c r="U3226" t="s">
        <v>200</v>
      </c>
    </row>
    <row r="3227" spans="1:21">
      <c r="A3227" t="str">
        <f>"600815"</f>
        <v>600815</v>
      </c>
      <c r="B3227" t="s">
        <v>6283</v>
      </c>
      <c r="C3227">
        <v>0.33</v>
      </c>
      <c r="D3227">
        <v>3.01</v>
      </c>
      <c r="E3227">
        <v>0.01</v>
      </c>
      <c r="F3227">
        <v>3</v>
      </c>
      <c r="G3227">
        <v>3.01</v>
      </c>
      <c r="H3227">
        <v>101255</v>
      </c>
      <c r="I3227">
        <v>1897</v>
      </c>
      <c r="J3227">
        <v>0</v>
      </c>
      <c r="K3227">
        <v>0.57</v>
      </c>
      <c r="L3227">
        <v>3024.92</v>
      </c>
      <c r="M3227" t="s">
        <v>4204</v>
      </c>
      <c r="N3227" t="s">
        <v>203</v>
      </c>
      <c r="O3227">
        <v>2.99</v>
      </c>
      <c r="P3227">
        <v>3.03</v>
      </c>
      <c r="Q3227">
        <v>2.95</v>
      </c>
      <c r="R3227">
        <v>3</v>
      </c>
      <c r="S3227" t="s">
        <v>40</v>
      </c>
      <c r="T3227">
        <v>0.49</v>
      </c>
      <c r="U3227" t="s">
        <v>339</v>
      </c>
    </row>
    <row r="3228" spans="1:21">
      <c r="A3228" t="str">
        <f>"600816"</f>
        <v>600816</v>
      </c>
      <c r="B3228" t="s">
        <v>6284</v>
      </c>
      <c r="C3228">
        <v>-0.21</v>
      </c>
      <c r="D3228">
        <v>4.85</v>
      </c>
      <c r="E3228">
        <v>-0.01</v>
      </c>
      <c r="F3228">
        <v>4.84</v>
      </c>
      <c r="G3228">
        <v>4.85</v>
      </c>
      <c r="H3228">
        <v>173420</v>
      </c>
      <c r="I3228">
        <v>3037</v>
      </c>
      <c r="J3228">
        <v>0.21</v>
      </c>
      <c r="K3228">
        <v>0.33</v>
      </c>
      <c r="L3228">
        <v>8380.82</v>
      </c>
      <c r="M3228" t="s">
        <v>6285</v>
      </c>
      <c r="N3228" t="s">
        <v>121</v>
      </c>
      <c r="O3228">
        <v>4.82</v>
      </c>
      <c r="P3228">
        <v>4.87</v>
      </c>
      <c r="Q3228">
        <v>4.78</v>
      </c>
      <c r="R3228">
        <v>4.86</v>
      </c>
      <c r="S3228" t="s">
        <v>40</v>
      </c>
      <c r="T3228">
        <v>0.6</v>
      </c>
      <c r="U3228" t="s">
        <v>848</v>
      </c>
    </row>
    <row r="3229" spans="1:21">
      <c r="A3229" t="str">
        <f>"600817"</f>
        <v>600817</v>
      </c>
      <c r="B3229" t="s">
        <v>6286</v>
      </c>
      <c r="C3229">
        <v>-0.43</v>
      </c>
      <c r="D3229">
        <v>13.78</v>
      </c>
      <c r="E3229">
        <v>-0.06</v>
      </c>
      <c r="F3229">
        <v>13.77</v>
      </c>
      <c r="G3229">
        <v>13.78</v>
      </c>
      <c r="H3229">
        <v>8467</v>
      </c>
      <c r="I3229">
        <v>62</v>
      </c>
      <c r="J3229">
        <v>0.22</v>
      </c>
      <c r="K3229">
        <v>0.46</v>
      </c>
      <c r="L3229">
        <v>1166.12</v>
      </c>
      <c r="M3229" t="s">
        <v>6287</v>
      </c>
      <c r="N3229" t="s">
        <v>324</v>
      </c>
      <c r="O3229">
        <v>13.7</v>
      </c>
      <c r="P3229">
        <v>13.97</v>
      </c>
      <c r="Q3229">
        <v>13.59</v>
      </c>
      <c r="R3229">
        <v>13.84</v>
      </c>
      <c r="S3229">
        <v>16.64</v>
      </c>
      <c r="T3229">
        <v>1.07</v>
      </c>
      <c r="U3229" t="s">
        <v>224</v>
      </c>
    </row>
    <row r="3230" spans="1:21">
      <c r="A3230" t="str">
        <f>"600818"</f>
        <v>600818</v>
      </c>
      <c r="B3230" t="s">
        <v>6288</v>
      </c>
      <c r="C3230">
        <v>1.33</v>
      </c>
      <c r="D3230">
        <v>8.38</v>
      </c>
      <c r="E3230">
        <v>0.11</v>
      </c>
      <c r="F3230">
        <v>8.38</v>
      </c>
      <c r="G3230">
        <v>8.39</v>
      </c>
      <c r="H3230">
        <v>17743</v>
      </c>
      <c r="I3230">
        <v>73</v>
      </c>
      <c r="J3230">
        <v>-0.11</v>
      </c>
      <c r="K3230">
        <v>0.75</v>
      </c>
      <c r="L3230">
        <v>1472.2</v>
      </c>
      <c r="M3230" t="s">
        <v>6289</v>
      </c>
      <c r="N3230" t="s">
        <v>63</v>
      </c>
      <c r="O3230">
        <v>8.21</v>
      </c>
      <c r="P3230">
        <v>8.42</v>
      </c>
      <c r="Q3230">
        <v>8.15</v>
      </c>
      <c r="R3230">
        <v>8.27</v>
      </c>
      <c r="S3230">
        <v>87.04</v>
      </c>
      <c r="T3230">
        <v>1.37</v>
      </c>
      <c r="U3230" t="s">
        <v>848</v>
      </c>
    </row>
    <row r="3231" spans="1:21">
      <c r="A3231" t="str">
        <f>"600819"</f>
        <v>600819</v>
      </c>
      <c r="B3231" t="s">
        <v>6290</v>
      </c>
      <c r="C3231">
        <v>0.39</v>
      </c>
      <c r="D3231">
        <v>5.2</v>
      </c>
      <c r="E3231">
        <v>0.02</v>
      </c>
      <c r="F3231">
        <v>5.19</v>
      </c>
      <c r="G3231">
        <v>5.2</v>
      </c>
      <c r="H3231">
        <v>39910</v>
      </c>
      <c r="I3231">
        <v>330</v>
      </c>
      <c r="J3231">
        <v>0.19</v>
      </c>
      <c r="K3231">
        <v>0.53</v>
      </c>
      <c r="L3231">
        <v>2067.45</v>
      </c>
      <c r="M3231" t="s">
        <v>673</v>
      </c>
      <c r="N3231" t="s">
        <v>55</v>
      </c>
      <c r="O3231">
        <v>5.17</v>
      </c>
      <c r="P3231">
        <v>5.23</v>
      </c>
      <c r="Q3231">
        <v>5.13</v>
      </c>
      <c r="R3231">
        <v>5.18</v>
      </c>
      <c r="S3231">
        <v>21.99</v>
      </c>
      <c r="T3231">
        <v>0.77</v>
      </c>
      <c r="U3231" t="s">
        <v>848</v>
      </c>
    </row>
    <row r="3232" spans="1:21">
      <c r="A3232" t="str">
        <f>"600820"</f>
        <v>600820</v>
      </c>
      <c r="B3232" t="s">
        <v>6291</v>
      </c>
      <c r="C3232">
        <v>0.79</v>
      </c>
      <c r="D3232">
        <v>5.11</v>
      </c>
      <c r="E3232">
        <v>0.04</v>
      </c>
      <c r="F3232">
        <v>5.11</v>
      </c>
      <c r="G3232">
        <v>5.12</v>
      </c>
      <c r="H3232">
        <v>147685</v>
      </c>
      <c r="I3232">
        <v>830</v>
      </c>
      <c r="J3232">
        <v>-0.19</v>
      </c>
      <c r="K3232">
        <v>0.47</v>
      </c>
      <c r="L3232">
        <v>7518.51</v>
      </c>
      <c r="M3232" t="s">
        <v>6292</v>
      </c>
      <c r="N3232" t="s">
        <v>50</v>
      </c>
      <c r="O3232">
        <v>5.07</v>
      </c>
      <c r="P3232">
        <v>5.12</v>
      </c>
      <c r="Q3232">
        <v>5.05</v>
      </c>
      <c r="R3232">
        <v>5.07</v>
      </c>
      <c r="S3232">
        <v>8.88</v>
      </c>
      <c r="T3232">
        <v>1.26</v>
      </c>
      <c r="U3232" t="s">
        <v>848</v>
      </c>
    </row>
    <row r="3233" spans="1:21">
      <c r="A3233" t="str">
        <f>"600821"</f>
        <v>600821</v>
      </c>
      <c r="B3233" t="s">
        <v>6293</v>
      </c>
      <c r="C3233">
        <v>-5.3</v>
      </c>
      <c r="D3233">
        <v>10.01</v>
      </c>
      <c r="E3233">
        <v>-0.56</v>
      </c>
      <c r="F3233">
        <v>10.01</v>
      </c>
      <c r="G3233">
        <v>10.03</v>
      </c>
      <c r="H3233">
        <v>1019928</v>
      </c>
      <c r="I3233">
        <v>16170</v>
      </c>
      <c r="J3233">
        <v>-0.88</v>
      </c>
      <c r="K3233">
        <v>10.56</v>
      </c>
      <c r="L3233">
        <v>103237.64</v>
      </c>
      <c r="M3233" t="s">
        <v>6294</v>
      </c>
      <c r="N3233" t="s">
        <v>114</v>
      </c>
      <c r="O3233">
        <v>10.6</v>
      </c>
      <c r="P3233">
        <v>10.61</v>
      </c>
      <c r="Q3233">
        <v>9.73</v>
      </c>
      <c r="R3233">
        <v>10.57</v>
      </c>
      <c r="S3233">
        <v>34.68</v>
      </c>
      <c r="T3233">
        <v>1.56</v>
      </c>
      <c r="U3233" t="s">
        <v>360</v>
      </c>
    </row>
    <row r="3234" spans="1:21">
      <c r="A3234" t="str">
        <f>"600822"</f>
        <v>600822</v>
      </c>
      <c r="B3234" t="s">
        <v>6295</v>
      </c>
      <c r="C3234">
        <v>0.12</v>
      </c>
      <c r="D3234">
        <v>8.44</v>
      </c>
      <c r="E3234">
        <v>0.01</v>
      </c>
      <c r="F3234">
        <v>8.44</v>
      </c>
      <c r="G3234">
        <v>8.45</v>
      </c>
      <c r="H3234">
        <v>11940</v>
      </c>
      <c r="I3234">
        <v>157</v>
      </c>
      <c r="J3234">
        <v>0</v>
      </c>
      <c r="K3234">
        <v>0.3</v>
      </c>
      <c r="L3234">
        <v>1004.57</v>
      </c>
      <c r="M3234" t="s">
        <v>6296</v>
      </c>
      <c r="N3234" t="s">
        <v>189</v>
      </c>
      <c r="O3234">
        <v>8.43</v>
      </c>
      <c r="P3234">
        <v>8.46</v>
      </c>
      <c r="Q3234">
        <v>8.36</v>
      </c>
      <c r="R3234">
        <v>8.43</v>
      </c>
      <c r="S3234">
        <v>21.33</v>
      </c>
      <c r="T3234">
        <v>0.83</v>
      </c>
      <c r="U3234" t="s">
        <v>848</v>
      </c>
    </row>
    <row r="3235" spans="1:21">
      <c r="A3235" t="str">
        <f>"600823"</f>
        <v>600823</v>
      </c>
      <c r="B3235" t="s">
        <v>6297</v>
      </c>
      <c r="C3235">
        <v>2.61</v>
      </c>
      <c r="D3235">
        <v>3.15</v>
      </c>
      <c r="E3235">
        <v>0.08</v>
      </c>
      <c r="F3235">
        <v>3.14</v>
      </c>
      <c r="G3235">
        <v>3.15</v>
      </c>
      <c r="H3235">
        <v>151072</v>
      </c>
      <c r="I3235">
        <v>11008</v>
      </c>
      <c r="J3235">
        <v>0.32</v>
      </c>
      <c r="K3235">
        <v>0.4</v>
      </c>
      <c r="L3235">
        <v>4694.14</v>
      </c>
      <c r="M3235" t="s">
        <v>6298</v>
      </c>
      <c r="N3235" t="s">
        <v>27</v>
      </c>
      <c r="O3235">
        <v>3.07</v>
      </c>
      <c r="P3235">
        <v>3.15</v>
      </c>
      <c r="Q3235">
        <v>3.05</v>
      </c>
      <c r="R3235">
        <v>3.07</v>
      </c>
      <c r="S3235">
        <v>7.45</v>
      </c>
      <c r="T3235">
        <v>1</v>
      </c>
      <c r="U3235" t="s">
        <v>848</v>
      </c>
    </row>
    <row r="3236" spans="1:21">
      <c r="A3236" t="str">
        <f>"600824"</f>
        <v>600824</v>
      </c>
      <c r="B3236" t="s">
        <v>6299</v>
      </c>
      <c r="C3236">
        <v>0</v>
      </c>
      <c r="D3236">
        <v>3.48</v>
      </c>
      <c r="E3236">
        <v>0</v>
      </c>
      <c r="F3236">
        <v>3.48</v>
      </c>
      <c r="G3236">
        <v>3.49</v>
      </c>
      <c r="H3236">
        <v>16334</v>
      </c>
      <c r="I3236">
        <v>305</v>
      </c>
      <c r="J3236">
        <v>-0.28</v>
      </c>
      <c r="K3236">
        <v>0.15</v>
      </c>
      <c r="L3236">
        <v>566.25</v>
      </c>
      <c r="M3236" t="s">
        <v>6300</v>
      </c>
      <c r="N3236" t="s">
        <v>258</v>
      </c>
      <c r="O3236">
        <v>3.49</v>
      </c>
      <c r="P3236">
        <v>3.49</v>
      </c>
      <c r="Q3236">
        <v>3.45</v>
      </c>
      <c r="R3236">
        <v>3.48</v>
      </c>
      <c r="S3236">
        <v>28.74</v>
      </c>
      <c r="T3236">
        <v>1.33</v>
      </c>
      <c r="U3236" t="s">
        <v>848</v>
      </c>
    </row>
    <row r="3237" spans="1:21">
      <c r="A3237" t="str">
        <f>"600825"</f>
        <v>600825</v>
      </c>
      <c r="B3237" t="s">
        <v>6301</v>
      </c>
      <c r="C3237">
        <v>0</v>
      </c>
      <c r="D3237">
        <v>4.09</v>
      </c>
      <c r="E3237">
        <v>0</v>
      </c>
      <c r="F3237">
        <v>4.08</v>
      </c>
      <c r="G3237">
        <v>4.09</v>
      </c>
      <c r="H3237">
        <v>45403</v>
      </c>
      <c r="I3237">
        <v>429</v>
      </c>
      <c r="J3237">
        <v>0.25</v>
      </c>
      <c r="K3237">
        <v>0.43</v>
      </c>
      <c r="L3237">
        <v>1851.78</v>
      </c>
      <c r="M3237" t="s">
        <v>6302</v>
      </c>
      <c r="N3237" t="s">
        <v>650</v>
      </c>
      <c r="O3237">
        <v>4.06</v>
      </c>
      <c r="P3237">
        <v>4.11</v>
      </c>
      <c r="Q3237">
        <v>4.04</v>
      </c>
      <c r="R3237">
        <v>4.09</v>
      </c>
      <c r="S3237">
        <v>139.24</v>
      </c>
      <c r="T3237">
        <v>0.84</v>
      </c>
      <c r="U3237" t="s">
        <v>848</v>
      </c>
    </row>
    <row r="3238" spans="1:21">
      <c r="A3238" t="str">
        <f>"600826"</f>
        <v>600826</v>
      </c>
      <c r="B3238" t="s">
        <v>6303</v>
      </c>
      <c r="C3238">
        <v>0.13</v>
      </c>
      <c r="D3238">
        <v>7.95</v>
      </c>
      <c r="E3238">
        <v>0.01</v>
      </c>
      <c r="F3238">
        <v>7.94</v>
      </c>
      <c r="G3238">
        <v>7.95</v>
      </c>
      <c r="H3238">
        <v>8464</v>
      </c>
      <c r="I3238">
        <v>153</v>
      </c>
      <c r="J3238">
        <v>0</v>
      </c>
      <c r="K3238">
        <v>0.2</v>
      </c>
      <c r="L3238">
        <v>670.1</v>
      </c>
      <c r="M3238" t="s">
        <v>6304</v>
      </c>
      <c r="N3238" t="s">
        <v>189</v>
      </c>
      <c r="O3238">
        <v>7.94</v>
      </c>
      <c r="P3238">
        <v>7.98</v>
      </c>
      <c r="Q3238">
        <v>7.88</v>
      </c>
      <c r="R3238">
        <v>7.94</v>
      </c>
      <c r="S3238">
        <v>41.03</v>
      </c>
      <c r="T3238">
        <v>0.6</v>
      </c>
      <c r="U3238" t="s">
        <v>848</v>
      </c>
    </row>
    <row r="3239" spans="1:21">
      <c r="A3239" t="str">
        <f>"600827"</f>
        <v>600827</v>
      </c>
      <c r="B3239" t="s">
        <v>6305</v>
      </c>
      <c r="C3239">
        <v>1.2</v>
      </c>
      <c r="D3239">
        <v>13.47</v>
      </c>
      <c r="E3239">
        <v>0.16</v>
      </c>
      <c r="F3239">
        <v>13.47</v>
      </c>
      <c r="G3239">
        <v>13.48</v>
      </c>
      <c r="H3239">
        <v>76168</v>
      </c>
      <c r="I3239">
        <v>1662</v>
      </c>
      <c r="J3239">
        <v>0</v>
      </c>
      <c r="K3239">
        <v>0.47</v>
      </c>
      <c r="L3239">
        <v>10206.08</v>
      </c>
      <c r="M3239" t="s">
        <v>6306</v>
      </c>
      <c r="N3239" t="s">
        <v>707</v>
      </c>
      <c r="O3239">
        <v>13.34</v>
      </c>
      <c r="P3239">
        <v>13.47</v>
      </c>
      <c r="Q3239">
        <v>13.31</v>
      </c>
      <c r="R3239">
        <v>13.31</v>
      </c>
      <c r="S3239">
        <v>31.1</v>
      </c>
      <c r="T3239">
        <v>0.65</v>
      </c>
      <c r="U3239" t="s">
        <v>848</v>
      </c>
    </row>
    <row r="3240" spans="1:21">
      <c r="A3240" t="str">
        <f>"600828"</f>
        <v>600828</v>
      </c>
      <c r="B3240" t="s">
        <v>6307</v>
      </c>
      <c r="C3240">
        <v>-0.29</v>
      </c>
      <c r="D3240">
        <v>3.41</v>
      </c>
      <c r="E3240">
        <v>-0.01</v>
      </c>
      <c r="F3240">
        <v>3.41</v>
      </c>
      <c r="G3240">
        <v>3.42</v>
      </c>
      <c r="H3240">
        <v>40082</v>
      </c>
      <c r="I3240">
        <v>596</v>
      </c>
      <c r="J3240">
        <v>-0.28</v>
      </c>
      <c r="K3240">
        <v>0.23</v>
      </c>
      <c r="L3240">
        <v>1361.5</v>
      </c>
      <c r="M3240" t="s">
        <v>6308</v>
      </c>
      <c r="N3240" t="s">
        <v>258</v>
      </c>
      <c r="O3240">
        <v>3.42</v>
      </c>
      <c r="P3240">
        <v>3.43</v>
      </c>
      <c r="Q3240">
        <v>3.38</v>
      </c>
      <c r="R3240">
        <v>3.42</v>
      </c>
      <c r="S3240">
        <v>12.26</v>
      </c>
      <c r="T3240">
        <v>1.78</v>
      </c>
      <c r="U3240" t="s">
        <v>196</v>
      </c>
    </row>
    <row r="3241" spans="1:21">
      <c r="A3241" t="str">
        <f>"600829"</f>
        <v>600829</v>
      </c>
      <c r="B3241" t="s">
        <v>6309</v>
      </c>
      <c r="C3241">
        <v>0.34</v>
      </c>
      <c r="D3241">
        <v>5.82</v>
      </c>
      <c r="E3241">
        <v>0.02</v>
      </c>
      <c r="F3241">
        <v>5.81</v>
      </c>
      <c r="G3241">
        <v>5.82</v>
      </c>
      <c r="H3241">
        <v>19557</v>
      </c>
      <c r="I3241">
        <v>1099</v>
      </c>
      <c r="J3241">
        <v>0.17</v>
      </c>
      <c r="K3241">
        <v>0.34</v>
      </c>
      <c r="L3241">
        <v>1128.21</v>
      </c>
      <c r="M3241" t="s">
        <v>6310</v>
      </c>
      <c r="N3241" t="s">
        <v>86</v>
      </c>
      <c r="O3241">
        <v>5.81</v>
      </c>
      <c r="P3241">
        <v>5.83</v>
      </c>
      <c r="Q3241">
        <v>5.72</v>
      </c>
      <c r="R3241">
        <v>5.8</v>
      </c>
      <c r="S3241">
        <v>10.8</v>
      </c>
      <c r="T3241">
        <v>0.81</v>
      </c>
      <c r="U3241" t="s">
        <v>445</v>
      </c>
    </row>
    <row r="3242" spans="1:21">
      <c r="A3242" t="str">
        <f>"600830"</f>
        <v>600830</v>
      </c>
      <c r="B3242" t="s">
        <v>6311</v>
      </c>
      <c r="C3242">
        <v>1.44</v>
      </c>
      <c r="D3242">
        <v>4.92</v>
      </c>
      <c r="E3242">
        <v>0.07</v>
      </c>
      <c r="F3242">
        <v>4.91</v>
      </c>
      <c r="G3242">
        <v>4.92</v>
      </c>
      <c r="H3242">
        <v>23181</v>
      </c>
      <c r="I3242">
        <v>1336</v>
      </c>
      <c r="J3242">
        <v>0.2</v>
      </c>
      <c r="K3242">
        <v>0.51</v>
      </c>
      <c r="L3242">
        <v>1133.64</v>
      </c>
      <c r="M3242" t="s">
        <v>4819</v>
      </c>
      <c r="N3242" t="s">
        <v>121</v>
      </c>
      <c r="O3242">
        <v>4.86</v>
      </c>
      <c r="P3242">
        <v>4.92</v>
      </c>
      <c r="Q3242">
        <v>4.83</v>
      </c>
      <c r="R3242">
        <v>4.85</v>
      </c>
      <c r="S3242">
        <v>45.3</v>
      </c>
      <c r="T3242">
        <v>0.8</v>
      </c>
      <c r="U3242" t="s">
        <v>200</v>
      </c>
    </row>
    <row r="3243" spans="1:21">
      <c r="A3243" t="str">
        <f>"600831"</f>
        <v>600831</v>
      </c>
      <c r="B3243" t="s">
        <v>6312</v>
      </c>
      <c r="C3243">
        <v>0.74</v>
      </c>
      <c r="D3243">
        <v>5.41</v>
      </c>
      <c r="E3243">
        <v>0.04</v>
      </c>
      <c r="F3243">
        <v>5.4</v>
      </c>
      <c r="G3243">
        <v>5.41</v>
      </c>
      <c r="H3243">
        <v>53674</v>
      </c>
      <c r="I3243">
        <v>1142</v>
      </c>
      <c r="J3243">
        <v>0</v>
      </c>
      <c r="K3243">
        <v>0.76</v>
      </c>
      <c r="L3243">
        <v>2894.3</v>
      </c>
      <c r="M3243" t="s">
        <v>6313</v>
      </c>
      <c r="N3243" t="s">
        <v>199</v>
      </c>
      <c r="O3243">
        <v>5.36</v>
      </c>
      <c r="P3243">
        <v>5.42</v>
      </c>
      <c r="Q3243">
        <v>5.34</v>
      </c>
      <c r="R3243">
        <v>5.37</v>
      </c>
      <c r="S3243">
        <v>52.88</v>
      </c>
      <c r="T3243">
        <v>0.59</v>
      </c>
      <c r="U3243" t="s">
        <v>317</v>
      </c>
    </row>
    <row r="3244" spans="1:21">
      <c r="A3244" t="str">
        <f>"600833"</f>
        <v>600833</v>
      </c>
      <c r="B3244" t="s">
        <v>6314</v>
      </c>
      <c r="C3244">
        <v>0.98</v>
      </c>
      <c r="D3244">
        <v>8.25</v>
      </c>
      <c r="E3244">
        <v>0.08</v>
      </c>
      <c r="F3244">
        <v>8.22</v>
      </c>
      <c r="G3244">
        <v>8.25</v>
      </c>
      <c r="H3244">
        <v>6513</v>
      </c>
      <c r="I3244">
        <v>64</v>
      </c>
      <c r="J3244">
        <v>0.24</v>
      </c>
      <c r="K3244">
        <v>0.29</v>
      </c>
      <c r="L3244">
        <v>533.77</v>
      </c>
      <c r="M3244" t="s">
        <v>6315</v>
      </c>
      <c r="N3244" t="s">
        <v>86</v>
      </c>
      <c r="O3244">
        <v>8.17</v>
      </c>
      <c r="P3244">
        <v>8.26</v>
      </c>
      <c r="Q3244">
        <v>8.11</v>
      </c>
      <c r="R3244">
        <v>8.17</v>
      </c>
      <c r="S3244">
        <v>38.38</v>
      </c>
      <c r="T3244">
        <v>0.9</v>
      </c>
      <c r="U3244" t="s">
        <v>848</v>
      </c>
    </row>
    <row r="3245" spans="1:21">
      <c r="A3245" t="str">
        <f>"600834"</f>
        <v>600834</v>
      </c>
      <c r="B3245" t="s">
        <v>6316</v>
      </c>
      <c r="C3245">
        <v>2.32</v>
      </c>
      <c r="D3245">
        <v>10.16</v>
      </c>
      <c r="E3245">
        <v>0.23</v>
      </c>
      <c r="F3245">
        <v>10.15</v>
      </c>
      <c r="G3245">
        <v>10.16</v>
      </c>
      <c r="H3245">
        <v>75081</v>
      </c>
      <c r="I3245">
        <v>781</v>
      </c>
      <c r="J3245">
        <v>0</v>
      </c>
      <c r="K3245">
        <v>1.57</v>
      </c>
      <c r="L3245">
        <v>7572.98</v>
      </c>
      <c r="M3245" t="s">
        <v>6317</v>
      </c>
      <c r="N3245" t="s">
        <v>2308</v>
      </c>
      <c r="O3245">
        <v>9.9</v>
      </c>
      <c r="P3245">
        <v>10.25</v>
      </c>
      <c r="Q3245">
        <v>9.8</v>
      </c>
      <c r="R3245">
        <v>9.93</v>
      </c>
      <c r="S3245">
        <v>63.34</v>
      </c>
      <c r="T3245">
        <v>2.37</v>
      </c>
      <c r="U3245" t="s">
        <v>848</v>
      </c>
    </row>
    <row r="3246" spans="1:21">
      <c r="A3246" t="str">
        <f>"600835"</f>
        <v>600835</v>
      </c>
      <c r="B3246" t="s">
        <v>6318</v>
      </c>
      <c r="C3246">
        <v>1.22</v>
      </c>
      <c r="D3246">
        <v>15.71</v>
      </c>
      <c r="E3246">
        <v>0.19</v>
      </c>
      <c r="F3246">
        <v>15.7</v>
      </c>
      <c r="G3246">
        <v>15.71</v>
      </c>
      <c r="H3246">
        <v>26664</v>
      </c>
      <c r="I3246">
        <v>1283</v>
      </c>
      <c r="J3246">
        <v>0.13</v>
      </c>
      <c r="K3246">
        <v>0.33</v>
      </c>
      <c r="L3246">
        <v>4154.31</v>
      </c>
      <c r="M3246" t="s">
        <v>6319</v>
      </c>
      <c r="N3246" t="s">
        <v>43</v>
      </c>
      <c r="O3246">
        <v>15.55</v>
      </c>
      <c r="P3246">
        <v>15.75</v>
      </c>
      <c r="Q3246">
        <v>15.4</v>
      </c>
      <c r="R3246">
        <v>15.52</v>
      </c>
      <c r="S3246">
        <v>12.88</v>
      </c>
      <c r="T3246">
        <v>0.61</v>
      </c>
      <c r="U3246" t="s">
        <v>848</v>
      </c>
    </row>
    <row r="3247" spans="1:21">
      <c r="A3247" t="str">
        <f>"600836"</f>
        <v>600836</v>
      </c>
      <c r="B3247" t="s">
        <v>6320</v>
      </c>
      <c r="C3247">
        <v>-0.77</v>
      </c>
      <c r="D3247">
        <v>6.45</v>
      </c>
      <c r="E3247">
        <v>-0.05</v>
      </c>
      <c r="F3247">
        <v>6.44</v>
      </c>
      <c r="G3247">
        <v>6.45</v>
      </c>
      <c r="H3247">
        <v>40463</v>
      </c>
      <c r="I3247">
        <v>899</v>
      </c>
      <c r="J3247">
        <v>0.16</v>
      </c>
      <c r="K3247">
        <v>0.61</v>
      </c>
      <c r="L3247">
        <v>2608.61</v>
      </c>
      <c r="M3247" t="s">
        <v>6321</v>
      </c>
      <c r="N3247" t="s">
        <v>482</v>
      </c>
      <c r="O3247">
        <v>6.49</v>
      </c>
      <c r="P3247">
        <v>6.51</v>
      </c>
      <c r="Q3247">
        <v>6.41</v>
      </c>
      <c r="R3247">
        <v>6.5</v>
      </c>
      <c r="S3247">
        <v>25.02</v>
      </c>
      <c r="T3247">
        <v>0.67</v>
      </c>
      <c r="U3247" t="s">
        <v>848</v>
      </c>
    </row>
    <row r="3248" spans="1:21">
      <c r="A3248" t="str">
        <f>"600837"</f>
        <v>600837</v>
      </c>
      <c r="B3248" t="s">
        <v>6322</v>
      </c>
      <c r="C3248">
        <v>1.15</v>
      </c>
      <c r="D3248">
        <v>12.28</v>
      </c>
      <c r="E3248">
        <v>0.14</v>
      </c>
      <c r="F3248">
        <v>12.28</v>
      </c>
      <c r="G3248">
        <v>12.29</v>
      </c>
      <c r="H3248">
        <v>454670</v>
      </c>
      <c r="I3248">
        <v>4990</v>
      </c>
      <c r="J3248">
        <v>0</v>
      </c>
      <c r="K3248">
        <v>0.54</v>
      </c>
      <c r="L3248">
        <v>55627.15</v>
      </c>
      <c r="M3248" t="s">
        <v>6323</v>
      </c>
      <c r="N3248" t="s">
        <v>213</v>
      </c>
      <c r="O3248">
        <v>12.11</v>
      </c>
      <c r="P3248">
        <v>12.34</v>
      </c>
      <c r="Q3248">
        <v>12.11</v>
      </c>
      <c r="R3248">
        <v>12.14</v>
      </c>
      <c r="S3248">
        <v>10.17</v>
      </c>
      <c r="T3248">
        <v>1.1</v>
      </c>
      <c r="U3248" t="s">
        <v>848</v>
      </c>
    </row>
    <row r="3249" spans="1:21">
      <c r="A3249" t="str">
        <f>"600838"</f>
        <v>600838</v>
      </c>
      <c r="B3249" t="s">
        <v>6324</v>
      </c>
      <c r="C3249">
        <v>0.68</v>
      </c>
      <c r="D3249">
        <v>5.92</v>
      </c>
      <c r="E3249">
        <v>0.04</v>
      </c>
      <c r="F3249">
        <v>5.91</v>
      </c>
      <c r="G3249">
        <v>5.92</v>
      </c>
      <c r="H3249">
        <v>18610</v>
      </c>
      <c r="I3249">
        <v>259</v>
      </c>
      <c r="J3249">
        <v>0.17</v>
      </c>
      <c r="K3249">
        <v>0.46</v>
      </c>
      <c r="L3249">
        <v>1100.44</v>
      </c>
      <c r="M3249" t="s">
        <v>6325</v>
      </c>
      <c r="N3249" t="s">
        <v>258</v>
      </c>
      <c r="O3249">
        <v>5.86</v>
      </c>
      <c r="P3249">
        <v>5.98</v>
      </c>
      <c r="Q3249">
        <v>5.85</v>
      </c>
      <c r="R3249">
        <v>5.88</v>
      </c>
      <c r="S3249">
        <v>21.14</v>
      </c>
      <c r="T3249">
        <v>1.12</v>
      </c>
      <c r="U3249" t="s">
        <v>848</v>
      </c>
    </row>
    <row r="3250" spans="1:21">
      <c r="A3250" t="str">
        <f>"600839"</f>
        <v>600839</v>
      </c>
      <c r="B3250" t="s">
        <v>6326</v>
      </c>
      <c r="C3250">
        <v>2.77</v>
      </c>
      <c r="D3250">
        <v>2.97</v>
      </c>
      <c r="E3250">
        <v>0.08</v>
      </c>
      <c r="F3250">
        <v>2.97</v>
      </c>
      <c r="G3250">
        <v>2.98</v>
      </c>
      <c r="H3250">
        <v>938546</v>
      </c>
      <c r="I3250">
        <v>5390</v>
      </c>
      <c r="J3250">
        <v>-0.33</v>
      </c>
      <c r="K3250">
        <v>2.03</v>
      </c>
      <c r="L3250">
        <v>27923.63</v>
      </c>
      <c r="M3250" t="s">
        <v>6327</v>
      </c>
      <c r="N3250" t="s">
        <v>60</v>
      </c>
      <c r="O3250">
        <v>2.89</v>
      </c>
      <c r="P3250">
        <v>3.04</v>
      </c>
      <c r="Q3250">
        <v>2.88</v>
      </c>
      <c r="R3250">
        <v>2.89</v>
      </c>
      <c r="S3250">
        <v>60.71</v>
      </c>
      <c r="T3250">
        <v>2.34</v>
      </c>
      <c r="U3250" t="s">
        <v>196</v>
      </c>
    </row>
    <row r="3251" spans="1:21">
      <c r="A3251" t="str">
        <f>"600841"</f>
        <v>600841</v>
      </c>
      <c r="B3251" t="s">
        <v>6328</v>
      </c>
      <c r="C3251">
        <v>0.26</v>
      </c>
      <c r="D3251">
        <v>11.41</v>
      </c>
      <c r="E3251">
        <v>0.03</v>
      </c>
      <c r="F3251">
        <v>11.4</v>
      </c>
      <c r="G3251">
        <v>11.41</v>
      </c>
      <c r="H3251">
        <v>40159</v>
      </c>
      <c r="I3251">
        <v>477</v>
      </c>
      <c r="J3251">
        <v>-0.08</v>
      </c>
      <c r="K3251">
        <v>0.77</v>
      </c>
      <c r="L3251">
        <v>4586.63</v>
      </c>
      <c r="M3251" t="s">
        <v>6329</v>
      </c>
      <c r="N3251" t="s">
        <v>347</v>
      </c>
      <c r="O3251">
        <v>11.32</v>
      </c>
      <c r="P3251">
        <v>11.58</v>
      </c>
      <c r="Q3251">
        <v>11.23</v>
      </c>
      <c r="R3251">
        <v>11.38</v>
      </c>
      <c r="S3251">
        <v>29.47</v>
      </c>
      <c r="T3251">
        <v>0.88</v>
      </c>
      <c r="U3251" t="s">
        <v>848</v>
      </c>
    </row>
    <row r="3252" spans="1:21">
      <c r="A3252" t="str">
        <f>"600843"</f>
        <v>600843</v>
      </c>
      <c r="B3252" t="s">
        <v>6330</v>
      </c>
      <c r="C3252">
        <v>1.21</v>
      </c>
      <c r="D3252">
        <v>5.86</v>
      </c>
      <c r="E3252">
        <v>0.07</v>
      </c>
      <c r="F3252">
        <v>5.86</v>
      </c>
      <c r="G3252">
        <v>5.87</v>
      </c>
      <c r="H3252">
        <v>32020</v>
      </c>
      <c r="I3252">
        <v>318</v>
      </c>
      <c r="J3252">
        <v>0</v>
      </c>
      <c r="K3252">
        <v>1.05</v>
      </c>
      <c r="L3252">
        <v>1885.41</v>
      </c>
      <c r="M3252" t="s">
        <v>6331</v>
      </c>
      <c r="N3252" t="s">
        <v>1135</v>
      </c>
      <c r="O3252">
        <v>5.83</v>
      </c>
      <c r="P3252">
        <v>5.99</v>
      </c>
      <c r="Q3252">
        <v>5.79</v>
      </c>
      <c r="R3252">
        <v>5.79</v>
      </c>
      <c r="S3252">
        <v>35.91</v>
      </c>
      <c r="T3252">
        <v>2.19</v>
      </c>
      <c r="U3252" t="s">
        <v>848</v>
      </c>
    </row>
    <row r="3253" spans="1:21">
      <c r="A3253" t="str">
        <f>"600844"</f>
        <v>600844</v>
      </c>
      <c r="B3253" t="s">
        <v>6332</v>
      </c>
      <c r="C3253">
        <v>0.59</v>
      </c>
      <c r="D3253">
        <v>3.4</v>
      </c>
      <c r="E3253">
        <v>0.02</v>
      </c>
      <c r="F3253">
        <v>3.39</v>
      </c>
      <c r="G3253">
        <v>3.4</v>
      </c>
      <c r="H3253">
        <v>114827</v>
      </c>
      <c r="I3253">
        <v>844</v>
      </c>
      <c r="J3253">
        <v>0.3</v>
      </c>
      <c r="K3253">
        <v>1.4</v>
      </c>
      <c r="L3253">
        <v>3874.3</v>
      </c>
      <c r="M3253" t="s">
        <v>816</v>
      </c>
      <c r="N3253" t="s">
        <v>309</v>
      </c>
      <c r="O3253">
        <v>3.36</v>
      </c>
      <c r="P3253">
        <v>3.42</v>
      </c>
      <c r="Q3253">
        <v>3.32</v>
      </c>
      <c r="R3253">
        <v>3.38</v>
      </c>
      <c r="S3253" t="s">
        <v>40</v>
      </c>
      <c r="T3253">
        <v>0.78</v>
      </c>
      <c r="U3253" t="s">
        <v>102</v>
      </c>
    </row>
    <row r="3254" spans="1:21">
      <c r="A3254" t="str">
        <f>"600845"</f>
        <v>600845</v>
      </c>
      <c r="B3254" t="s">
        <v>6333</v>
      </c>
      <c r="C3254">
        <v>-1.8</v>
      </c>
      <c r="D3254">
        <v>70.51</v>
      </c>
      <c r="E3254">
        <v>-1.29</v>
      </c>
      <c r="F3254">
        <v>70.51</v>
      </c>
      <c r="G3254">
        <v>70.52</v>
      </c>
      <c r="H3254">
        <v>31358</v>
      </c>
      <c r="I3254">
        <v>560</v>
      </c>
      <c r="J3254">
        <v>-0.05</v>
      </c>
      <c r="K3254">
        <v>0.29</v>
      </c>
      <c r="L3254">
        <v>22245.22</v>
      </c>
      <c r="M3254" t="s">
        <v>6334</v>
      </c>
      <c r="N3254" t="s">
        <v>30</v>
      </c>
      <c r="O3254">
        <v>71.61</v>
      </c>
      <c r="P3254">
        <v>72.05</v>
      </c>
      <c r="Q3254">
        <v>70.49</v>
      </c>
      <c r="R3254">
        <v>71.8</v>
      </c>
      <c r="S3254">
        <v>56.79</v>
      </c>
      <c r="T3254">
        <v>0.63</v>
      </c>
      <c r="U3254" t="s">
        <v>848</v>
      </c>
    </row>
    <row r="3255" spans="1:21">
      <c r="A3255" t="str">
        <f>"600846"</f>
        <v>600846</v>
      </c>
      <c r="B3255" t="s">
        <v>6335</v>
      </c>
      <c r="C3255">
        <v>0.89</v>
      </c>
      <c r="D3255">
        <v>7.91</v>
      </c>
      <c r="E3255">
        <v>0.07</v>
      </c>
      <c r="F3255">
        <v>7.9</v>
      </c>
      <c r="G3255">
        <v>7.91</v>
      </c>
      <c r="H3255">
        <v>30090</v>
      </c>
      <c r="I3255">
        <v>416</v>
      </c>
      <c r="J3255">
        <v>0</v>
      </c>
      <c r="K3255">
        <v>0.48</v>
      </c>
      <c r="L3255">
        <v>2371.33</v>
      </c>
      <c r="M3255" t="s">
        <v>6336</v>
      </c>
      <c r="N3255" t="s">
        <v>50</v>
      </c>
      <c r="O3255">
        <v>7.83</v>
      </c>
      <c r="P3255">
        <v>7.94</v>
      </c>
      <c r="Q3255">
        <v>7.82</v>
      </c>
      <c r="R3255">
        <v>7.84</v>
      </c>
      <c r="S3255">
        <v>9.22</v>
      </c>
      <c r="T3255">
        <v>1.11</v>
      </c>
      <c r="U3255" t="s">
        <v>848</v>
      </c>
    </row>
    <row r="3256" spans="1:21">
      <c r="A3256" t="str">
        <f>"600847"</f>
        <v>600847</v>
      </c>
      <c r="B3256" t="s">
        <v>6337</v>
      </c>
      <c r="C3256">
        <v>0.22</v>
      </c>
      <c r="D3256">
        <v>9.14</v>
      </c>
      <c r="E3256">
        <v>0.02</v>
      </c>
      <c r="F3256">
        <v>9.14</v>
      </c>
      <c r="G3256">
        <v>9.15</v>
      </c>
      <c r="H3256">
        <v>10077</v>
      </c>
      <c r="I3256">
        <v>20</v>
      </c>
      <c r="J3256">
        <v>-0.1</v>
      </c>
      <c r="K3256">
        <v>0.66</v>
      </c>
      <c r="L3256">
        <v>915.86</v>
      </c>
      <c r="M3256" t="s">
        <v>6338</v>
      </c>
      <c r="N3256" t="s">
        <v>47</v>
      </c>
      <c r="O3256">
        <v>9.12</v>
      </c>
      <c r="P3256">
        <v>9.23</v>
      </c>
      <c r="Q3256">
        <v>8.95</v>
      </c>
      <c r="R3256">
        <v>9.12</v>
      </c>
      <c r="S3256" t="s">
        <v>40</v>
      </c>
      <c r="T3256">
        <v>0.86</v>
      </c>
      <c r="U3256" t="s">
        <v>314</v>
      </c>
    </row>
    <row r="3257" spans="1:21">
      <c r="A3257" t="str">
        <f>"600848"</f>
        <v>600848</v>
      </c>
      <c r="B3257" t="s">
        <v>6339</v>
      </c>
      <c r="C3257">
        <v>1.19</v>
      </c>
      <c r="D3257">
        <v>14.45</v>
      </c>
      <c r="E3257">
        <v>0.17</v>
      </c>
      <c r="F3257">
        <v>14.44</v>
      </c>
      <c r="G3257">
        <v>14.45</v>
      </c>
      <c r="H3257">
        <v>30450</v>
      </c>
      <c r="I3257">
        <v>251</v>
      </c>
      <c r="J3257">
        <v>-0.06</v>
      </c>
      <c r="K3257">
        <v>0.21</v>
      </c>
      <c r="L3257">
        <v>4371.33</v>
      </c>
      <c r="M3257" t="s">
        <v>6340</v>
      </c>
      <c r="N3257" t="s">
        <v>520</v>
      </c>
      <c r="O3257">
        <v>14.35</v>
      </c>
      <c r="P3257">
        <v>14.46</v>
      </c>
      <c r="Q3257">
        <v>14.24</v>
      </c>
      <c r="R3257">
        <v>14.28</v>
      </c>
      <c r="S3257">
        <v>20.25</v>
      </c>
      <c r="T3257">
        <v>1.29</v>
      </c>
      <c r="U3257" t="s">
        <v>848</v>
      </c>
    </row>
    <row r="3258" spans="1:21">
      <c r="A3258" t="str">
        <f>"600850"</f>
        <v>600850</v>
      </c>
      <c r="B3258" t="s">
        <v>6341</v>
      </c>
      <c r="C3258">
        <v>1.65</v>
      </c>
      <c r="D3258">
        <v>38.27</v>
      </c>
      <c r="E3258">
        <v>0.62</v>
      </c>
      <c r="F3258">
        <v>38.27</v>
      </c>
      <c r="G3258">
        <v>38.29</v>
      </c>
      <c r="H3258">
        <v>80729</v>
      </c>
      <c r="I3258">
        <v>712</v>
      </c>
      <c r="J3258">
        <v>-0.2</v>
      </c>
      <c r="K3258">
        <v>1.89</v>
      </c>
      <c r="L3258">
        <v>31246.21</v>
      </c>
      <c r="M3258" t="s">
        <v>6342</v>
      </c>
      <c r="N3258" t="s">
        <v>30</v>
      </c>
      <c r="O3258">
        <v>37.56</v>
      </c>
      <c r="P3258">
        <v>39.5</v>
      </c>
      <c r="Q3258">
        <v>37.56</v>
      </c>
      <c r="R3258">
        <v>37.65</v>
      </c>
      <c r="S3258">
        <v>46.95</v>
      </c>
      <c r="T3258">
        <v>0.72</v>
      </c>
      <c r="U3258" t="s">
        <v>848</v>
      </c>
    </row>
    <row r="3259" spans="1:21">
      <c r="A3259" t="str">
        <f>"600851"</f>
        <v>600851</v>
      </c>
      <c r="B3259" t="s">
        <v>6343</v>
      </c>
      <c r="C3259">
        <v>0.23</v>
      </c>
      <c r="D3259">
        <v>8.89</v>
      </c>
      <c r="E3259">
        <v>0.02</v>
      </c>
      <c r="F3259">
        <v>8.88</v>
      </c>
      <c r="G3259">
        <v>8.89</v>
      </c>
      <c r="H3259">
        <v>11924</v>
      </c>
      <c r="I3259">
        <v>64</v>
      </c>
      <c r="J3259">
        <v>-0.21</v>
      </c>
      <c r="K3259">
        <v>0.16</v>
      </c>
      <c r="L3259">
        <v>1052.81</v>
      </c>
      <c r="M3259" t="s">
        <v>6344</v>
      </c>
      <c r="N3259" t="s">
        <v>192</v>
      </c>
      <c r="O3259">
        <v>8.88</v>
      </c>
      <c r="P3259">
        <v>8.91</v>
      </c>
      <c r="Q3259">
        <v>8.75</v>
      </c>
      <c r="R3259">
        <v>8.87</v>
      </c>
      <c r="S3259">
        <v>53.86</v>
      </c>
      <c r="T3259">
        <v>0.73</v>
      </c>
      <c r="U3259" t="s">
        <v>848</v>
      </c>
    </row>
    <row r="3260" spans="1:21">
      <c r="A3260" t="str">
        <f>"600853"</f>
        <v>600853</v>
      </c>
      <c r="B3260" t="s">
        <v>6345</v>
      </c>
      <c r="C3260">
        <v>1.21</v>
      </c>
      <c r="D3260">
        <v>2.5</v>
      </c>
      <c r="E3260">
        <v>0.03</v>
      </c>
      <c r="F3260">
        <v>2.49</v>
      </c>
      <c r="G3260">
        <v>2.5</v>
      </c>
      <c r="H3260">
        <v>39412</v>
      </c>
      <c r="I3260">
        <v>415</v>
      </c>
      <c r="J3260">
        <v>0.4</v>
      </c>
      <c r="K3260">
        <v>0.39</v>
      </c>
      <c r="L3260">
        <v>976</v>
      </c>
      <c r="M3260" t="s">
        <v>6346</v>
      </c>
      <c r="N3260" t="s">
        <v>50</v>
      </c>
      <c r="O3260">
        <v>2.47</v>
      </c>
      <c r="P3260">
        <v>2.5</v>
      </c>
      <c r="Q3260">
        <v>2.45</v>
      </c>
      <c r="R3260">
        <v>2.47</v>
      </c>
      <c r="S3260">
        <v>12.91</v>
      </c>
      <c r="T3260">
        <v>0.83</v>
      </c>
      <c r="U3260" t="s">
        <v>445</v>
      </c>
    </row>
    <row r="3261" spans="1:21">
      <c r="A3261" t="str">
        <f>"600854"</f>
        <v>600854</v>
      </c>
      <c r="B3261" t="s">
        <v>6347</v>
      </c>
      <c r="C3261">
        <v>-0.46</v>
      </c>
      <c r="D3261">
        <v>4.3</v>
      </c>
      <c r="E3261">
        <v>-0.02</v>
      </c>
      <c r="F3261">
        <v>4.29</v>
      </c>
      <c r="G3261">
        <v>4.3</v>
      </c>
      <c r="H3261">
        <v>153373</v>
      </c>
      <c r="I3261">
        <v>2257</v>
      </c>
      <c r="J3261">
        <v>0.47</v>
      </c>
      <c r="K3261">
        <v>2.95</v>
      </c>
      <c r="L3261">
        <v>6478.73</v>
      </c>
      <c r="M3261" t="s">
        <v>6348</v>
      </c>
      <c r="N3261" t="s">
        <v>60</v>
      </c>
      <c r="O3261">
        <v>4.27</v>
      </c>
      <c r="P3261">
        <v>4.34</v>
      </c>
      <c r="Q3261">
        <v>4.14</v>
      </c>
      <c r="R3261">
        <v>4.32</v>
      </c>
      <c r="S3261">
        <v>17.14</v>
      </c>
      <c r="T3261">
        <v>0.73</v>
      </c>
      <c r="U3261" t="s">
        <v>102</v>
      </c>
    </row>
    <row r="3262" spans="1:21">
      <c r="A3262" t="str">
        <f>"600855"</f>
        <v>600855</v>
      </c>
      <c r="B3262" t="s">
        <v>6349</v>
      </c>
      <c r="C3262">
        <v>2.32</v>
      </c>
      <c r="D3262">
        <v>12.79</v>
      </c>
      <c r="E3262">
        <v>0.29</v>
      </c>
      <c r="F3262">
        <v>12.78</v>
      </c>
      <c r="G3262">
        <v>12.79</v>
      </c>
      <c r="H3262">
        <v>43507</v>
      </c>
      <c r="I3262">
        <v>495</v>
      </c>
      <c r="J3262">
        <v>0.08</v>
      </c>
      <c r="K3262">
        <v>1.24</v>
      </c>
      <c r="L3262">
        <v>5545.16</v>
      </c>
      <c r="M3262" t="s">
        <v>6350</v>
      </c>
      <c r="N3262" t="s">
        <v>324</v>
      </c>
      <c r="O3262">
        <v>12.46</v>
      </c>
      <c r="P3262">
        <v>12.88</v>
      </c>
      <c r="Q3262">
        <v>12.45</v>
      </c>
      <c r="R3262">
        <v>12.5</v>
      </c>
      <c r="S3262">
        <v>49.02</v>
      </c>
      <c r="T3262">
        <v>0.88</v>
      </c>
      <c r="U3262" t="s">
        <v>44</v>
      </c>
    </row>
    <row r="3263" spans="1:21">
      <c r="A3263" t="str">
        <f>"600856"</f>
        <v>600856</v>
      </c>
      <c r="B3263" t="s">
        <v>6351</v>
      </c>
      <c r="C3263">
        <v>-3.53</v>
      </c>
      <c r="D3263">
        <v>2.73</v>
      </c>
      <c r="E3263">
        <v>-0.1</v>
      </c>
      <c r="F3263">
        <v>2.73</v>
      </c>
      <c r="G3263">
        <v>2.74</v>
      </c>
      <c r="H3263">
        <v>1073031</v>
      </c>
      <c r="I3263">
        <v>9801</v>
      </c>
      <c r="J3263">
        <v>-1.08</v>
      </c>
      <c r="K3263">
        <v>7.88</v>
      </c>
      <c r="L3263">
        <v>29336.84</v>
      </c>
      <c r="M3263" t="s">
        <v>6352</v>
      </c>
      <c r="N3263" t="s">
        <v>238</v>
      </c>
      <c r="O3263">
        <v>2.76</v>
      </c>
      <c r="P3263">
        <v>2.9</v>
      </c>
      <c r="Q3263">
        <v>2.69</v>
      </c>
      <c r="R3263">
        <v>2.83</v>
      </c>
      <c r="S3263" t="s">
        <v>40</v>
      </c>
      <c r="T3263">
        <v>1.11</v>
      </c>
      <c r="U3263" t="s">
        <v>44</v>
      </c>
    </row>
    <row r="3264" spans="1:21">
      <c r="A3264" t="str">
        <f>"600857"</f>
        <v>600857</v>
      </c>
      <c r="B3264" t="s">
        <v>6353</v>
      </c>
      <c r="C3264">
        <v>1.09</v>
      </c>
      <c r="D3264">
        <v>9.3</v>
      </c>
      <c r="E3264">
        <v>0.1</v>
      </c>
      <c r="F3264">
        <v>9.28</v>
      </c>
      <c r="G3264">
        <v>9.3</v>
      </c>
      <c r="H3264">
        <v>8281</v>
      </c>
      <c r="I3264">
        <v>36</v>
      </c>
      <c r="J3264">
        <v>0</v>
      </c>
      <c r="K3264">
        <v>0.37</v>
      </c>
      <c r="L3264">
        <v>767.78</v>
      </c>
      <c r="M3264" t="s">
        <v>6354</v>
      </c>
      <c r="N3264" t="s">
        <v>258</v>
      </c>
      <c r="O3264">
        <v>9.27</v>
      </c>
      <c r="P3264">
        <v>9.37</v>
      </c>
      <c r="Q3264">
        <v>9.17</v>
      </c>
      <c r="R3264">
        <v>9.2</v>
      </c>
      <c r="S3264">
        <v>50.67</v>
      </c>
      <c r="T3264">
        <v>0.64</v>
      </c>
      <c r="U3264" t="s">
        <v>200</v>
      </c>
    </row>
    <row r="3265" spans="1:21">
      <c r="A3265" t="str">
        <f>"600858"</f>
        <v>600858</v>
      </c>
      <c r="B3265" t="s">
        <v>6355</v>
      </c>
      <c r="C3265">
        <v>1.58</v>
      </c>
      <c r="D3265">
        <v>5.14</v>
      </c>
      <c r="E3265">
        <v>0.08</v>
      </c>
      <c r="F3265">
        <v>5.13</v>
      </c>
      <c r="G3265">
        <v>5.14</v>
      </c>
      <c r="H3265">
        <v>17867</v>
      </c>
      <c r="I3265">
        <v>423</v>
      </c>
      <c r="J3265">
        <v>0</v>
      </c>
      <c r="K3265">
        <v>0.35</v>
      </c>
      <c r="L3265">
        <v>907.16</v>
      </c>
      <c r="M3265" t="s">
        <v>6356</v>
      </c>
      <c r="N3265" t="s">
        <v>258</v>
      </c>
      <c r="O3265">
        <v>5.06</v>
      </c>
      <c r="P3265">
        <v>5.16</v>
      </c>
      <c r="Q3265">
        <v>4.98</v>
      </c>
      <c r="R3265">
        <v>5.06</v>
      </c>
      <c r="S3265">
        <v>35.26</v>
      </c>
      <c r="T3265">
        <v>1.52</v>
      </c>
      <c r="U3265" t="s">
        <v>221</v>
      </c>
    </row>
    <row r="3266" spans="1:21">
      <c r="A3266" t="str">
        <f>"600859"</f>
        <v>600859</v>
      </c>
      <c r="B3266" t="s">
        <v>6357</v>
      </c>
      <c r="C3266">
        <v>1.41</v>
      </c>
      <c r="D3266">
        <v>30.83</v>
      </c>
      <c r="E3266">
        <v>0.43</v>
      </c>
      <c r="F3266">
        <v>30.83</v>
      </c>
      <c r="G3266">
        <v>30.84</v>
      </c>
      <c r="H3266">
        <v>75348</v>
      </c>
      <c r="I3266">
        <v>1953</v>
      </c>
      <c r="J3266">
        <v>0.06</v>
      </c>
      <c r="K3266">
        <v>0.77</v>
      </c>
      <c r="L3266">
        <v>23116.1</v>
      </c>
      <c r="M3266" t="s">
        <v>6358</v>
      </c>
      <c r="N3266" t="s">
        <v>258</v>
      </c>
      <c r="O3266">
        <v>30.27</v>
      </c>
      <c r="P3266">
        <v>30.85</v>
      </c>
      <c r="Q3266">
        <v>30.27</v>
      </c>
      <c r="R3266">
        <v>30.4</v>
      </c>
      <c r="S3266">
        <v>38.37</v>
      </c>
      <c r="T3266">
        <v>0.78</v>
      </c>
      <c r="U3266" t="s">
        <v>44</v>
      </c>
    </row>
    <row r="3267" spans="1:21">
      <c r="A3267" t="str">
        <f>"600860"</f>
        <v>600860</v>
      </c>
      <c r="B3267" t="s">
        <v>6359</v>
      </c>
      <c r="C3267">
        <v>9.94</v>
      </c>
      <c r="D3267">
        <v>7.08</v>
      </c>
      <c r="E3267">
        <v>0.64</v>
      </c>
      <c r="F3267">
        <v>7.08</v>
      </c>
      <c r="G3267" t="s">
        <v>40</v>
      </c>
      <c r="H3267">
        <v>88576</v>
      </c>
      <c r="I3267">
        <v>54</v>
      </c>
      <c r="J3267">
        <v>0</v>
      </c>
      <c r="K3267">
        <v>2.75</v>
      </c>
      <c r="L3267">
        <v>6059.57</v>
      </c>
      <c r="M3267" t="s">
        <v>2330</v>
      </c>
      <c r="N3267" t="s">
        <v>324</v>
      </c>
      <c r="O3267">
        <v>6.46</v>
      </c>
      <c r="P3267">
        <v>7.08</v>
      </c>
      <c r="Q3267">
        <v>6.35</v>
      </c>
      <c r="R3267">
        <v>6.44</v>
      </c>
      <c r="S3267" t="s">
        <v>40</v>
      </c>
      <c r="T3267">
        <v>1.99</v>
      </c>
      <c r="U3267" t="s">
        <v>44</v>
      </c>
    </row>
    <row r="3268" spans="1:21">
      <c r="A3268" t="str">
        <f>"600861"</f>
        <v>600861</v>
      </c>
      <c r="B3268" t="s">
        <v>6360</v>
      </c>
      <c r="C3268">
        <v>-2.45</v>
      </c>
      <c r="D3268">
        <v>22.65</v>
      </c>
      <c r="E3268">
        <v>-0.57</v>
      </c>
      <c r="F3268">
        <v>22.65</v>
      </c>
      <c r="G3268">
        <v>22.68</v>
      </c>
      <c r="H3268">
        <v>42822</v>
      </c>
      <c r="I3268">
        <v>390</v>
      </c>
      <c r="J3268">
        <v>-0.21</v>
      </c>
      <c r="K3268">
        <v>1.35</v>
      </c>
      <c r="L3268">
        <v>9728.04</v>
      </c>
      <c r="M3268" t="s">
        <v>4890</v>
      </c>
      <c r="N3268" t="s">
        <v>258</v>
      </c>
      <c r="O3268">
        <v>23.02</v>
      </c>
      <c r="P3268">
        <v>23.18</v>
      </c>
      <c r="Q3268">
        <v>22.4</v>
      </c>
      <c r="R3268">
        <v>23.22</v>
      </c>
      <c r="S3268" t="s">
        <v>40</v>
      </c>
      <c r="T3268">
        <v>0.83</v>
      </c>
      <c r="U3268" t="s">
        <v>44</v>
      </c>
    </row>
    <row r="3269" spans="1:21">
      <c r="A3269" t="str">
        <f>"600862"</f>
        <v>600862</v>
      </c>
      <c r="B3269" t="s">
        <v>6361</v>
      </c>
      <c r="C3269">
        <v>1.3</v>
      </c>
      <c r="D3269">
        <v>36.7</v>
      </c>
      <c r="E3269">
        <v>0.47</v>
      </c>
      <c r="F3269">
        <v>36.7</v>
      </c>
      <c r="G3269">
        <v>36.71</v>
      </c>
      <c r="H3269">
        <v>130796</v>
      </c>
      <c r="I3269">
        <v>1628</v>
      </c>
      <c r="J3269">
        <v>0.16</v>
      </c>
      <c r="K3269">
        <v>0.94</v>
      </c>
      <c r="L3269">
        <v>47973.52</v>
      </c>
      <c r="M3269" t="s">
        <v>6362</v>
      </c>
      <c r="N3269" t="s">
        <v>611</v>
      </c>
      <c r="O3269">
        <v>36.76</v>
      </c>
      <c r="P3269">
        <v>37.2</v>
      </c>
      <c r="Q3269">
        <v>36.24</v>
      </c>
      <c r="R3269">
        <v>36.23</v>
      </c>
      <c r="S3269">
        <v>67.46</v>
      </c>
      <c r="T3269">
        <v>0.96</v>
      </c>
      <c r="U3269" t="s">
        <v>102</v>
      </c>
    </row>
    <row r="3270" spans="1:21">
      <c r="A3270" t="str">
        <f>"600863"</f>
        <v>600863</v>
      </c>
      <c r="B3270" t="s">
        <v>6363</v>
      </c>
      <c r="C3270">
        <v>-1.25</v>
      </c>
      <c r="D3270">
        <v>3.17</v>
      </c>
      <c r="E3270">
        <v>-0.04</v>
      </c>
      <c r="F3270">
        <v>3.16</v>
      </c>
      <c r="G3270">
        <v>3.17</v>
      </c>
      <c r="H3270">
        <v>1124231</v>
      </c>
      <c r="I3270">
        <v>21227</v>
      </c>
      <c r="J3270">
        <v>0.32</v>
      </c>
      <c r="K3270">
        <v>1.72</v>
      </c>
      <c r="L3270">
        <v>35122.11</v>
      </c>
      <c r="M3270" t="s">
        <v>6364</v>
      </c>
      <c r="N3270" t="s">
        <v>83</v>
      </c>
      <c r="O3270">
        <v>3.16</v>
      </c>
      <c r="P3270">
        <v>3.17</v>
      </c>
      <c r="Q3270">
        <v>3.09</v>
      </c>
      <c r="R3270">
        <v>3.21</v>
      </c>
      <c r="S3270">
        <v>75.76</v>
      </c>
      <c r="T3270">
        <v>0.82</v>
      </c>
      <c r="U3270" t="s">
        <v>275</v>
      </c>
    </row>
    <row r="3271" spans="1:21">
      <c r="A3271" t="str">
        <f>"600864"</f>
        <v>600864</v>
      </c>
      <c r="B3271" t="s">
        <v>6365</v>
      </c>
      <c r="C3271">
        <v>1.95</v>
      </c>
      <c r="D3271">
        <v>5.75</v>
      </c>
      <c r="E3271">
        <v>0.11</v>
      </c>
      <c r="F3271">
        <v>5.75</v>
      </c>
      <c r="G3271">
        <v>5.76</v>
      </c>
      <c r="H3271">
        <v>170509</v>
      </c>
      <c r="I3271">
        <v>1644</v>
      </c>
      <c r="J3271">
        <v>-0.16</v>
      </c>
      <c r="K3271">
        <v>0.82</v>
      </c>
      <c r="L3271">
        <v>9765.02</v>
      </c>
      <c r="M3271" t="s">
        <v>6366</v>
      </c>
      <c r="N3271" t="s">
        <v>213</v>
      </c>
      <c r="O3271">
        <v>5.66</v>
      </c>
      <c r="P3271">
        <v>5.82</v>
      </c>
      <c r="Q3271">
        <v>5.61</v>
      </c>
      <c r="R3271">
        <v>5.64</v>
      </c>
      <c r="S3271">
        <v>44.08</v>
      </c>
      <c r="T3271">
        <v>1.76</v>
      </c>
      <c r="U3271" t="s">
        <v>445</v>
      </c>
    </row>
    <row r="3272" spans="1:21">
      <c r="A3272" t="str">
        <f>"600865"</f>
        <v>600865</v>
      </c>
      <c r="B3272" t="s">
        <v>6367</v>
      </c>
      <c r="C3272">
        <v>-0.24</v>
      </c>
      <c r="D3272">
        <v>8.46</v>
      </c>
      <c r="E3272">
        <v>-0.02</v>
      </c>
      <c r="F3272">
        <v>8.46</v>
      </c>
      <c r="G3272">
        <v>8.47</v>
      </c>
      <c r="H3272">
        <v>19211</v>
      </c>
      <c r="I3272">
        <v>126</v>
      </c>
      <c r="J3272">
        <v>-0.23</v>
      </c>
      <c r="K3272">
        <v>0.51</v>
      </c>
      <c r="L3272">
        <v>1621.64</v>
      </c>
      <c r="M3272" t="s">
        <v>6368</v>
      </c>
      <c r="N3272" t="s">
        <v>258</v>
      </c>
      <c r="O3272">
        <v>8.49</v>
      </c>
      <c r="P3272">
        <v>8.52</v>
      </c>
      <c r="Q3272">
        <v>8.36</v>
      </c>
      <c r="R3272">
        <v>8.48</v>
      </c>
      <c r="S3272">
        <v>16.67</v>
      </c>
      <c r="T3272">
        <v>0.66</v>
      </c>
      <c r="U3272" t="s">
        <v>200</v>
      </c>
    </row>
    <row r="3273" spans="1:21">
      <c r="A3273" t="str">
        <f>"600866"</f>
        <v>600866</v>
      </c>
      <c r="B3273" t="s">
        <v>6369</v>
      </c>
      <c r="C3273">
        <v>-1.33</v>
      </c>
      <c r="D3273">
        <v>4.46</v>
      </c>
      <c r="E3273">
        <v>-0.06</v>
      </c>
      <c r="F3273">
        <v>4.46</v>
      </c>
      <c r="G3273">
        <v>4.47</v>
      </c>
      <c r="H3273">
        <v>81740</v>
      </c>
      <c r="I3273">
        <v>1717</v>
      </c>
      <c r="J3273">
        <v>-0.21</v>
      </c>
      <c r="K3273">
        <v>1.11</v>
      </c>
      <c r="L3273">
        <v>3640.87</v>
      </c>
      <c r="M3273" t="s">
        <v>49</v>
      </c>
      <c r="N3273" t="s">
        <v>299</v>
      </c>
      <c r="O3273">
        <v>4.5</v>
      </c>
      <c r="P3273">
        <v>4.52</v>
      </c>
      <c r="Q3273">
        <v>4.4</v>
      </c>
      <c r="R3273">
        <v>4.52</v>
      </c>
      <c r="S3273">
        <v>31.06</v>
      </c>
      <c r="T3273">
        <v>0.48</v>
      </c>
      <c r="U3273" t="s">
        <v>183</v>
      </c>
    </row>
    <row r="3274" spans="1:21">
      <c r="A3274" t="str">
        <f>"600867"</f>
        <v>600867</v>
      </c>
      <c r="B3274" t="s">
        <v>6370</v>
      </c>
      <c r="C3274">
        <v>1.63</v>
      </c>
      <c r="D3274">
        <v>11.86</v>
      </c>
      <c r="E3274">
        <v>0.19</v>
      </c>
      <c r="F3274">
        <v>11.85</v>
      </c>
      <c r="G3274">
        <v>11.86</v>
      </c>
      <c r="H3274">
        <v>126884</v>
      </c>
      <c r="I3274">
        <v>987</v>
      </c>
      <c r="J3274">
        <v>0.08</v>
      </c>
      <c r="K3274">
        <v>0.63</v>
      </c>
      <c r="L3274">
        <v>14985.39</v>
      </c>
      <c r="M3274" t="s">
        <v>6371</v>
      </c>
      <c r="N3274" t="s">
        <v>231</v>
      </c>
      <c r="O3274">
        <v>11.64</v>
      </c>
      <c r="P3274">
        <v>11.89</v>
      </c>
      <c r="Q3274">
        <v>11.63</v>
      </c>
      <c r="R3274">
        <v>11.67</v>
      </c>
      <c r="S3274">
        <v>16.95</v>
      </c>
      <c r="T3274">
        <v>0.78</v>
      </c>
      <c r="U3274" t="s">
        <v>92</v>
      </c>
    </row>
    <row r="3275" spans="1:21">
      <c r="A3275" t="str">
        <f>"600868"</f>
        <v>600868</v>
      </c>
      <c r="B3275" t="s">
        <v>6372</v>
      </c>
      <c r="C3275">
        <v>0.36</v>
      </c>
      <c r="D3275">
        <v>2.81</v>
      </c>
      <c r="E3275">
        <v>0.01</v>
      </c>
      <c r="F3275">
        <v>2.8</v>
      </c>
      <c r="G3275">
        <v>2.81</v>
      </c>
      <c r="H3275">
        <v>137299</v>
      </c>
      <c r="I3275">
        <v>6444</v>
      </c>
      <c r="J3275">
        <v>0</v>
      </c>
      <c r="K3275">
        <v>0.72</v>
      </c>
      <c r="L3275">
        <v>3839.72</v>
      </c>
      <c r="M3275" t="s">
        <v>6373</v>
      </c>
      <c r="N3275" t="s">
        <v>472</v>
      </c>
      <c r="O3275">
        <v>2.81</v>
      </c>
      <c r="P3275">
        <v>2.81</v>
      </c>
      <c r="Q3275">
        <v>2.78</v>
      </c>
      <c r="R3275">
        <v>2.8</v>
      </c>
      <c r="S3275">
        <v>1032.32</v>
      </c>
      <c r="T3275">
        <v>0.94</v>
      </c>
      <c r="U3275" t="s">
        <v>183</v>
      </c>
    </row>
    <row r="3276" spans="1:21">
      <c r="A3276" t="str">
        <f>"600869"</f>
        <v>600869</v>
      </c>
      <c r="B3276" t="s">
        <v>6374</v>
      </c>
      <c r="C3276">
        <v>0.76</v>
      </c>
      <c r="D3276">
        <v>6.67</v>
      </c>
      <c r="E3276">
        <v>0.05</v>
      </c>
      <c r="F3276">
        <v>6.66</v>
      </c>
      <c r="G3276">
        <v>6.67</v>
      </c>
      <c r="H3276">
        <v>618318</v>
      </c>
      <c r="I3276">
        <v>8001</v>
      </c>
      <c r="J3276">
        <v>0.15</v>
      </c>
      <c r="K3276">
        <v>2.79</v>
      </c>
      <c r="L3276">
        <v>41083.15</v>
      </c>
      <c r="M3276" t="s">
        <v>6375</v>
      </c>
      <c r="N3276" t="s">
        <v>47</v>
      </c>
      <c r="O3276">
        <v>6.55</v>
      </c>
      <c r="P3276">
        <v>6.78</v>
      </c>
      <c r="Q3276">
        <v>6.43</v>
      </c>
      <c r="R3276">
        <v>6.62</v>
      </c>
      <c r="S3276">
        <v>26.28</v>
      </c>
      <c r="T3276">
        <v>1.1</v>
      </c>
      <c r="U3276" t="s">
        <v>242</v>
      </c>
    </row>
    <row r="3277" spans="1:21">
      <c r="A3277" t="str">
        <f>"600870"</f>
        <v>600870</v>
      </c>
      <c r="B3277" t="s">
        <v>6376</v>
      </c>
      <c r="C3277">
        <v>-1.05</v>
      </c>
      <c r="D3277">
        <v>4.72</v>
      </c>
      <c r="E3277">
        <v>-0.05</v>
      </c>
      <c r="F3277">
        <v>4.72</v>
      </c>
      <c r="G3277">
        <v>4.73</v>
      </c>
      <c r="H3277">
        <v>26555</v>
      </c>
      <c r="I3277">
        <v>465</v>
      </c>
      <c r="J3277">
        <v>-0.2</v>
      </c>
      <c r="K3277">
        <v>0.51</v>
      </c>
      <c r="L3277">
        <v>1254.96</v>
      </c>
      <c r="M3277" t="s">
        <v>6377</v>
      </c>
      <c r="N3277" t="s">
        <v>60</v>
      </c>
      <c r="O3277">
        <v>4.77</v>
      </c>
      <c r="P3277">
        <v>4.77</v>
      </c>
      <c r="Q3277">
        <v>4.69</v>
      </c>
      <c r="R3277">
        <v>4.77</v>
      </c>
      <c r="S3277" t="s">
        <v>40</v>
      </c>
      <c r="T3277">
        <v>0.64</v>
      </c>
      <c r="U3277" t="s">
        <v>339</v>
      </c>
    </row>
    <row r="3278" spans="1:21">
      <c r="A3278" t="str">
        <f>"600871"</f>
        <v>600871</v>
      </c>
      <c r="B3278" t="s">
        <v>6378</v>
      </c>
      <c r="C3278">
        <v>0.95</v>
      </c>
      <c r="D3278">
        <v>2.13</v>
      </c>
      <c r="E3278">
        <v>0.02</v>
      </c>
      <c r="F3278">
        <v>2.13</v>
      </c>
      <c r="G3278">
        <v>2.14</v>
      </c>
      <c r="H3278">
        <v>507281</v>
      </c>
      <c r="I3278">
        <v>11107</v>
      </c>
      <c r="J3278">
        <v>0</v>
      </c>
      <c r="K3278">
        <v>0.37</v>
      </c>
      <c r="L3278">
        <v>10772.24</v>
      </c>
      <c r="M3278" t="s">
        <v>6379</v>
      </c>
      <c r="N3278" t="s">
        <v>996</v>
      </c>
      <c r="O3278">
        <v>2.11</v>
      </c>
      <c r="P3278">
        <v>2.14</v>
      </c>
      <c r="Q3278">
        <v>2.09</v>
      </c>
      <c r="R3278">
        <v>2.11</v>
      </c>
      <c r="S3278">
        <v>94.67</v>
      </c>
      <c r="T3278">
        <v>0.95</v>
      </c>
      <c r="U3278" t="s">
        <v>44</v>
      </c>
    </row>
    <row r="3279" spans="1:21">
      <c r="A3279" t="str">
        <f>"600872"</f>
        <v>600872</v>
      </c>
      <c r="B3279" t="s">
        <v>6380</v>
      </c>
      <c r="C3279">
        <v>0.03</v>
      </c>
      <c r="D3279">
        <v>35.57</v>
      </c>
      <c r="E3279">
        <v>0.01</v>
      </c>
      <c r="F3279">
        <v>35.56</v>
      </c>
      <c r="G3279">
        <v>35.57</v>
      </c>
      <c r="H3279">
        <v>114534</v>
      </c>
      <c r="I3279">
        <v>1655</v>
      </c>
      <c r="J3279">
        <v>0.42</v>
      </c>
      <c r="K3279">
        <v>1.44</v>
      </c>
      <c r="L3279">
        <v>40866.84</v>
      </c>
      <c r="M3279" t="s">
        <v>6381</v>
      </c>
      <c r="N3279" t="s">
        <v>299</v>
      </c>
      <c r="O3279">
        <v>35.97</v>
      </c>
      <c r="P3279">
        <v>36.61</v>
      </c>
      <c r="Q3279">
        <v>35.11</v>
      </c>
      <c r="R3279">
        <v>35.56</v>
      </c>
      <c r="S3279">
        <v>57.95</v>
      </c>
      <c r="T3279">
        <v>0.7</v>
      </c>
      <c r="U3279" t="s">
        <v>183</v>
      </c>
    </row>
    <row r="3280" spans="1:21">
      <c r="A3280" t="str">
        <f>"600873"</f>
        <v>600873</v>
      </c>
      <c r="B3280" t="s">
        <v>6382</v>
      </c>
      <c r="C3280">
        <v>-0.15</v>
      </c>
      <c r="D3280">
        <v>6.74</v>
      </c>
      <c r="E3280">
        <v>-0.01</v>
      </c>
      <c r="F3280">
        <v>6.73</v>
      </c>
      <c r="G3280">
        <v>6.74</v>
      </c>
      <c r="H3280">
        <v>281387</v>
      </c>
      <c r="I3280">
        <v>3135</v>
      </c>
      <c r="J3280">
        <v>0</v>
      </c>
      <c r="K3280">
        <v>0.91</v>
      </c>
      <c r="L3280">
        <v>18912.92</v>
      </c>
      <c r="M3280" t="s">
        <v>6383</v>
      </c>
      <c r="N3280" t="s">
        <v>299</v>
      </c>
      <c r="O3280">
        <v>6.75</v>
      </c>
      <c r="P3280">
        <v>6.82</v>
      </c>
      <c r="Q3280">
        <v>6.65</v>
      </c>
      <c r="R3280">
        <v>6.75</v>
      </c>
      <c r="S3280">
        <v>11.8</v>
      </c>
      <c r="T3280">
        <v>0.86</v>
      </c>
      <c r="U3280" t="s">
        <v>694</v>
      </c>
    </row>
    <row r="3281" spans="1:21">
      <c r="A3281" t="str">
        <f>"600874"</f>
        <v>600874</v>
      </c>
      <c r="B3281" t="s">
        <v>6384</v>
      </c>
      <c r="C3281">
        <v>2.33</v>
      </c>
      <c r="D3281">
        <v>6.6</v>
      </c>
      <c r="E3281">
        <v>0.15</v>
      </c>
      <c r="F3281">
        <v>6.6</v>
      </c>
      <c r="G3281">
        <v>6.61</v>
      </c>
      <c r="H3281">
        <v>78177</v>
      </c>
      <c r="I3281">
        <v>508</v>
      </c>
      <c r="J3281">
        <v>-0.14</v>
      </c>
      <c r="K3281">
        <v>0.72</v>
      </c>
      <c r="L3281">
        <v>5110.95</v>
      </c>
      <c r="M3281" t="s">
        <v>4890</v>
      </c>
      <c r="N3281" t="s">
        <v>33</v>
      </c>
      <c r="O3281">
        <v>6.44</v>
      </c>
      <c r="P3281">
        <v>6.65</v>
      </c>
      <c r="Q3281">
        <v>6.43</v>
      </c>
      <c r="R3281">
        <v>6.45</v>
      </c>
      <c r="S3281">
        <v>12.97</v>
      </c>
      <c r="T3281">
        <v>1.16</v>
      </c>
      <c r="U3281" t="s">
        <v>360</v>
      </c>
    </row>
    <row r="3282" spans="1:21">
      <c r="A3282" t="str">
        <f>"600875"</f>
        <v>600875</v>
      </c>
      <c r="B3282" t="s">
        <v>6385</v>
      </c>
      <c r="C3282">
        <v>10.01</v>
      </c>
      <c r="D3282">
        <v>19.23</v>
      </c>
      <c r="E3282">
        <v>1.75</v>
      </c>
      <c r="F3282">
        <v>19.23</v>
      </c>
      <c r="G3282" t="s">
        <v>40</v>
      </c>
      <c r="H3282">
        <v>822611</v>
      </c>
      <c r="I3282">
        <v>1672</v>
      </c>
      <c r="J3282">
        <v>0</v>
      </c>
      <c r="K3282">
        <v>4.12</v>
      </c>
      <c r="L3282">
        <v>152961.42</v>
      </c>
      <c r="M3282" t="s">
        <v>6386</v>
      </c>
      <c r="N3282" t="s">
        <v>47</v>
      </c>
      <c r="O3282">
        <v>17.28</v>
      </c>
      <c r="P3282">
        <v>19.23</v>
      </c>
      <c r="Q3282">
        <v>17.08</v>
      </c>
      <c r="R3282">
        <v>17.48</v>
      </c>
      <c r="S3282">
        <v>24.11</v>
      </c>
      <c r="T3282">
        <v>1.52</v>
      </c>
      <c r="U3282" t="s">
        <v>196</v>
      </c>
    </row>
    <row r="3283" spans="1:21">
      <c r="A3283" t="str">
        <f>"600876"</f>
        <v>600876</v>
      </c>
      <c r="B3283" t="s">
        <v>6387</v>
      </c>
      <c r="C3283">
        <v>2.49</v>
      </c>
      <c r="D3283">
        <v>27.99</v>
      </c>
      <c r="E3283">
        <v>0.68</v>
      </c>
      <c r="F3283">
        <v>27.99</v>
      </c>
      <c r="G3283">
        <v>28</v>
      </c>
      <c r="H3283">
        <v>145499</v>
      </c>
      <c r="I3283">
        <v>2304</v>
      </c>
      <c r="J3283">
        <v>-0.1</v>
      </c>
      <c r="K3283">
        <v>4.87</v>
      </c>
      <c r="L3283">
        <v>40225.55</v>
      </c>
      <c r="M3283" t="s">
        <v>6388</v>
      </c>
      <c r="N3283" t="s">
        <v>55</v>
      </c>
      <c r="O3283">
        <v>27.48</v>
      </c>
      <c r="P3283">
        <v>28.75</v>
      </c>
      <c r="Q3283">
        <v>26.73</v>
      </c>
      <c r="R3283">
        <v>27.31</v>
      </c>
      <c r="S3283">
        <v>41.46</v>
      </c>
      <c r="T3283">
        <v>1.7</v>
      </c>
      <c r="U3283" t="s">
        <v>224</v>
      </c>
    </row>
    <row r="3284" spans="1:21">
      <c r="A3284" t="str">
        <f>"600877"</f>
        <v>600877</v>
      </c>
      <c r="B3284" t="s">
        <v>6389</v>
      </c>
      <c r="C3284">
        <v>-1.38</v>
      </c>
      <c r="D3284">
        <v>17.91</v>
      </c>
      <c r="E3284">
        <v>-0.25</v>
      </c>
      <c r="F3284">
        <v>17.91</v>
      </c>
      <c r="G3284">
        <v>17.92</v>
      </c>
      <c r="H3284">
        <v>86620</v>
      </c>
      <c r="I3284">
        <v>1027</v>
      </c>
      <c r="J3284">
        <v>-0.05</v>
      </c>
      <c r="K3284">
        <v>1.26</v>
      </c>
      <c r="L3284">
        <v>15524.03</v>
      </c>
      <c r="M3284" t="s">
        <v>6390</v>
      </c>
      <c r="N3284" t="s">
        <v>47</v>
      </c>
      <c r="O3284">
        <v>18.1</v>
      </c>
      <c r="P3284">
        <v>18.3</v>
      </c>
      <c r="Q3284">
        <v>17.67</v>
      </c>
      <c r="R3284">
        <v>18.16</v>
      </c>
      <c r="S3284">
        <v>224.76</v>
      </c>
      <c r="T3284">
        <v>0.67</v>
      </c>
      <c r="U3284" t="s">
        <v>314</v>
      </c>
    </row>
    <row r="3285" spans="1:21">
      <c r="A3285" t="str">
        <f>"600879"</f>
        <v>600879</v>
      </c>
      <c r="B3285" t="s">
        <v>6391</v>
      </c>
      <c r="C3285">
        <v>4.88</v>
      </c>
      <c r="D3285">
        <v>8.39</v>
      </c>
      <c r="E3285">
        <v>0.39</v>
      </c>
      <c r="F3285">
        <v>8.38</v>
      </c>
      <c r="G3285">
        <v>8.39</v>
      </c>
      <c r="H3285">
        <v>1237654</v>
      </c>
      <c r="I3285">
        <v>6655</v>
      </c>
      <c r="J3285">
        <v>-0.23</v>
      </c>
      <c r="K3285">
        <v>4.55</v>
      </c>
      <c r="L3285">
        <v>103212.15</v>
      </c>
      <c r="M3285" t="s">
        <v>6392</v>
      </c>
      <c r="N3285" t="s">
        <v>611</v>
      </c>
      <c r="O3285">
        <v>7.97</v>
      </c>
      <c r="P3285">
        <v>8.55</v>
      </c>
      <c r="Q3285">
        <v>7.93</v>
      </c>
      <c r="R3285">
        <v>8</v>
      </c>
      <c r="S3285">
        <v>39.81</v>
      </c>
      <c r="T3285">
        <v>1.55</v>
      </c>
      <c r="U3285" t="s">
        <v>267</v>
      </c>
    </row>
    <row r="3286" spans="1:21">
      <c r="A3286" t="str">
        <f>"600880"</f>
        <v>600880</v>
      </c>
      <c r="B3286" t="s">
        <v>6393</v>
      </c>
      <c r="C3286">
        <v>0</v>
      </c>
      <c r="D3286">
        <v>3.85</v>
      </c>
      <c r="E3286">
        <v>0</v>
      </c>
      <c r="F3286">
        <v>3.84</v>
      </c>
      <c r="G3286">
        <v>3.85</v>
      </c>
      <c r="H3286">
        <v>75691</v>
      </c>
      <c r="I3286">
        <v>1096</v>
      </c>
      <c r="J3286">
        <v>0.26</v>
      </c>
      <c r="K3286">
        <v>0.69</v>
      </c>
      <c r="L3286">
        <v>2922.64</v>
      </c>
      <c r="M3286" t="s">
        <v>1301</v>
      </c>
      <c r="N3286" t="s">
        <v>482</v>
      </c>
      <c r="O3286">
        <v>3.88</v>
      </c>
      <c r="P3286">
        <v>3.9</v>
      </c>
      <c r="Q3286">
        <v>3.83</v>
      </c>
      <c r="R3286">
        <v>3.85</v>
      </c>
      <c r="S3286">
        <v>55.58</v>
      </c>
      <c r="T3286">
        <v>0.62</v>
      </c>
      <c r="U3286" t="s">
        <v>196</v>
      </c>
    </row>
    <row r="3287" spans="1:21">
      <c r="A3287" t="str">
        <f>"600881"</f>
        <v>600881</v>
      </c>
      <c r="B3287" t="s">
        <v>6394</v>
      </c>
      <c r="C3287">
        <v>1.21</v>
      </c>
      <c r="D3287">
        <v>3.35</v>
      </c>
      <c r="E3287">
        <v>0.04</v>
      </c>
      <c r="F3287">
        <v>3.34</v>
      </c>
      <c r="G3287">
        <v>3.35</v>
      </c>
      <c r="H3287">
        <v>149872</v>
      </c>
      <c r="I3287">
        <v>1660</v>
      </c>
      <c r="J3287">
        <v>-0.29</v>
      </c>
      <c r="K3287">
        <v>0.46</v>
      </c>
      <c r="L3287">
        <v>4971.4</v>
      </c>
      <c r="M3287" t="s">
        <v>6395</v>
      </c>
      <c r="N3287" t="s">
        <v>75</v>
      </c>
      <c r="O3287">
        <v>3.31</v>
      </c>
      <c r="P3287">
        <v>3.37</v>
      </c>
      <c r="Q3287">
        <v>3.27</v>
      </c>
      <c r="R3287">
        <v>3.31</v>
      </c>
      <c r="S3287">
        <v>257.05</v>
      </c>
      <c r="T3287">
        <v>0.92</v>
      </c>
      <c r="U3287" t="s">
        <v>92</v>
      </c>
    </row>
    <row r="3288" spans="1:21">
      <c r="A3288" t="str">
        <f>"600882"</f>
        <v>600882</v>
      </c>
      <c r="B3288" t="s">
        <v>6396</v>
      </c>
      <c r="C3288">
        <v>-0.92</v>
      </c>
      <c r="D3288">
        <v>54.99</v>
      </c>
      <c r="E3288">
        <v>-0.51</v>
      </c>
      <c r="F3288">
        <v>54.99</v>
      </c>
      <c r="G3288">
        <v>55</v>
      </c>
      <c r="H3288">
        <v>45551</v>
      </c>
      <c r="I3288">
        <v>612</v>
      </c>
      <c r="J3288">
        <v>-0.03</v>
      </c>
      <c r="K3288">
        <v>1.11</v>
      </c>
      <c r="L3288">
        <v>25158.97</v>
      </c>
      <c r="M3288" t="s">
        <v>6397</v>
      </c>
      <c r="N3288" t="s">
        <v>1735</v>
      </c>
      <c r="O3288">
        <v>55.62</v>
      </c>
      <c r="P3288">
        <v>56.48</v>
      </c>
      <c r="Q3288">
        <v>54.69</v>
      </c>
      <c r="R3288">
        <v>55.5</v>
      </c>
      <c r="S3288">
        <v>148.51</v>
      </c>
      <c r="T3288">
        <v>0.58</v>
      </c>
      <c r="U3288" t="s">
        <v>848</v>
      </c>
    </row>
    <row r="3289" spans="1:21">
      <c r="A3289" t="str">
        <f>"600883"</f>
        <v>600883</v>
      </c>
      <c r="B3289" t="s">
        <v>6398</v>
      </c>
      <c r="C3289">
        <v>4.17</v>
      </c>
      <c r="D3289">
        <v>8.75</v>
      </c>
      <c r="E3289">
        <v>0.35</v>
      </c>
      <c r="F3289">
        <v>8.74</v>
      </c>
      <c r="G3289">
        <v>8.75</v>
      </c>
      <c r="H3289">
        <v>56909</v>
      </c>
      <c r="I3289">
        <v>4157</v>
      </c>
      <c r="J3289">
        <v>-1.56</v>
      </c>
      <c r="K3289">
        <v>2.41</v>
      </c>
      <c r="L3289">
        <v>4977.51</v>
      </c>
      <c r="M3289" t="s">
        <v>6399</v>
      </c>
      <c r="N3289" t="s">
        <v>75</v>
      </c>
      <c r="O3289">
        <v>8.45</v>
      </c>
      <c r="P3289">
        <v>8.96</v>
      </c>
      <c r="Q3289">
        <v>8.42</v>
      </c>
      <c r="R3289">
        <v>8.4</v>
      </c>
      <c r="S3289">
        <v>44.55</v>
      </c>
      <c r="T3289">
        <v>2.06</v>
      </c>
      <c r="U3289" t="s">
        <v>363</v>
      </c>
    </row>
    <row r="3290" spans="1:21">
      <c r="A3290" t="str">
        <f>"600884"</f>
        <v>600884</v>
      </c>
      <c r="B3290" t="s">
        <v>6400</v>
      </c>
      <c r="C3290">
        <v>-0.28</v>
      </c>
      <c r="D3290">
        <v>36.23</v>
      </c>
      <c r="E3290">
        <v>-0.1</v>
      </c>
      <c r="F3290">
        <v>36.22</v>
      </c>
      <c r="G3290">
        <v>36.23</v>
      </c>
      <c r="H3290">
        <v>346632</v>
      </c>
      <c r="I3290">
        <v>5584</v>
      </c>
      <c r="J3290">
        <v>0.36</v>
      </c>
      <c r="K3290">
        <v>2.1</v>
      </c>
      <c r="L3290">
        <v>125937.43</v>
      </c>
      <c r="M3290" t="s">
        <v>6401</v>
      </c>
      <c r="N3290" t="s">
        <v>47</v>
      </c>
      <c r="O3290">
        <v>36.34</v>
      </c>
      <c r="P3290">
        <v>37.19</v>
      </c>
      <c r="Q3290">
        <v>35.68</v>
      </c>
      <c r="R3290">
        <v>36.33</v>
      </c>
      <c r="S3290">
        <v>16.21</v>
      </c>
      <c r="T3290">
        <v>0.85</v>
      </c>
      <c r="U3290" t="s">
        <v>200</v>
      </c>
    </row>
    <row r="3291" spans="1:21">
      <c r="A3291" t="str">
        <f>"600885"</f>
        <v>600885</v>
      </c>
      <c r="B3291" t="s">
        <v>6402</v>
      </c>
      <c r="C3291">
        <v>0.07</v>
      </c>
      <c r="D3291">
        <v>74.9</v>
      </c>
      <c r="E3291">
        <v>0.05</v>
      </c>
      <c r="F3291">
        <v>74.85</v>
      </c>
      <c r="G3291">
        <v>74.9</v>
      </c>
      <c r="H3291">
        <v>45365</v>
      </c>
      <c r="I3291">
        <v>371</v>
      </c>
      <c r="J3291">
        <v>-0.12</v>
      </c>
      <c r="K3291">
        <v>0.61</v>
      </c>
      <c r="L3291">
        <v>34011.55</v>
      </c>
      <c r="M3291" t="s">
        <v>6403</v>
      </c>
      <c r="N3291" t="s">
        <v>47</v>
      </c>
      <c r="O3291">
        <v>75.48</v>
      </c>
      <c r="P3291">
        <v>76.12</v>
      </c>
      <c r="Q3291">
        <v>74.26</v>
      </c>
      <c r="R3291">
        <v>74.85</v>
      </c>
      <c r="S3291">
        <v>50.97</v>
      </c>
      <c r="T3291">
        <v>0.76</v>
      </c>
      <c r="U3291" t="s">
        <v>267</v>
      </c>
    </row>
    <row r="3292" spans="1:21">
      <c r="A3292" t="str">
        <f>"600886"</f>
        <v>600886</v>
      </c>
      <c r="B3292" t="s">
        <v>6404</v>
      </c>
      <c r="C3292">
        <v>0.94</v>
      </c>
      <c r="D3292">
        <v>9.62</v>
      </c>
      <c r="E3292">
        <v>0.09</v>
      </c>
      <c r="F3292">
        <v>9.62</v>
      </c>
      <c r="G3292">
        <v>9.63</v>
      </c>
      <c r="H3292">
        <v>233948</v>
      </c>
      <c r="I3292">
        <v>2857</v>
      </c>
      <c r="J3292">
        <v>-0.09</v>
      </c>
      <c r="K3292">
        <v>0.34</v>
      </c>
      <c r="L3292">
        <v>22367.74</v>
      </c>
      <c r="M3292" t="s">
        <v>6405</v>
      </c>
      <c r="N3292" t="s">
        <v>472</v>
      </c>
      <c r="O3292">
        <v>9.53</v>
      </c>
      <c r="P3292">
        <v>9.68</v>
      </c>
      <c r="Q3292">
        <v>9.42</v>
      </c>
      <c r="R3292">
        <v>9.53</v>
      </c>
      <c r="S3292">
        <v>14.52</v>
      </c>
      <c r="T3292">
        <v>1.18</v>
      </c>
      <c r="U3292" t="s">
        <v>44</v>
      </c>
    </row>
    <row r="3293" spans="1:21">
      <c r="A3293" t="str">
        <f>"600887"</f>
        <v>600887</v>
      </c>
      <c r="B3293" t="s">
        <v>6406</v>
      </c>
      <c r="C3293">
        <v>-0.85</v>
      </c>
      <c r="D3293">
        <v>40.85</v>
      </c>
      <c r="E3293">
        <v>-0.35</v>
      </c>
      <c r="F3293">
        <v>40.84</v>
      </c>
      <c r="G3293">
        <v>40.85</v>
      </c>
      <c r="H3293">
        <v>542644</v>
      </c>
      <c r="I3293">
        <v>7219</v>
      </c>
      <c r="J3293">
        <v>0.02</v>
      </c>
      <c r="K3293">
        <v>0.91</v>
      </c>
      <c r="L3293">
        <v>221953.46</v>
      </c>
      <c r="M3293" t="s">
        <v>6407</v>
      </c>
      <c r="N3293" t="s">
        <v>1735</v>
      </c>
      <c r="O3293">
        <v>41.12</v>
      </c>
      <c r="P3293">
        <v>41.41</v>
      </c>
      <c r="Q3293">
        <v>40.55</v>
      </c>
      <c r="R3293">
        <v>41.2</v>
      </c>
      <c r="S3293">
        <v>23.46</v>
      </c>
      <c r="T3293">
        <v>1.16</v>
      </c>
      <c r="U3293" t="s">
        <v>275</v>
      </c>
    </row>
    <row r="3294" spans="1:21">
      <c r="A3294" t="str">
        <f>"600888"</f>
        <v>600888</v>
      </c>
      <c r="B3294" t="s">
        <v>6408</v>
      </c>
      <c r="C3294">
        <v>0.1</v>
      </c>
      <c r="D3294">
        <v>9.65</v>
      </c>
      <c r="E3294">
        <v>0.01</v>
      </c>
      <c r="F3294">
        <v>9.65</v>
      </c>
      <c r="G3294">
        <v>9.66</v>
      </c>
      <c r="H3294">
        <v>432551</v>
      </c>
      <c r="I3294">
        <v>6454</v>
      </c>
      <c r="J3294">
        <v>0.31</v>
      </c>
      <c r="K3294">
        <v>3.48</v>
      </c>
      <c r="L3294">
        <v>41239.41</v>
      </c>
      <c r="M3294" t="s">
        <v>6409</v>
      </c>
      <c r="N3294" t="s">
        <v>494</v>
      </c>
      <c r="O3294">
        <v>9.59</v>
      </c>
      <c r="P3294">
        <v>9.71</v>
      </c>
      <c r="Q3294">
        <v>9.31</v>
      </c>
      <c r="R3294">
        <v>9.64</v>
      </c>
      <c r="S3294">
        <v>16.25</v>
      </c>
      <c r="T3294">
        <v>0.77</v>
      </c>
      <c r="U3294" t="s">
        <v>210</v>
      </c>
    </row>
    <row r="3295" spans="1:21">
      <c r="A3295" t="str">
        <f>"600889"</f>
        <v>600889</v>
      </c>
      <c r="B3295" t="s">
        <v>6410</v>
      </c>
      <c r="C3295">
        <v>1.03</v>
      </c>
      <c r="D3295">
        <v>5.86</v>
      </c>
      <c r="E3295">
        <v>0.06</v>
      </c>
      <c r="F3295">
        <v>5.86</v>
      </c>
      <c r="G3295">
        <v>5.87</v>
      </c>
      <c r="H3295">
        <v>38313</v>
      </c>
      <c r="I3295">
        <v>219</v>
      </c>
      <c r="J3295">
        <v>0</v>
      </c>
      <c r="K3295">
        <v>1.05</v>
      </c>
      <c r="L3295">
        <v>2228.64</v>
      </c>
      <c r="M3295" t="s">
        <v>6411</v>
      </c>
      <c r="N3295" t="s">
        <v>216</v>
      </c>
      <c r="O3295">
        <v>5.77</v>
      </c>
      <c r="P3295">
        <v>5.88</v>
      </c>
      <c r="Q3295">
        <v>5.73</v>
      </c>
      <c r="R3295">
        <v>5.8</v>
      </c>
      <c r="S3295">
        <v>13.22</v>
      </c>
      <c r="T3295">
        <v>0.85</v>
      </c>
      <c r="U3295" t="s">
        <v>102</v>
      </c>
    </row>
    <row r="3296" spans="1:21">
      <c r="A3296" t="str">
        <f>"600890"</f>
        <v>600890</v>
      </c>
      <c r="B3296" t="s">
        <v>6412</v>
      </c>
      <c r="C3296">
        <v>-1.04</v>
      </c>
      <c r="D3296">
        <v>2.86</v>
      </c>
      <c r="E3296">
        <v>-0.03</v>
      </c>
      <c r="F3296">
        <v>2.85</v>
      </c>
      <c r="G3296">
        <v>2.86</v>
      </c>
      <c r="H3296">
        <v>46411</v>
      </c>
      <c r="I3296">
        <v>352</v>
      </c>
      <c r="J3296">
        <v>0</v>
      </c>
      <c r="K3296">
        <v>0.8</v>
      </c>
      <c r="L3296">
        <v>1326.19</v>
      </c>
      <c r="M3296" t="s">
        <v>4464</v>
      </c>
      <c r="N3296" t="s">
        <v>36</v>
      </c>
      <c r="O3296">
        <v>2.9</v>
      </c>
      <c r="P3296">
        <v>2.93</v>
      </c>
      <c r="Q3296">
        <v>2.83</v>
      </c>
      <c r="R3296">
        <v>2.89</v>
      </c>
      <c r="S3296" t="s">
        <v>40</v>
      </c>
      <c r="T3296">
        <v>0.99</v>
      </c>
      <c r="U3296" t="s">
        <v>44</v>
      </c>
    </row>
    <row r="3297" spans="1:21">
      <c r="A3297" t="str">
        <f>"600892"</f>
        <v>600892</v>
      </c>
      <c r="B3297" t="s">
        <v>6413</v>
      </c>
      <c r="C3297">
        <v>10.08</v>
      </c>
      <c r="D3297">
        <v>3.93</v>
      </c>
      <c r="E3297">
        <v>0.36</v>
      </c>
      <c r="F3297">
        <v>3.93</v>
      </c>
      <c r="G3297" t="s">
        <v>40</v>
      </c>
      <c r="H3297">
        <v>110582</v>
      </c>
      <c r="I3297">
        <v>1227</v>
      </c>
      <c r="J3297">
        <v>0</v>
      </c>
      <c r="K3297">
        <v>2.05</v>
      </c>
      <c r="L3297">
        <v>4305.68</v>
      </c>
      <c r="M3297" t="s">
        <v>6414</v>
      </c>
      <c r="N3297" t="s">
        <v>199</v>
      </c>
      <c r="O3297">
        <v>3.61</v>
      </c>
      <c r="P3297">
        <v>3.93</v>
      </c>
      <c r="Q3297">
        <v>3.61</v>
      </c>
      <c r="R3297">
        <v>3.57</v>
      </c>
      <c r="S3297" t="s">
        <v>40</v>
      </c>
      <c r="T3297">
        <v>1.13</v>
      </c>
      <c r="U3297" t="s">
        <v>24</v>
      </c>
    </row>
    <row r="3298" spans="1:21">
      <c r="A3298" t="str">
        <f>"600893"</f>
        <v>600893</v>
      </c>
      <c r="B3298" t="s">
        <v>6415</v>
      </c>
      <c r="C3298">
        <v>0.75</v>
      </c>
      <c r="D3298">
        <v>63.3</v>
      </c>
      <c r="E3298">
        <v>0.47</v>
      </c>
      <c r="F3298">
        <v>63.29</v>
      </c>
      <c r="G3298">
        <v>63.3</v>
      </c>
      <c r="H3298">
        <v>322088</v>
      </c>
      <c r="I3298">
        <v>3067</v>
      </c>
      <c r="J3298">
        <v>0</v>
      </c>
      <c r="K3298">
        <v>1.38</v>
      </c>
      <c r="L3298">
        <v>204033.82</v>
      </c>
      <c r="M3298" t="s">
        <v>6416</v>
      </c>
      <c r="N3298" t="s">
        <v>611</v>
      </c>
      <c r="O3298">
        <v>63.46</v>
      </c>
      <c r="P3298">
        <v>64.15</v>
      </c>
      <c r="Q3298">
        <v>62.22</v>
      </c>
      <c r="R3298">
        <v>62.83</v>
      </c>
      <c r="S3298">
        <v>161.63</v>
      </c>
      <c r="T3298">
        <v>0.62</v>
      </c>
      <c r="U3298" t="s">
        <v>317</v>
      </c>
    </row>
    <row r="3299" spans="1:21">
      <c r="A3299" t="str">
        <f>"600894"</f>
        <v>600894</v>
      </c>
      <c r="B3299" t="s">
        <v>6417</v>
      </c>
      <c r="C3299">
        <v>1</v>
      </c>
      <c r="D3299">
        <v>7.04</v>
      </c>
      <c r="E3299">
        <v>0.07</v>
      </c>
      <c r="F3299">
        <v>7.03</v>
      </c>
      <c r="G3299">
        <v>7.04</v>
      </c>
      <c r="H3299">
        <v>29063</v>
      </c>
      <c r="I3299">
        <v>95</v>
      </c>
      <c r="J3299">
        <v>-0.13</v>
      </c>
      <c r="K3299">
        <v>0.34</v>
      </c>
      <c r="L3299">
        <v>2037.7</v>
      </c>
      <c r="M3299" t="s">
        <v>6418</v>
      </c>
      <c r="N3299" t="s">
        <v>43</v>
      </c>
      <c r="O3299">
        <v>6.97</v>
      </c>
      <c r="P3299">
        <v>7.05</v>
      </c>
      <c r="Q3299">
        <v>6.95</v>
      </c>
      <c r="R3299">
        <v>6.97</v>
      </c>
      <c r="S3299">
        <v>8.47</v>
      </c>
      <c r="T3299">
        <v>0.76</v>
      </c>
      <c r="U3299" t="s">
        <v>183</v>
      </c>
    </row>
    <row r="3300" spans="1:21">
      <c r="A3300" t="str">
        <f>"600895"</f>
        <v>600895</v>
      </c>
      <c r="B3300" t="s">
        <v>6419</v>
      </c>
      <c r="C3300">
        <v>1.07</v>
      </c>
      <c r="D3300">
        <v>15.08</v>
      </c>
      <c r="E3300">
        <v>0.16</v>
      </c>
      <c r="F3300">
        <v>15.07</v>
      </c>
      <c r="G3300">
        <v>15.08</v>
      </c>
      <c r="H3300">
        <v>38812</v>
      </c>
      <c r="I3300">
        <v>323</v>
      </c>
      <c r="J3300">
        <v>0.07</v>
      </c>
      <c r="K3300">
        <v>0.25</v>
      </c>
      <c r="L3300">
        <v>5830.35</v>
      </c>
      <c r="M3300" t="s">
        <v>3205</v>
      </c>
      <c r="N3300" t="s">
        <v>520</v>
      </c>
      <c r="O3300">
        <v>14.92</v>
      </c>
      <c r="P3300">
        <v>15.1</v>
      </c>
      <c r="Q3300">
        <v>14.9</v>
      </c>
      <c r="R3300">
        <v>14.92</v>
      </c>
      <c r="S3300">
        <v>20.3</v>
      </c>
      <c r="T3300">
        <v>0.8</v>
      </c>
      <c r="U3300" t="s">
        <v>848</v>
      </c>
    </row>
    <row r="3301" spans="1:21">
      <c r="A3301" t="str">
        <f>"600896"</f>
        <v>600896</v>
      </c>
      <c r="B3301" t="s">
        <v>6420</v>
      </c>
      <c r="C3301">
        <v>3.02</v>
      </c>
      <c r="D3301">
        <v>5.12</v>
      </c>
      <c r="E3301">
        <v>0.15</v>
      </c>
      <c r="F3301">
        <v>5.11</v>
      </c>
      <c r="G3301">
        <v>5.12</v>
      </c>
      <c r="H3301">
        <v>180780</v>
      </c>
      <c r="I3301">
        <v>846</v>
      </c>
      <c r="J3301">
        <v>0</v>
      </c>
      <c r="K3301">
        <v>1.91</v>
      </c>
      <c r="L3301">
        <v>9076.64</v>
      </c>
      <c r="M3301" t="s">
        <v>6421</v>
      </c>
      <c r="N3301" t="s">
        <v>186</v>
      </c>
      <c r="O3301">
        <v>4.93</v>
      </c>
      <c r="P3301">
        <v>5.21</v>
      </c>
      <c r="Q3301">
        <v>4.82</v>
      </c>
      <c r="R3301">
        <v>4.97</v>
      </c>
      <c r="S3301" t="s">
        <v>40</v>
      </c>
      <c r="T3301">
        <v>1.51</v>
      </c>
      <c r="U3301" t="s">
        <v>294</v>
      </c>
    </row>
    <row r="3302" spans="1:21">
      <c r="A3302" t="str">
        <f>"600897"</f>
        <v>600897</v>
      </c>
      <c r="B3302" t="s">
        <v>6422</v>
      </c>
      <c r="C3302">
        <v>-1.77</v>
      </c>
      <c r="D3302">
        <v>16.67</v>
      </c>
      <c r="E3302">
        <v>-0.3</v>
      </c>
      <c r="F3302">
        <v>16.67</v>
      </c>
      <c r="G3302">
        <v>16.7</v>
      </c>
      <c r="H3302">
        <v>49436</v>
      </c>
      <c r="I3302">
        <v>1041</v>
      </c>
      <c r="J3302">
        <v>-0.53</v>
      </c>
      <c r="K3302">
        <v>1.66</v>
      </c>
      <c r="L3302">
        <v>8302.83</v>
      </c>
      <c r="M3302" t="s">
        <v>6423</v>
      </c>
      <c r="N3302" t="s">
        <v>172</v>
      </c>
      <c r="O3302">
        <v>17.09</v>
      </c>
      <c r="P3302">
        <v>17.09</v>
      </c>
      <c r="Q3302">
        <v>16.59</v>
      </c>
      <c r="R3302">
        <v>16.97</v>
      </c>
      <c r="S3302">
        <v>22.85</v>
      </c>
      <c r="T3302">
        <v>1.25</v>
      </c>
      <c r="U3302" t="s">
        <v>339</v>
      </c>
    </row>
    <row r="3303" spans="1:21">
      <c r="A3303" t="str">
        <f>"600898"</f>
        <v>600898</v>
      </c>
      <c r="B3303" t="s">
        <v>6424</v>
      </c>
      <c r="C3303">
        <v>1</v>
      </c>
      <c r="D3303">
        <v>5.06</v>
      </c>
      <c r="E3303">
        <v>0.05</v>
      </c>
      <c r="F3303">
        <v>5.06</v>
      </c>
      <c r="G3303">
        <v>5.07</v>
      </c>
      <c r="H3303">
        <v>13865</v>
      </c>
      <c r="I3303">
        <v>134</v>
      </c>
      <c r="J3303">
        <v>0</v>
      </c>
      <c r="K3303">
        <v>0.55</v>
      </c>
      <c r="L3303">
        <v>703.49</v>
      </c>
      <c r="M3303" t="s">
        <v>6425</v>
      </c>
      <c r="N3303" t="s">
        <v>153</v>
      </c>
      <c r="O3303">
        <v>5.02</v>
      </c>
      <c r="P3303">
        <v>5.14</v>
      </c>
      <c r="Q3303">
        <v>5.02</v>
      </c>
      <c r="R3303">
        <v>5.01</v>
      </c>
      <c r="S3303" t="s">
        <v>40</v>
      </c>
      <c r="T3303">
        <v>0.57</v>
      </c>
      <c r="U3303" t="s">
        <v>221</v>
      </c>
    </row>
    <row r="3304" spans="1:21">
      <c r="A3304" t="str">
        <f>"600900"</f>
        <v>600900</v>
      </c>
      <c r="B3304" t="s">
        <v>6426</v>
      </c>
      <c r="C3304">
        <v>0.85</v>
      </c>
      <c r="D3304">
        <v>20.21</v>
      </c>
      <c r="E3304">
        <v>0.17</v>
      </c>
      <c r="F3304">
        <v>20.2</v>
      </c>
      <c r="G3304">
        <v>20.21</v>
      </c>
      <c r="H3304">
        <v>303074</v>
      </c>
      <c r="I3304">
        <v>2080</v>
      </c>
      <c r="J3304">
        <v>0.15</v>
      </c>
      <c r="K3304">
        <v>0.13</v>
      </c>
      <c r="L3304">
        <v>61051.63</v>
      </c>
      <c r="M3304" t="s">
        <v>6427</v>
      </c>
      <c r="N3304" t="s">
        <v>472</v>
      </c>
      <c r="O3304">
        <v>20.02</v>
      </c>
      <c r="P3304">
        <v>20.27</v>
      </c>
      <c r="Q3304">
        <v>19.98</v>
      </c>
      <c r="R3304">
        <v>20.04</v>
      </c>
      <c r="S3304">
        <v>17.62</v>
      </c>
      <c r="T3304">
        <v>0.87</v>
      </c>
      <c r="U3304" t="s">
        <v>44</v>
      </c>
    </row>
    <row r="3305" spans="1:21">
      <c r="A3305" t="str">
        <f>"600901"</f>
        <v>600901</v>
      </c>
      <c r="B3305" t="s">
        <v>6428</v>
      </c>
      <c r="C3305">
        <v>0.59</v>
      </c>
      <c r="D3305">
        <v>5.1</v>
      </c>
      <c r="E3305">
        <v>0.03</v>
      </c>
      <c r="F3305">
        <v>5.09</v>
      </c>
      <c r="G3305">
        <v>5.1</v>
      </c>
      <c r="H3305">
        <v>101737</v>
      </c>
      <c r="I3305">
        <v>2314</v>
      </c>
      <c r="J3305">
        <v>0</v>
      </c>
      <c r="K3305">
        <v>0.34</v>
      </c>
      <c r="L3305">
        <v>5162.74</v>
      </c>
      <c r="M3305" t="s">
        <v>6429</v>
      </c>
      <c r="N3305" t="s">
        <v>121</v>
      </c>
      <c r="O3305">
        <v>5.07</v>
      </c>
      <c r="P3305">
        <v>5.1</v>
      </c>
      <c r="Q3305">
        <v>5.05</v>
      </c>
      <c r="R3305">
        <v>5.07</v>
      </c>
      <c r="S3305">
        <v>7.24</v>
      </c>
      <c r="T3305">
        <v>0.67</v>
      </c>
      <c r="U3305" t="s">
        <v>102</v>
      </c>
    </row>
    <row r="3306" spans="1:21">
      <c r="A3306" t="str">
        <f>"600903"</f>
        <v>600903</v>
      </c>
      <c r="B3306" t="s">
        <v>6430</v>
      </c>
      <c r="C3306">
        <v>0.4</v>
      </c>
      <c r="D3306">
        <v>9.98</v>
      </c>
      <c r="E3306">
        <v>0.04</v>
      </c>
      <c r="F3306">
        <v>9.98</v>
      </c>
      <c r="G3306">
        <v>9.99</v>
      </c>
      <c r="H3306">
        <v>80850</v>
      </c>
      <c r="I3306">
        <v>1522</v>
      </c>
      <c r="J3306">
        <v>0</v>
      </c>
      <c r="K3306">
        <v>0.71</v>
      </c>
      <c r="L3306">
        <v>7974.2</v>
      </c>
      <c r="M3306" t="s">
        <v>6431</v>
      </c>
      <c r="N3306" t="s">
        <v>238</v>
      </c>
      <c r="O3306">
        <v>9.94</v>
      </c>
      <c r="P3306">
        <v>9.99</v>
      </c>
      <c r="Q3306">
        <v>9.7</v>
      </c>
      <c r="R3306">
        <v>9.94</v>
      </c>
      <c r="S3306">
        <v>52.57</v>
      </c>
      <c r="T3306">
        <v>1.19</v>
      </c>
      <c r="U3306" t="s">
        <v>368</v>
      </c>
    </row>
    <row r="3307" spans="1:21">
      <c r="A3307" t="str">
        <f>"600905"</f>
        <v>600905</v>
      </c>
      <c r="B3307" t="s">
        <v>6432</v>
      </c>
      <c r="C3307">
        <v>-0.58</v>
      </c>
      <c r="D3307">
        <v>6.86</v>
      </c>
      <c r="E3307">
        <v>-0.04</v>
      </c>
      <c r="F3307">
        <v>6.86</v>
      </c>
      <c r="G3307">
        <v>6.87</v>
      </c>
      <c r="H3307">
        <v>2569372</v>
      </c>
      <c r="I3307">
        <v>26006</v>
      </c>
      <c r="J3307">
        <v>-0.14</v>
      </c>
      <c r="K3307">
        <v>3.7</v>
      </c>
      <c r="L3307">
        <v>175383.73</v>
      </c>
      <c r="M3307" t="s">
        <v>6433</v>
      </c>
      <c r="N3307" t="s">
        <v>114</v>
      </c>
      <c r="O3307">
        <v>6.88</v>
      </c>
      <c r="P3307">
        <v>6.88</v>
      </c>
      <c r="Q3307">
        <v>6.76</v>
      </c>
      <c r="R3307">
        <v>6.9</v>
      </c>
      <c r="S3307">
        <v>36.77</v>
      </c>
      <c r="T3307">
        <v>0.75</v>
      </c>
      <c r="U3307" t="s">
        <v>44</v>
      </c>
    </row>
    <row r="3308" spans="1:21">
      <c r="A3308" t="str">
        <f>"600906"</f>
        <v>600906</v>
      </c>
      <c r="B3308" t="s">
        <v>6434</v>
      </c>
      <c r="C3308">
        <v>3.84</v>
      </c>
      <c r="D3308">
        <v>11.62</v>
      </c>
      <c r="E3308">
        <v>0.43</v>
      </c>
      <c r="F3308">
        <v>11.62</v>
      </c>
      <c r="G3308">
        <v>11.63</v>
      </c>
      <c r="H3308">
        <v>415540</v>
      </c>
      <c r="I3308">
        <v>3928</v>
      </c>
      <c r="J3308">
        <v>0.09</v>
      </c>
      <c r="K3308">
        <v>8.31</v>
      </c>
      <c r="L3308">
        <v>47906.4</v>
      </c>
      <c r="M3308" t="s">
        <v>6435</v>
      </c>
      <c r="N3308" t="s">
        <v>213</v>
      </c>
      <c r="O3308">
        <v>11.19</v>
      </c>
      <c r="P3308">
        <v>11.87</v>
      </c>
      <c r="Q3308">
        <v>11.15</v>
      </c>
      <c r="R3308">
        <v>11.19</v>
      </c>
      <c r="S3308">
        <v>51.8</v>
      </c>
      <c r="T3308">
        <v>2</v>
      </c>
      <c r="U3308" t="s">
        <v>207</v>
      </c>
    </row>
    <row r="3309" spans="1:21">
      <c r="A3309" t="str">
        <f>"600908"</f>
        <v>600908</v>
      </c>
      <c r="B3309" t="s">
        <v>6436</v>
      </c>
      <c r="C3309">
        <v>1.06</v>
      </c>
      <c r="D3309">
        <v>5.72</v>
      </c>
      <c r="E3309">
        <v>0.06</v>
      </c>
      <c r="F3309">
        <v>5.72</v>
      </c>
      <c r="G3309">
        <v>5.73</v>
      </c>
      <c r="H3309">
        <v>142395</v>
      </c>
      <c r="I3309">
        <v>930</v>
      </c>
      <c r="J3309">
        <v>-0.16</v>
      </c>
      <c r="K3309">
        <v>0.81</v>
      </c>
      <c r="L3309">
        <v>8085.26</v>
      </c>
      <c r="M3309" t="s">
        <v>6437</v>
      </c>
      <c r="N3309" t="s">
        <v>23</v>
      </c>
      <c r="O3309">
        <v>5.67</v>
      </c>
      <c r="P3309">
        <v>5.73</v>
      </c>
      <c r="Q3309">
        <v>5.63</v>
      </c>
      <c r="R3309">
        <v>5.66</v>
      </c>
      <c r="S3309">
        <v>6.68</v>
      </c>
      <c r="T3309">
        <v>1.04</v>
      </c>
      <c r="U3309" t="s">
        <v>102</v>
      </c>
    </row>
    <row r="3310" spans="1:21">
      <c r="A3310" t="str">
        <f>"600909"</f>
        <v>600909</v>
      </c>
      <c r="B3310" t="s">
        <v>6438</v>
      </c>
      <c r="C3310">
        <v>1.96</v>
      </c>
      <c r="D3310">
        <v>5.21</v>
      </c>
      <c r="E3310">
        <v>0.1</v>
      </c>
      <c r="F3310">
        <v>5.21</v>
      </c>
      <c r="G3310">
        <v>5.22</v>
      </c>
      <c r="H3310">
        <v>274825</v>
      </c>
      <c r="I3310">
        <v>2890</v>
      </c>
      <c r="J3310">
        <v>0</v>
      </c>
      <c r="K3310">
        <v>0.59</v>
      </c>
      <c r="L3310">
        <v>14230.82</v>
      </c>
      <c r="M3310" t="s">
        <v>6439</v>
      </c>
      <c r="N3310" t="s">
        <v>213</v>
      </c>
      <c r="O3310">
        <v>5.11</v>
      </c>
      <c r="P3310">
        <v>5.23</v>
      </c>
      <c r="Q3310">
        <v>5.1</v>
      </c>
      <c r="R3310">
        <v>5.11</v>
      </c>
      <c r="S3310">
        <v>18.96</v>
      </c>
      <c r="T3310">
        <v>1.61</v>
      </c>
      <c r="U3310" t="s">
        <v>193</v>
      </c>
    </row>
    <row r="3311" spans="1:21">
      <c r="A3311" t="str">
        <f>"600916"</f>
        <v>600916</v>
      </c>
      <c r="B3311" t="s">
        <v>6440</v>
      </c>
      <c r="C3311">
        <v>0.07</v>
      </c>
      <c r="D3311">
        <v>14.11</v>
      </c>
      <c r="E3311">
        <v>0.01</v>
      </c>
      <c r="F3311">
        <v>14.1</v>
      </c>
      <c r="G3311">
        <v>14.11</v>
      </c>
      <c r="H3311">
        <v>33425</v>
      </c>
      <c r="I3311">
        <v>460</v>
      </c>
      <c r="J3311">
        <v>0.07</v>
      </c>
      <c r="K3311">
        <v>1.86</v>
      </c>
      <c r="L3311">
        <v>4694.61</v>
      </c>
      <c r="M3311" t="s">
        <v>6441</v>
      </c>
      <c r="N3311" t="s">
        <v>302</v>
      </c>
      <c r="O3311">
        <v>14.02</v>
      </c>
      <c r="P3311">
        <v>14.12</v>
      </c>
      <c r="Q3311">
        <v>13.99</v>
      </c>
      <c r="R3311">
        <v>14.1</v>
      </c>
      <c r="S3311">
        <v>31.84</v>
      </c>
      <c r="T3311">
        <v>0.78</v>
      </c>
      <c r="U3311" t="s">
        <v>44</v>
      </c>
    </row>
    <row r="3312" spans="1:21">
      <c r="A3312" t="str">
        <f>"600917"</f>
        <v>600917</v>
      </c>
      <c r="B3312" t="s">
        <v>6442</v>
      </c>
      <c r="C3312">
        <v>1.15</v>
      </c>
      <c r="D3312">
        <v>8.78</v>
      </c>
      <c r="E3312">
        <v>0.1</v>
      </c>
      <c r="F3312">
        <v>8.77</v>
      </c>
      <c r="G3312">
        <v>8.78</v>
      </c>
      <c r="H3312">
        <v>82444</v>
      </c>
      <c r="I3312">
        <v>1041</v>
      </c>
      <c r="J3312">
        <v>0</v>
      </c>
      <c r="K3312">
        <v>0.53</v>
      </c>
      <c r="L3312">
        <v>7163.18</v>
      </c>
      <c r="M3312" t="s">
        <v>6443</v>
      </c>
      <c r="N3312" t="s">
        <v>238</v>
      </c>
      <c r="O3312">
        <v>8.66</v>
      </c>
      <c r="P3312">
        <v>8.82</v>
      </c>
      <c r="Q3312">
        <v>8.46</v>
      </c>
      <c r="R3312">
        <v>8.68</v>
      </c>
      <c r="S3312">
        <v>32.89</v>
      </c>
      <c r="T3312">
        <v>0.85</v>
      </c>
      <c r="U3312" t="s">
        <v>314</v>
      </c>
    </row>
    <row r="3313" spans="1:21">
      <c r="A3313" t="str">
        <f>"600918"</f>
        <v>600918</v>
      </c>
      <c r="B3313" t="s">
        <v>6444</v>
      </c>
      <c r="C3313">
        <v>1.74</v>
      </c>
      <c r="D3313">
        <v>9.38</v>
      </c>
      <c r="E3313">
        <v>0.16</v>
      </c>
      <c r="F3313">
        <v>9.37</v>
      </c>
      <c r="G3313">
        <v>9.38</v>
      </c>
      <c r="H3313">
        <v>271580</v>
      </c>
      <c r="I3313">
        <v>3387</v>
      </c>
      <c r="J3313">
        <v>0</v>
      </c>
      <c r="K3313">
        <v>1.04</v>
      </c>
      <c r="L3313">
        <v>25319.32</v>
      </c>
      <c r="M3313" t="s">
        <v>6445</v>
      </c>
      <c r="N3313" t="s">
        <v>213</v>
      </c>
      <c r="O3313">
        <v>9.22</v>
      </c>
      <c r="P3313">
        <v>9.43</v>
      </c>
      <c r="Q3313">
        <v>9.2</v>
      </c>
      <c r="R3313">
        <v>9.22</v>
      </c>
      <c r="S3313">
        <v>19.27</v>
      </c>
      <c r="T3313">
        <v>1.5</v>
      </c>
      <c r="U3313" t="s">
        <v>221</v>
      </c>
    </row>
    <row r="3314" spans="1:21">
      <c r="A3314" t="str">
        <f>"600919"</f>
        <v>600919</v>
      </c>
      <c r="B3314" t="s">
        <v>6446</v>
      </c>
      <c r="C3314">
        <v>0.98</v>
      </c>
      <c r="D3314">
        <v>6.18</v>
      </c>
      <c r="E3314">
        <v>0.06</v>
      </c>
      <c r="F3314">
        <v>6.18</v>
      </c>
      <c r="G3314">
        <v>6.19</v>
      </c>
      <c r="H3314">
        <v>638196</v>
      </c>
      <c r="I3314">
        <v>4935</v>
      </c>
      <c r="J3314">
        <v>-0.15</v>
      </c>
      <c r="K3314">
        <v>0.43</v>
      </c>
      <c r="L3314">
        <v>39189.64</v>
      </c>
      <c r="M3314" t="s">
        <v>6447</v>
      </c>
      <c r="N3314" t="s">
        <v>23</v>
      </c>
      <c r="O3314">
        <v>6.15</v>
      </c>
      <c r="P3314">
        <v>6.2</v>
      </c>
      <c r="Q3314">
        <v>6.1</v>
      </c>
      <c r="R3314">
        <v>6.12</v>
      </c>
      <c r="S3314">
        <v>4.39</v>
      </c>
      <c r="T3314">
        <v>0.85</v>
      </c>
      <c r="U3314" t="s">
        <v>102</v>
      </c>
    </row>
    <row r="3315" spans="1:21">
      <c r="A3315" t="str">
        <f>"600926"</f>
        <v>600926</v>
      </c>
      <c r="B3315" t="s">
        <v>6448</v>
      </c>
      <c r="C3315">
        <v>2.46</v>
      </c>
      <c r="D3315">
        <v>14.55</v>
      </c>
      <c r="E3315">
        <v>0.35</v>
      </c>
      <c r="F3315">
        <v>14.55</v>
      </c>
      <c r="G3315">
        <v>14.56</v>
      </c>
      <c r="H3315">
        <v>139136</v>
      </c>
      <c r="I3315">
        <v>1119</v>
      </c>
      <c r="J3315">
        <v>-0.13</v>
      </c>
      <c r="K3315">
        <v>0.27</v>
      </c>
      <c r="L3315">
        <v>20058.18</v>
      </c>
      <c r="M3315" t="s">
        <v>6449</v>
      </c>
      <c r="N3315" t="s">
        <v>23</v>
      </c>
      <c r="O3315">
        <v>14.17</v>
      </c>
      <c r="P3315">
        <v>14.62</v>
      </c>
      <c r="Q3315">
        <v>14.12</v>
      </c>
      <c r="R3315">
        <v>14.2</v>
      </c>
      <c r="S3315">
        <v>9.2</v>
      </c>
      <c r="T3315">
        <v>0.81</v>
      </c>
      <c r="U3315" t="s">
        <v>200</v>
      </c>
    </row>
    <row r="3316" spans="1:21">
      <c r="A3316" t="str">
        <f>"600928"</f>
        <v>600928</v>
      </c>
      <c r="B3316" t="s">
        <v>6450</v>
      </c>
      <c r="C3316">
        <v>1.17</v>
      </c>
      <c r="D3316">
        <v>4.31</v>
      </c>
      <c r="E3316">
        <v>0.05</v>
      </c>
      <c r="F3316">
        <v>4.3</v>
      </c>
      <c r="G3316">
        <v>4.31</v>
      </c>
      <c r="H3316">
        <v>63934</v>
      </c>
      <c r="I3316">
        <v>592</v>
      </c>
      <c r="J3316">
        <v>0</v>
      </c>
      <c r="K3316">
        <v>0.55</v>
      </c>
      <c r="L3316">
        <v>2735.28</v>
      </c>
      <c r="M3316" t="s">
        <v>6451</v>
      </c>
      <c r="N3316" t="s">
        <v>23</v>
      </c>
      <c r="O3316">
        <v>4.27</v>
      </c>
      <c r="P3316">
        <v>4.31</v>
      </c>
      <c r="Q3316">
        <v>4.25</v>
      </c>
      <c r="R3316">
        <v>4.26</v>
      </c>
      <c r="S3316">
        <v>7.08</v>
      </c>
      <c r="T3316">
        <v>1.08</v>
      </c>
      <c r="U3316" t="s">
        <v>317</v>
      </c>
    </row>
    <row r="3317" spans="1:21">
      <c r="A3317" t="str">
        <f>"600929"</f>
        <v>600929</v>
      </c>
      <c r="B3317" t="s">
        <v>6452</v>
      </c>
      <c r="C3317">
        <v>4.48</v>
      </c>
      <c r="D3317">
        <v>7.93</v>
      </c>
      <c r="E3317">
        <v>0.34</v>
      </c>
      <c r="F3317">
        <v>7.92</v>
      </c>
      <c r="G3317">
        <v>7.93</v>
      </c>
      <c r="H3317">
        <v>180604</v>
      </c>
      <c r="I3317">
        <v>1509</v>
      </c>
      <c r="J3317">
        <v>0.63</v>
      </c>
      <c r="K3317">
        <v>1.97</v>
      </c>
      <c r="L3317">
        <v>14282.24</v>
      </c>
      <c r="M3317" t="s">
        <v>6453</v>
      </c>
      <c r="N3317" t="s">
        <v>299</v>
      </c>
      <c r="O3317">
        <v>7.6</v>
      </c>
      <c r="P3317">
        <v>8.06</v>
      </c>
      <c r="Q3317">
        <v>7.59</v>
      </c>
      <c r="R3317">
        <v>7.59</v>
      </c>
      <c r="S3317">
        <v>67.76</v>
      </c>
      <c r="T3317">
        <v>1.84</v>
      </c>
      <c r="U3317" t="s">
        <v>204</v>
      </c>
    </row>
    <row r="3318" spans="1:21">
      <c r="A3318" t="str">
        <f>"600933"</f>
        <v>600933</v>
      </c>
      <c r="B3318" t="s">
        <v>6454</v>
      </c>
      <c r="C3318">
        <v>0.88</v>
      </c>
      <c r="D3318">
        <v>15.97</v>
      </c>
      <c r="E3318">
        <v>0.14</v>
      </c>
      <c r="F3318">
        <v>15.97</v>
      </c>
      <c r="G3318">
        <v>15.99</v>
      </c>
      <c r="H3318">
        <v>32088</v>
      </c>
      <c r="I3318">
        <v>194</v>
      </c>
      <c r="J3318">
        <v>-0.12</v>
      </c>
      <c r="K3318">
        <v>0.37</v>
      </c>
      <c r="L3318">
        <v>5116.11</v>
      </c>
      <c r="M3318" t="s">
        <v>2401</v>
      </c>
      <c r="N3318" t="s">
        <v>91</v>
      </c>
      <c r="O3318">
        <v>15.87</v>
      </c>
      <c r="P3318">
        <v>16.22</v>
      </c>
      <c r="Q3318">
        <v>15.51</v>
      </c>
      <c r="R3318">
        <v>15.83</v>
      </c>
      <c r="S3318">
        <v>36.98</v>
      </c>
      <c r="T3318">
        <v>0.63</v>
      </c>
      <c r="U3318" t="s">
        <v>200</v>
      </c>
    </row>
    <row r="3319" spans="1:21">
      <c r="A3319" t="str">
        <f>"600936"</f>
        <v>600936</v>
      </c>
      <c r="B3319" t="s">
        <v>6455</v>
      </c>
      <c r="C3319">
        <v>0.38</v>
      </c>
      <c r="D3319">
        <v>2.65</v>
      </c>
      <c r="E3319">
        <v>0.01</v>
      </c>
      <c r="F3319">
        <v>2.65</v>
      </c>
      <c r="G3319">
        <v>2.66</v>
      </c>
      <c r="H3319">
        <v>38926</v>
      </c>
      <c r="I3319">
        <v>112</v>
      </c>
      <c r="J3319">
        <v>-0.37</v>
      </c>
      <c r="K3319">
        <v>0.23</v>
      </c>
      <c r="L3319">
        <v>1029.8</v>
      </c>
      <c r="M3319" t="s">
        <v>6456</v>
      </c>
      <c r="N3319" t="s">
        <v>199</v>
      </c>
      <c r="O3319">
        <v>2.64</v>
      </c>
      <c r="P3319">
        <v>2.66</v>
      </c>
      <c r="Q3319">
        <v>2.63</v>
      </c>
      <c r="R3319">
        <v>2.64</v>
      </c>
      <c r="S3319" t="s">
        <v>40</v>
      </c>
      <c r="T3319">
        <v>0.56</v>
      </c>
      <c r="U3319" t="s">
        <v>342</v>
      </c>
    </row>
    <row r="3320" spans="1:21">
      <c r="A3320" t="str">
        <f>"600939"</f>
        <v>600939</v>
      </c>
      <c r="B3320" t="s">
        <v>6457</v>
      </c>
      <c r="C3320">
        <v>0.89</v>
      </c>
      <c r="D3320">
        <v>3.41</v>
      </c>
      <c r="E3320">
        <v>0.03</v>
      </c>
      <c r="F3320">
        <v>3.4</v>
      </c>
      <c r="G3320">
        <v>3.41</v>
      </c>
      <c r="H3320">
        <v>15522</v>
      </c>
      <c r="I3320">
        <v>1342</v>
      </c>
      <c r="J3320">
        <v>0</v>
      </c>
      <c r="K3320">
        <v>0.09</v>
      </c>
      <c r="L3320">
        <v>527.16</v>
      </c>
      <c r="M3320" t="s">
        <v>6458</v>
      </c>
      <c r="N3320" t="s">
        <v>50</v>
      </c>
      <c r="O3320">
        <v>3.37</v>
      </c>
      <c r="P3320">
        <v>3.42</v>
      </c>
      <c r="Q3320">
        <v>3.37</v>
      </c>
      <c r="R3320">
        <v>3.38</v>
      </c>
      <c r="S3320">
        <v>13.01</v>
      </c>
      <c r="T3320">
        <v>0.62</v>
      </c>
      <c r="U3320" t="s">
        <v>314</v>
      </c>
    </row>
    <row r="3321" spans="1:21">
      <c r="A3321" t="str">
        <f>"600955"</f>
        <v>600955</v>
      </c>
      <c r="B3321" t="s">
        <v>6459</v>
      </c>
      <c r="C3321">
        <v>5.27</v>
      </c>
      <c r="D3321">
        <v>46.71</v>
      </c>
      <c r="E3321">
        <v>2.34</v>
      </c>
      <c r="F3321">
        <v>46.7</v>
      </c>
      <c r="G3321">
        <v>46.71</v>
      </c>
      <c r="H3321">
        <v>152595</v>
      </c>
      <c r="I3321">
        <v>4367</v>
      </c>
      <c r="J3321">
        <v>-0.05</v>
      </c>
      <c r="K3321">
        <v>11.1</v>
      </c>
      <c r="L3321">
        <v>69917</v>
      </c>
      <c r="M3321" t="s">
        <v>6460</v>
      </c>
      <c r="N3321" t="s">
        <v>309</v>
      </c>
      <c r="O3321">
        <v>44.16</v>
      </c>
      <c r="P3321">
        <v>48</v>
      </c>
      <c r="Q3321">
        <v>43.63</v>
      </c>
      <c r="R3321">
        <v>44.37</v>
      </c>
      <c r="S3321">
        <v>10.57</v>
      </c>
      <c r="T3321">
        <v>1.84</v>
      </c>
      <c r="U3321" t="s">
        <v>221</v>
      </c>
    </row>
    <row r="3322" spans="1:21">
      <c r="A3322" t="str">
        <f>"600956"</f>
        <v>600956</v>
      </c>
      <c r="B3322" t="s">
        <v>6461</v>
      </c>
      <c r="C3322">
        <v>0.72</v>
      </c>
      <c r="D3322">
        <v>16.84</v>
      </c>
      <c r="E3322">
        <v>0.12</v>
      </c>
      <c r="F3322">
        <v>16.83</v>
      </c>
      <c r="G3322">
        <v>16.84</v>
      </c>
      <c r="H3322">
        <v>141293</v>
      </c>
      <c r="I3322">
        <v>2643</v>
      </c>
      <c r="J3322">
        <v>0.12</v>
      </c>
      <c r="K3322">
        <v>10.49</v>
      </c>
      <c r="L3322">
        <v>23452.17</v>
      </c>
      <c r="M3322" t="s">
        <v>6462</v>
      </c>
      <c r="N3322" t="s">
        <v>238</v>
      </c>
      <c r="O3322">
        <v>16.3</v>
      </c>
      <c r="P3322">
        <v>16.87</v>
      </c>
      <c r="Q3322">
        <v>16.1</v>
      </c>
      <c r="R3322">
        <v>16.72</v>
      </c>
      <c r="S3322">
        <v>31.74</v>
      </c>
      <c r="T3322">
        <v>1.08</v>
      </c>
      <c r="U3322" t="s">
        <v>207</v>
      </c>
    </row>
    <row r="3323" spans="1:21">
      <c r="A3323" t="str">
        <f>"600958"</f>
        <v>600958</v>
      </c>
      <c r="B3323" t="s">
        <v>6463</v>
      </c>
      <c r="C3323">
        <v>4.42</v>
      </c>
      <c r="D3323">
        <v>13.93</v>
      </c>
      <c r="E3323">
        <v>0.59</v>
      </c>
      <c r="F3323">
        <v>13.93</v>
      </c>
      <c r="G3323">
        <v>13.94</v>
      </c>
      <c r="H3323">
        <v>1823223</v>
      </c>
      <c r="I3323">
        <v>16334</v>
      </c>
      <c r="J3323">
        <v>0</v>
      </c>
      <c r="K3323">
        <v>3.18</v>
      </c>
      <c r="L3323">
        <v>250844.42</v>
      </c>
      <c r="M3323" t="s">
        <v>6464</v>
      </c>
      <c r="N3323" t="s">
        <v>213</v>
      </c>
      <c r="O3323">
        <v>13.27</v>
      </c>
      <c r="P3323">
        <v>14.14</v>
      </c>
      <c r="Q3323">
        <v>13.21</v>
      </c>
      <c r="R3323">
        <v>13.34</v>
      </c>
      <c r="S3323">
        <v>16.91</v>
      </c>
      <c r="T3323">
        <v>1.96</v>
      </c>
      <c r="U3323" t="s">
        <v>848</v>
      </c>
    </row>
    <row r="3324" spans="1:21">
      <c r="A3324" t="str">
        <f>"600959"</f>
        <v>600959</v>
      </c>
      <c r="B3324" t="s">
        <v>6465</v>
      </c>
      <c r="C3324">
        <v>0</v>
      </c>
      <c r="D3324">
        <v>2.99</v>
      </c>
      <c r="E3324">
        <v>0</v>
      </c>
      <c r="F3324">
        <v>2.99</v>
      </c>
      <c r="G3324">
        <v>3</v>
      </c>
      <c r="H3324">
        <v>117869</v>
      </c>
      <c r="I3324">
        <v>1272</v>
      </c>
      <c r="J3324">
        <v>-0.32</v>
      </c>
      <c r="K3324">
        <v>0.26</v>
      </c>
      <c r="L3324">
        <v>3522.78</v>
      </c>
      <c r="M3324" t="s">
        <v>6466</v>
      </c>
      <c r="N3324" t="s">
        <v>199</v>
      </c>
      <c r="O3324">
        <v>2.98</v>
      </c>
      <c r="P3324">
        <v>3</v>
      </c>
      <c r="Q3324">
        <v>2.97</v>
      </c>
      <c r="R3324">
        <v>2.99</v>
      </c>
      <c r="S3324">
        <v>46.45</v>
      </c>
      <c r="T3324">
        <v>0.62</v>
      </c>
      <c r="U3324" t="s">
        <v>102</v>
      </c>
    </row>
    <row r="3325" spans="1:21">
      <c r="A3325" t="str">
        <f>"600960"</f>
        <v>600960</v>
      </c>
      <c r="B3325" t="s">
        <v>6467</v>
      </c>
      <c r="C3325">
        <v>1.33</v>
      </c>
      <c r="D3325">
        <v>3.82</v>
      </c>
      <c r="E3325">
        <v>0.05</v>
      </c>
      <c r="F3325">
        <v>3.82</v>
      </c>
      <c r="G3325">
        <v>3.83</v>
      </c>
      <c r="H3325">
        <v>131352</v>
      </c>
      <c r="I3325">
        <v>2168</v>
      </c>
      <c r="J3325">
        <v>0.26</v>
      </c>
      <c r="K3325">
        <v>1.38</v>
      </c>
      <c r="L3325">
        <v>4995.66</v>
      </c>
      <c r="M3325" t="s">
        <v>6468</v>
      </c>
      <c r="N3325" t="s">
        <v>91</v>
      </c>
      <c r="O3325">
        <v>3.77</v>
      </c>
      <c r="P3325">
        <v>3.88</v>
      </c>
      <c r="Q3325">
        <v>3.72</v>
      </c>
      <c r="R3325">
        <v>3.77</v>
      </c>
      <c r="S3325" t="s">
        <v>40</v>
      </c>
      <c r="T3325">
        <v>1.12</v>
      </c>
      <c r="U3325" t="s">
        <v>221</v>
      </c>
    </row>
    <row r="3326" spans="1:21">
      <c r="A3326" t="str">
        <f>"600961"</f>
        <v>600961</v>
      </c>
      <c r="B3326" t="s">
        <v>6469</v>
      </c>
      <c r="C3326">
        <v>-0.34</v>
      </c>
      <c r="D3326">
        <v>8.71</v>
      </c>
      <c r="E3326">
        <v>-0.03</v>
      </c>
      <c r="F3326">
        <v>8.7</v>
      </c>
      <c r="G3326">
        <v>8.71</v>
      </c>
      <c r="H3326">
        <v>142552</v>
      </c>
      <c r="I3326">
        <v>1419</v>
      </c>
      <c r="J3326">
        <v>0.11</v>
      </c>
      <c r="K3326">
        <v>2.7</v>
      </c>
      <c r="L3326">
        <v>12283.06</v>
      </c>
      <c r="M3326" t="s">
        <v>6470</v>
      </c>
      <c r="N3326" t="s">
        <v>144</v>
      </c>
      <c r="O3326">
        <v>8.7</v>
      </c>
      <c r="P3326">
        <v>8.76</v>
      </c>
      <c r="Q3326">
        <v>8.49</v>
      </c>
      <c r="R3326">
        <v>8.74</v>
      </c>
      <c r="S3326">
        <v>23.3</v>
      </c>
      <c r="T3326">
        <v>1.05</v>
      </c>
      <c r="U3326" t="s">
        <v>204</v>
      </c>
    </row>
    <row r="3327" spans="1:21">
      <c r="A3327" t="str">
        <f>"600962"</f>
        <v>600962</v>
      </c>
      <c r="B3327" t="s">
        <v>6471</v>
      </c>
      <c r="C3327">
        <v>-0.31</v>
      </c>
      <c r="D3327">
        <v>9.75</v>
      </c>
      <c r="E3327">
        <v>-0.03</v>
      </c>
      <c r="F3327">
        <v>9.72</v>
      </c>
      <c r="G3327">
        <v>9.75</v>
      </c>
      <c r="H3327">
        <v>65587</v>
      </c>
      <c r="I3327">
        <v>1324</v>
      </c>
      <c r="J3327">
        <v>0.31</v>
      </c>
      <c r="K3327">
        <v>2.58</v>
      </c>
      <c r="L3327">
        <v>6346.79</v>
      </c>
      <c r="M3327" t="s">
        <v>6472</v>
      </c>
      <c r="N3327" t="s">
        <v>825</v>
      </c>
      <c r="O3327">
        <v>9.87</v>
      </c>
      <c r="P3327">
        <v>9.91</v>
      </c>
      <c r="Q3327">
        <v>9.53</v>
      </c>
      <c r="R3327">
        <v>9.78</v>
      </c>
      <c r="S3327">
        <v>652.87</v>
      </c>
      <c r="T3327">
        <v>0.59</v>
      </c>
      <c r="U3327" t="s">
        <v>44</v>
      </c>
    </row>
    <row r="3328" spans="1:21">
      <c r="A3328" t="str">
        <f>"600963"</f>
        <v>600963</v>
      </c>
      <c r="B3328" t="s">
        <v>6473</v>
      </c>
      <c r="C3328">
        <v>2.26</v>
      </c>
      <c r="D3328">
        <v>7.23</v>
      </c>
      <c r="E3328">
        <v>0.16</v>
      </c>
      <c r="F3328">
        <v>7.22</v>
      </c>
      <c r="G3328">
        <v>7.23</v>
      </c>
      <c r="H3328">
        <v>348888</v>
      </c>
      <c r="I3328">
        <v>5444</v>
      </c>
      <c r="J3328">
        <v>0.14</v>
      </c>
      <c r="K3328">
        <v>1.97</v>
      </c>
      <c r="L3328">
        <v>25251.26</v>
      </c>
      <c r="M3328" t="s">
        <v>6474</v>
      </c>
      <c r="N3328" t="s">
        <v>285</v>
      </c>
      <c r="O3328">
        <v>7.09</v>
      </c>
      <c r="P3328">
        <v>7.4</v>
      </c>
      <c r="Q3328">
        <v>7.07</v>
      </c>
      <c r="R3328">
        <v>7.07</v>
      </c>
      <c r="S3328">
        <v>27.39</v>
      </c>
      <c r="T3328">
        <v>0.98</v>
      </c>
      <c r="U3328" t="s">
        <v>204</v>
      </c>
    </row>
    <row r="3329" spans="1:21">
      <c r="A3329" t="str">
        <f>"600965"</f>
        <v>600965</v>
      </c>
      <c r="B3329" t="s">
        <v>6475</v>
      </c>
      <c r="C3329">
        <v>2.28</v>
      </c>
      <c r="D3329">
        <v>6.72</v>
      </c>
      <c r="E3329">
        <v>0.15</v>
      </c>
      <c r="F3329">
        <v>6.71</v>
      </c>
      <c r="G3329">
        <v>6.72</v>
      </c>
      <c r="H3329">
        <v>83008</v>
      </c>
      <c r="I3329">
        <v>2609</v>
      </c>
      <c r="J3329">
        <v>0.3</v>
      </c>
      <c r="K3329">
        <v>1.01</v>
      </c>
      <c r="L3329">
        <v>5488.24</v>
      </c>
      <c r="M3329" t="s">
        <v>6476</v>
      </c>
      <c r="N3329" t="s">
        <v>147</v>
      </c>
      <c r="O3329">
        <v>6.57</v>
      </c>
      <c r="P3329">
        <v>6.77</v>
      </c>
      <c r="Q3329">
        <v>6.43</v>
      </c>
      <c r="R3329">
        <v>6.57</v>
      </c>
      <c r="S3329">
        <v>27.92</v>
      </c>
      <c r="T3329">
        <v>1.37</v>
      </c>
      <c r="U3329" t="s">
        <v>207</v>
      </c>
    </row>
    <row r="3330" spans="1:21">
      <c r="A3330" t="str">
        <f>"600966"</f>
        <v>600966</v>
      </c>
      <c r="B3330" t="s">
        <v>6477</v>
      </c>
      <c r="C3330">
        <v>0.59</v>
      </c>
      <c r="D3330">
        <v>10.31</v>
      </c>
      <c r="E3330">
        <v>0.06</v>
      </c>
      <c r="F3330">
        <v>10.3</v>
      </c>
      <c r="G3330">
        <v>10.31</v>
      </c>
      <c r="H3330">
        <v>104528</v>
      </c>
      <c r="I3330">
        <v>1116</v>
      </c>
      <c r="J3330">
        <v>0.1</v>
      </c>
      <c r="K3330">
        <v>0.78</v>
      </c>
      <c r="L3330">
        <v>10661.04</v>
      </c>
      <c r="M3330" t="s">
        <v>6478</v>
      </c>
      <c r="N3330" t="s">
        <v>285</v>
      </c>
      <c r="O3330">
        <v>10.21</v>
      </c>
      <c r="P3330">
        <v>10.31</v>
      </c>
      <c r="Q3330">
        <v>10.11</v>
      </c>
      <c r="R3330">
        <v>10.25</v>
      </c>
      <c r="S3330">
        <v>5.39</v>
      </c>
      <c r="T3330">
        <v>0.96</v>
      </c>
      <c r="U3330" t="s">
        <v>221</v>
      </c>
    </row>
    <row r="3331" spans="1:21">
      <c r="A3331" t="str">
        <f>"600967"</f>
        <v>600967</v>
      </c>
      <c r="B3331" t="s">
        <v>6479</v>
      </c>
      <c r="C3331">
        <v>-0.19</v>
      </c>
      <c r="D3331">
        <v>10.53</v>
      </c>
      <c r="E3331">
        <v>-0.02</v>
      </c>
      <c r="F3331">
        <v>10.53</v>
      </c>
      <c r="G3331">
        <v>10.54</v>
      </c>
      <c r="H3331">
        <v>172382</v>
      </c>
      <c r="I3331">
        <v>1525</v>
      </c>
      <c r="J3331">
        <v>0.19</v>
      </c>
      <c r="K3331">
        <v>1.02</v>
      </c>
      <c r="L3331">
        <v>18177.03</v>
      </c>
      <c r="M3331" t="s">
        <v>6480</v>
      </c>
      <c r="N3331" t="s">
        <v>43</v>
      </c>
      <c r="O3331">
        <v>10.55</v>
      </c>
      <c r="P3331">
        <v>10.64</v>
      </c>
      <c r="Q3331">
        <v>10.48</v>
      </c>
      <c r="R3331">
        <v>10.55</v>
      </c>
      <c r="S3331">
        <v>25.91</v>
      </c>
      <c r="T3331">
        <v>0.84</v>
      </c>
      <c r="U3331" t="s">
        <v>275</v>
      </c>
    </row>
    <row r="3332" spans="1:21">
      <c r="A3332" t="str">
        <f>"600968"</f>
        <v>600968</v>
      </c>
      <c r="B3332" t="s">
        <v>6481</v>
      </c>
      <c r="C3332">
        <v>2.94</v>
      </c>
      <c r="D3332">
        <v>2.8</v>
      </c>
      <c r="E3332">
        <v>0.08</v>
      </c>
      <c r="F3332">
        <v>2.79</v>
      </c>
      <c r="G3332">
        <v>2.8</v>
      </c>
      <c r="H3332">
        <v>648367</v>
      </c>
      <c r="I3332">
        <v>11796</v>
      </c>
      <c r="J3332">
        <v>0.36</v>
      </c>
      <c r="K3332">
        <v>3.48</v>
      </c>
      <c r="L3332">
        <v>17929.28</v>
      </c>
      <c r="M3332" t="s">
        <v>6482</v>
      </c>
      <c r="N3332" t="s">
        <v>996</v>
      </c>
      <c r="O3332">
        <v>2.73</v>
      </c>
      <c r="P3332">
        <v>2.81</v>
      </c>
      <c r="Q3332">
        <v>2.68</v>
      </c>
      <c r="R3332">
        <v>2.72</v>
      </c>
      <c r="S3332">
        <v>15.9</v>
      </c>
      <c r="T3332">
        <v>1.56</v>
      </c>
      <c r="U3332" t="s">
        <v>44</v>
      </c>
    </row>
    <row r="3333" spans="1:21">
      <c r="A3333" t="str">
        <f>"600969"</f>
        <v>600969</v>
      </c>
      <c r="B3333" t="s">
        <v>6483</v>
      </c>
      <c r="C3333">
        <v>1.15</v>
      </c>
      <c r="D3333">
        <v>7.06</v>
      </c>
      <c r="E3333">
        <v>0.08</v>
      </c>
      <c r="F3333">
        <v>7.06</v>
      </c>
      <c r="G3333">
        <v>7.07</v>
      </c>
      <c r="H3333">
        <v>51429</v>
      </c>
      <c r="I3333">
        <v>959</v>
      </c>
      <c r="J3333">
        <v>0</v>
      </c>
      <c r="K3333">
        <v>1.39</v>
      </c>
      <c r="L3333">
        <v>3594.27</v>
      </c>
      <c r="M3333" t="s">
        <v>2695</v>
      </c>
      <c r="N3333" t="s">
        <v>472</v>
      </c>
      <c r="O3333">
        <v>6.94</v>
      </c>
      <c r="P3333">
        <v>7.14</v>
      </c>
      <c r="Q3333">
        <v>6.87</v>
      </c>
      <c r="R3333">
        <v>6.98</v>
      </c>
      <c r="S3333">
        <v>51.13</v>
      </c>
      <c r="T3333">
        <v>0.98</v>
      </c>
      <c r="U3333" t="s">
        <v>204</v>
      </c>
    </row>
    <row r="3334" spans="1:21">
      <c r="A3334" t="str">
        <f>"600970"</f>
        <v>600970</v>
      </c>
      <c r="B3334" t="s">
        <v>6484</v>
      </c>
      <c r="C3334">
        <v>-0.45</v>
      </c>
      <c r="D3334">
        <v>11.04</v>
      </c>
      <c r="E3334">
        <v>-0.05</v>
      </c>
      <c r="F3334">
        <v>11.03</v>
      </c>
      <c r="G3334">
        <v>11.04</v>
      </c>
      <c r="H3334">
        <v>115879</v>
      </c>
      <c r="I3334">
        <v>2247</v>
      </c>
      <c r="J3334">
        <v>0.36</v>
      </c>
      <c r="K3334">
        <v>0.67</v>
      </c>
      <c r="L3334">
        <v>12811.16</v>
      </c>
      <c r="M3334" t="s">
        <v>6485</v>
      </c>
      <c r="N3334" t="s">
        <v>50</v>
      </c>
      <c r="O3334">
        <v>11.2</v>
      </c>
      <c r="P3334">
        <v>11.2</v>
      </c>
      <c r="Q3334">
        <v>10.94</v>
      </c>
      <c r="R3334">
        <v>11.09</v>
      </c>
      <c r="S3334">
        <v>12.87</v>
      </c>
      <c r="T3334">
        <v>0.88</v>
      </c>
      <c r="U3334" t="s">
        <v>102</v>
      </c>
    </row>
    <row r="3335" spans="1:21">
      <c r="A3335" t="str">
        <f>"600971"</f>
        <v>600971</v>
      </c>
      <c r="B3335" t="s">
        <v>6486</v>
      </c>
      <c r="C3335">
        <v>1.29</v>
      </c>
      <c r="D3335">
        <v>6.29</v>
      </c>
      <c r="E3335">
        <v>0.08</v>
      </c>
      <c r="F3335">
        <v>6.29</v>
      </c>
      <c r="G3335">
        <v>6.3</v>
      </c>
      <c r="H3335">
        <v>141723</v>
      </c>
      <c r="I3335">
        <v>1672</v>
      </c>
      <c r="J3335">
        <v>-0.15</v>
      </c>
      <c r="K3335">
        <v>1.18</v>
      </c>
      <c r="L3335">
        <v>8791.18</v>
      </c>
      <c r="M3335" t="s">
        <v>6487</v>
      </c>
      <c r="N3335" t="s">
        <v>390</v>
      </c>
      <c r="O3335">
        <v>6.24</v>
      </c>
      <c r="P3335">
        <v>6.31</v>
      </c>
      <c r="Q3335">
        <v>6.1</v>
      </c>
      <c r="R3335">
        <v>6.21</v>
      </c>
      <c r="S3335">
        <v>6.96</v>
      </c>
      <c r="T3335">
        <v>1.03</v>
      </c>
      <c r="U3335" t="s">
        <v>193</v>
      </c>
    </row>
    <row r="3336" spans="1:21">
      <c r="A3336" t="str">
        <f>"600973"</f>
        <v>600973</v>
      </c>
      <c r="B3336" t="s">
        <v>6488</v>
      </c>
      <c r="C3336">
        <v>-4.29</v>
      </c>
      <c r="D3336">
        <v>6.47</v>
      </c>
      <c r="E3336">
        <v>-0.29</v>
      </c>
      <c r="F3336">
        <v>6.47</v>
      </c>
      <c r="G3336">
        <v>6.48</v>
      </c>
      <c r="H3336">
        <v>1322638</v>
      </c>
      <c r="I3336">
        <v>11896</v>
      </c>
      <c r="J3336">
        <v>0.15</v>
      </c>
      <c r="K3336">
        <v>10.56</v>
      </c>
      <c r="L3336">
        <v>86619.22</v>
      </c>
      <c r="M3336" t="s">
        <v>5636</v>
      </c>
      <c r="N3336" t="s">
        <v>47</v>
      </c>
      <c r="O3336">
        <v>6.52</v>
      </c>
      <c r="P3336">
        <v>6.85</v>
      </c>
      <c r="Q3336">
        <v>6.4</v>
      </c>
      <c r="R3336">
        <v>6.76</v>
      </c>
      <c r="S3336">
        <v>23.25</v>
      </c>
      <c r="T3336">
        <v>1.17</v>
      </c>
      <c r="U3336" t="s">
        <v>102</v>
      </c>
    </row>
    <row r="3337" spans="1:21">
      <c r="A3337" t="str">
        <f>"600975"</f>
        <v>600975</v>
      </c>
      <c r="B3337" t="s">
        <v>6489</v>
      </c>
      <c r="C3337">
        <v>0</v>
      </c>
      <c r="D3337">
        <v>6.68</v>
      </c>
      <c r="E3337">
        <v>0</v>
      </c>
      <c r="F3337">
        <v>6.68</v>
      </c>
      <c r="G3337">
        <v>6.69</v>
      </c>
      <c r="H3337">
        <v>117720</v>
      </c>
      <c r="I3337">
        <v>2184</v>
      </c>
      <c r="J3337">
        <v>0</v>
      </c>
      <c r="K3337">
        <v>1.8</v>
      </c>
      <c r="L3337">
        <v>7803.22</v>
      </c>
      <c r="M3337" t="s">
        <v>6490</v>
      </c>
      <c r="N3337" t="s">
        <v>147</v>
      </c>
      <c r="O3337">
        <v>6.69</v>
      </c>
      <c r="P3337">
        <v>6.71</v>
      </c>
      <c r="Q3337">
        <v>6.58</v>
      </c>
      <c r="R3337">
        <v>6.68</v>
      </c>
      <c r="S3337" t="s">
        <v>40</v>
      </c>
      <c r="T3337">
        <v>0.81</v>
      </c>
      <c r="U3337" t="s">
        <v>204</v>
      </c>
    </row>
    <row r="3338" spans="1:21">
      <c r="A3338" t="str">
        <f>"600976"</f>
        <v>600976</v>
      </c>
      <c r="B3338" t="s">
        <v>6491</v>
      </c>
      <c r="C3338">
        <v>-1.88</v>
      </c>
      <c r="D3338">
        <v>53.3</v>
      </c>
      <c r="E3338">
        <v>-1.02</v>
      </c>
      <c r="F3338">
        <v>53.18</v>
      </c>
      <c r="G3338">
        <v>53.3</v>
      </c>
      <c r="H3338">
        <v>54318</v>
      </c>
      <c r="I3338">
        <v>233</v>
      </c>
      <c r="J3338">
        <v>0.47</v>
      </c>
      <c r="K3338">
        <v>3.57</v>
      </c>
      <c r="L3338">
        <v>28838.26</v>
      </c>
      <c r="M3338" t="s">
        <v>6492</v>
      </c>
      <c r="N3338" t="s">
        <v>270</v>
      </c>
      <c r="O3338">
        <v>54.6</v>
      </c>
      <c r="P3338">
        <v>55.48</v>
      </c>
      <c r="Q3338">
        <v>51.88</v>
      </c>
      <c r="R3338">
        <v>54.32</v>
      </c>
      <c r="S3338">
        <v>23.85</v>
      </c>
      <c r="T3338">
        <v>1</v>
      </c>
      <c r="U3338" t="s">
        <v>267</v>
      </c>
    </row>
    <row r="3339" spans="1:21">
      <c r="A3339" t="str">
        <f>"600977"</f>
        <v>600977</v>
      </c>
      <c r="B3339" t="s">
        <v>6493</v>
      </c>
      <c r="C3339">
        <v>0.76</v>
      </c>
      <c r="D3339">
        <v>11.86</v>
      </c>
      <c r="E3339">
        <v>0.09</v>
      </c>
      <c r="F3339">
        <v>11.85</v>
      </c>
      <c r="G3339">
        <v>11.86</v>
      </c>
      <c r="H3339">
        <v>73230</v>
      </c>
      <c r="I3339">
        <v>1995</v>
      </c>
      <c r="J3339">
        <v>-0.16</v>
      </c>
      <c r="K3339">
        <v>0.39</v>
      </c>
      <c r="L3339">
        <v>8643.88</v>
      </c>
      <c r="M3339" t="s">
        <v>6494</v>
      </c>
      <c r="N3339" t="s">
        <v>199</v>
      </c>
      <c r="O3339">
        <v>11.76</v>
      </c>
      <c r="P3339">
        <v>11.89</v>
      </c>
      <c r="Q3339">
        <v>11.72</v>
      </c>
      <c r="R3339">
        <v>11.77</v>
      </c>
      <c r="S3339">
        <v>63.48</v>
      </c>
      <c r="T3339">
        <v>0.82</v>
      </c>
      <c r="U3339" t="s">
        <v>44</v>
      </c>
    </row>
    <row r="3340" spans="1:21">
      <c r="A3340" t="str">
        <f>"600979"</f>
        <v>600979</v>
      </c>
      <c r="B3340" t="s">
        <v>6495</v>
      </c>
      <c r="C3340">
        <v>0.3</v>
      </c>
      <c r="D3340">
        <v>3.37</v>
      </c>
      <c r="E3340">
        <v>0.01</v>
      </c>
      <c r="F3340">
        <v>3.36</v>
      </c>
      <c r="G3340">
        <v>3.37</v>
      </c>
      <c r="H3340">
        <v>197213</v>
      </c>
      <c r="I3340">
        <v>6513</v>
      </c>
      <c r="J3340">
        <v>0.3</v>
      </c>
      <c r="K3340">
        <v>1.6</v>
      </c>
      <c r="L3340">
        <v>6608.95</v>
      </c>
      <c r="M3340" t="s">
        <v>6496</v>
      </c>
      <c r="N3340" t="s">
        <v>472</v>
      </c>
      <c r="O3340">
        <v>3.36</v>
      </c>
      <c r="P3340">
        <v>3.37</v>
      </c>
      <c r="Q3340">
        <v>3.33</v>
      </c>
      <c r="R3340">
        <v>3.36</v>
      </c>
      <c r="S3340">
        <v>17.15</v>
      </c>
      <c r="T3340">
        <v>0.8</v>
      </c>
      <c r="U3340" t="s">
        <v>196</v>
      </c>
    </row>
    <row r="3341" spans="1:21">
      <c r="A3341" t="str">
        <f>"600980"</f>
        <v>600980</v>
      </c>
      <c r="B3341" t="s">
        <v>6497</v>
      </c>
      <c r="C3341">
        <v>0.85</v>
      </c>
      <c r="D3341">
        <v>17.9</v>
      </c>
      <c r="E3341">
        <v>0.15</v>
      </c>
      <c r="F3341">
        <v>17.89</v>
      </c>
      <c r="G3341">
        <v>17.9</v>
      </c>
      <c r="H3341">
        <v>100016</v>
      </c>
      <c r="I3341">
        <v>1334</v>
      </c>
      <c r="J3341">
        <v>0.51</v>
      </c>
      <c r="K3341">
        <v>6.57</v>
      </c>
      <c r="L3341">
        <v>17634.43</v>
      </c>
      <c r="M3341" t="s">
        <v>6498</v>
      </c>
      <c r="N3341" t="s">
        <v>69</v>
      </c>
      <c r="O3341">
        <v>17.35</v>
      </c>
      <c r="P3341">
        <v>18.29</v>
      </c>
      <c r="Q3341">
        <v>17.15</v>
      </c>
      <c r="R3341">
        <v>17.75</v>
      </c>
      <c r="S3341">
        <v>42.02</v>
      </c>
      <c r="T3341">
        <v>2.03</v>
      </c>
      <c r="U3341" t="s">
        <v>44</v>
      </c>
    </row>
    <row r="3342" spans="1:21">
      <c r="A3342" t="str">
        <f>"600981"</f>
        <v>600981</v>
      </c>
      <c r="B3342" t="s">
        <v>6499</v>
      </c>
      <c r="C3342">
        <v>0</v>
      </c>
      <c r="D3342">
        <v>2.72</v>
      </c>
      <c r="E3342">
        <v>0</v>
      </c>
      <c r="F3342">
        <v>2.71</v>
      </c>
      <c r="G3342">
        <v>2.72</v>
      </c>
      <c r="H3342">
        <v>49746</v>
      </c>
      <c r="I3342">
        <v>865</v>
      </c>
      <c r="J3342">
        <v>0</v>
      </c>
      <c r="K3342">
        <v>0.22</v>
      </c>
      <c r="L3342">
        <v>1345.15</v>
      </c>
      <c r="M3342" t="s">
        <v>6500</v>
      </c>
      <c r="N3342" t="s">
        <v>189</v>
      </c>
      <c r="O3342">
        <v>2.75</v>
      </c>
      <c r="P3342">
        <v>2.75</v>
      </c>
      <c r="Q3342">
        <v>2.68</v>
      </c>
      <c r="R3342">
        <v>2.72</v>
      </c>
      <c r="S3342">
        <v>29.4</v>
      </c>
      <c r="T3342">
        <v>1.22</v>
      </c>
      <c r="U3342" t="s">
        <v>102</v>
      </c>
    </row>
    <row r="3343" spans="1:21">
      <c r="A3343" t="str">
        <f>"600982"</f>
        <v>600982</v>
      </c>
      <c r="B3343" t="s">
        <v>6501</v>
      </c>
      <c r="C3343">
        <v>-1.37</v>
      </c>
      <c r="D3343">
        <v>4.32</v>
      </c>
      <c r="E3343">
        <v>-0.06</v>
      </c>
      <c r="F3343">
        <v>4.32</v>
      </c>
      <c r="G3343">
        <v>4.33</v>
      </c>
      <c r="H3343">
        <v>521921</v>
      </c>
      <c r="I3343">
        <v>9670</v>
      </c>
      <c r="J3343">
        <v>0</v>
      </c>
      <c r="K3343">
        <v>6.99</v>
      </c>
      <c r="L3343">
        <v>22195.11</v>
      </c>
      <c r="M3343" t="s">
        <v>6502</v>
      </c>
      <c r="N3343" t="s">
        <v>238</v>
      </c>
      <c r="O3343">
        <v>4.27</v>
      </c>
      <c r="P3343">
        <v>4.37</v>
      </c>
      <c r="Q3343">
        <v>4.13</v>
      </c>
      <c r="R3343">
        <v>4.38</v>
      </c>
      <c r="S3343">
        <v>23.41</v>
      </c>
      <c r="T3343">
        <v>1.22</v>
      </c>
      <c r="U3343" t="s">
        <v>200</v>
      </c>
    </row>
    <row r="3344" spans="1:21">
      <c r="A3344" t="str">
        <f>"600983"</f>
        <v>600983</v>
      </c>
      <c r="B3344" t="s">
        <v>6503</v>
      </c>
      <c r="C3344">
        <v>0.91</v>
      </c>
      <c r="D3344">
        <v>8.89</v>
      </c>
      <c r="E3344">
        <v>0.08</v>
      </c>
      <c r="F3344">
        <v>8.89</v>
      </c>
      <c r="G3344">
        <v>8.9</v>
      </c>
      <c r="H3344">
        <v>15427</v>
      </c>
      <c r="I3344">
        <v>197</v>
      </c>
      <c r="J3344">
        <v>0.11</v>
      </c>
      <c r="K3344">
        <v>0.2</v>
      </c>
      <c r="L3344">
        <v>1356.9</v>
      </c>
      <c r="M3344" t="s">
        <v>6504</v>
      </c>
      <c r="N3344" t="s">
        <v>60</v>
      </c>
      <c r="O3344">
        <v>8.81</v>
      </c>
      <c r="P3344">
        <v>8.92</v>
      </c>
      <c r="Q3344">
        <v>8.71</v>
      </c>
      <c r="R3344">
        <v>8.81</v>
      </c>
      <c r="S3344" t="s">
        <v>40</v>
      </c>
      <c r="T3344">
        <v>1.11</v>
      </c>
      <c r="U3344" t="s">
        <v>193</v>
      </c>
    </row>
    <row r="3345" spans="1:21">
      <c r="A3345" t="str">
        <f>"600984"</f>
        <v>600984</v>
      </c>
      <c r="B3345" t="s">
        <v>6505</v>
      </c>
      <c r="C3345">
        <v>1.15</v>
      </c>
      <c r="D3345">
        <v>9.71</v>
      </c>
      <c r="E3345">
        <v>0.11</v>
      </c>
      <c r="F3345">
        <v>9.71</v>
      </c>
      <c r="G3345">
        <v>9.72</v>
      </c>
      <c r="H3345">
        <v>109673</v>
      </c>
      <c r="I3345">
        <v>2025</v>
      </c>
      <c r="J3345">
        <v>-0.09</v>
      </c>
      <c r="K3345">
        <v>1.22</v>
      </c>
      <c r="L3345">
        <v>10589.53</v>
      </c>
      <c r="M3345" t="s">
        <v>6506</v>
      </c>
      <c r="N3345" t="s">
        <v>203</v>
      </c>
      <c r="O3345">
        <v>9.66</v>
      </c>
      <c r="P3345">
        <v>9.78</v>
      </c>
      <c r="Q3345">
        <v>9.51</v>
      </c>
      <c r="R3345">
        <v>9.6</v>
      </c>
      <c r="S3345">
        <v>16.26</v>
      </c>
      <c r="T3345">
        <v>0.55</v>
      </c>
      <c r="U3345" t="s">
        <v>317</v>
      </c>
    </row>
    <row r="3346" spans="1:21">
      <c r="A3346" t="str">
        <f>"600985"</f>
        <v>600985</v>
      </c>
      <c r="B3346" t="s">
        <v>6507</v>
      </c>
      <c r="C3346">
        <v>1.66</v>
      </c>
      <c r="D3346">
        <v>11</v>
      </c>
      <c r="E3346">
        <v>0.18</v>
      </c>
      <c r="F3346">
        <v>11</v>
      </c>
      <c r="G3346">
        <v>11.01</v>
      </c>
      <c r="H3346">
        <v>184404</v>
      </c>
      <c r="I3346">
        <v>3181</v>
      </c>
      <c r="J3346">
        <v>-0.08</v>
      </c>
      <c r="K3346">
        <v>1.92</v>
      </c>
      <c r="L3346">
        <v>20073.79</v>
      </c>
      <c r="M3346" t="s">
        <v>6508</v>
      </c>
      <c r="N3346" t="s">
        <v>390</v>
      </c>
      <c r="O3346">
        <v>10.79</v>
      </c>
      <c r="P3346">
        <v>11.04</v>
      </c>
      <c r="Q3346">
        <v>10.65</v>
      </c>
      <c r="R3346">
        <v>10.82</v>
      </c>
      <c r="S3346">
        <v>5.62</v>
      </c>
      <c r="T3346">
        <v>0.93</v>
      </c>
      <c r="U3346" t="s">
        <v>193</v>
      </c>
    </row>
    <row r="3347" spans="1:21">
      <c r="A3347" t="str">
        <f>"600986"</f>
        <v>600986</v>
      </c>
      <c r="B3347" t="s">
        <v>6509</v>
      </c>
      <c r="C3347">
        <v>0.43</v>
      </c>
      <c r="D3347">
        <v>4.7</v>
      </c>
      <c r="E3347">
        <v>0.02</v>
      </c>
      <c r="F3347">
        <v>4.7</v>
      </c>
      <c r="G3347">
        <v>4.71</v>
      </c>
      <c r="H3347">
        <v>450609</v>
      </c>
      <c r="I3347">
        <v>9245</v>
      </c>
      <c r="J3347">
        <v>-0.2</v>
      </c>
      <c r="K3347">
        <v>3.41</v>
      </c>
      <c r="L3347">
        <v>21584.08</v>
      </c>
      <c r="M3347" t="s">
        <v>6510</v>
      </c>
      <c r="N3347" t="s">
        <v>479</v>
      </c>
      <c r="O3347">
        <v>4.78</v>
      </c>
      <c r="P3347">
        <v>4.91</v>
      </c>
      <c r="Q3347">
        <v>4.69</v>
      </c>
      <c r="R3347">
        <v>4.68</v>
      </c>
      <c r="S3347">
        <v>22.15</v>
      </c>
      <c r="T3347">
        <v>1.57</v>
      </c>
      <c r="U3347" t="s">
        <v>221</v>
      </c>
    </row>
    <row r="3348" spans="1:21">
      <c r="A3348" t="str">
        <f>"600987"</f>
        <v>600987</v>
      </c>
      <c r="B3348" t="s">
        <v>6511</v>
      </c>
      <c r="C3348">
        <v>0</v>
      </c>
      <c r="D3348">
        <v>5.69</v>
      </c>
      <c r="E3348">
        <v>0</v>
      </c>
      <c r="F3348">
        <v>5.68</v>
      </c>
      <c r="G3348">
        <v>5.69</v>
      </c>
      <c r="H3348">
        <v>45729</v>
      </c>
      <c r="I3348">
        <v>445</v>
      </c>
      <c r="J3348">
        <v>0</v>
      </c>
      <c r="K3348">
        <v>0.5</v>
      </c>
      <c r="L3348">
        <v>2581.88</v>
      </c>
      <c r="M3348" t="s">
        <v>6512</v>
      </c>
      <c r="N3348" t="s">
        <v>664</v>
      </c>
      <c r="O3348">
        <v>5.7</v>
      </c>
      <c r="P3348">
        <v>5.7</v>
      </c>
      <c r="Q3348">
        <v>5.58</v>
      </c>
      <c r="R3348">
        <v>5.69</v>
      </c>
      <c r="S3348">
        <v>10.97</v>
      </c>
      <c r="T3348">
        <v>0.95</v>
      </c>
      <c r="U3348" t="s">
        <v>200</v>
      </c>
    </row>
    <row r="3349" spans="1:21">
      <c r="A3349" t="str">
        <f>"600988"</f>
        <v>600988</v>
      </c>
      <c r="B3349" t="s">
        <v>6513</v>
      </c>
      <c r="C3349">
        <v>1.01</v>
      </c>
      <c r="D3349">
        <v>17.07</v>
      </c>
      <c r="E3349">
        <v>0.17</v>
      </c>
      <c r="F3349">
        <v>17.07</v>
      </c>
      <c r="G3349">
        <v>17.08</v>
      </c>
      <c r="H3349">
        <v>271661</v>
      </c>
      <c r="I3349">
        <v>2830</v>
      </c>
      <c r="J3349">
        <v>-0.05</v>
      </c>
      <c r="K3349">
        <v>1.77</v>
      </c>
      <c r="L3349">
        <v>46031.42</v>
      </c>
      <c r="M3349" t="s">
        <v>6514</v>
      </c>
      <c r="N3349" t="s">
        <v>302</v>
      </c>
      <c r="O3349">
        <v>16.9</v>
      </c>
      <c r="P3349">
        <v>17.15</v>
      </c>
      <c r="Q3349">
        <v>16.68</v>
      </c>
      <c r="R3349">
        <v>16.9</v>
      </c>
      <c r="S3349">
        <v>38.66</v>
      </c>
      <c r="T3349">
        <v>0.66</v>
      </c>
      <c r="U3349" t="s">
        <v>275</v>
      </c>
    </row>
    <row r="3350" spans="1:21">
      <c r="A3350" t="str">
        <f>"600989"</f>
        <v>600989</v>
      </c>
      <c r="B3350" t="s">
        <v>6515</v>
      </c>
      <c r="C3350">
        <v>4.43</v>
      </c>
      <c r="D3350">
        <v>16.27</v>
      </c>
      <c r="E3350">
        <v>0.69</v>
      </c>
      <c r="F3350">
        <v>16.27</v>
      </c>
      <c r="G3350">
        <v>16.28</v>
      </c>
      <c r="H3350">
        <v>817500</v>
      </c>
      <c r="I3350">
        <v>11831</v>
      </c>
      <c r="J3350">
        <v>-0.11</v>
      </c>
      <c r="K3350">
        <v>4.1</v>
      </c>
      <c r="L3350">
        <v>131724.1</v>
      </c>
      <c r="M3350" t="s">
        <v>6516</v>
      </c>
      <c r="N3350" t="s">
        <v>309</v>
      </c>
      <c r="O3350">
        <v>15.57</v>
      </c>
      <c r="P3350">
        <v>16.46</v>
      </c>
      <c r="Q3350">
        <v>15.38</v>
      </c>
      <c r="R3350">
        <v>15.58</v>
      </c>
      <c r="S3350">
        <v>16.83</v>
      </c>
      <c r="T3350">
        <v>1.23</v>
      </c>
      <c r="U3350" t="s">
        <v>401</v>
      </c>
    </row>
    <row r="3351" spans="1:21">
      <c r="A3351" t="str">
        <f>"600990"</f>
        <v>600990</v>
      </c>
      <c r="B3351" t="s">
        <v>6517</v>
      </c>
      <c r="C3351">
        <v>-1.24</v>
      </c>
      <c r="D3351">
        <v>54.08</v>
      </c>
      <c r="E3351">
        <v>-0.68</v>
      </c>
      <c r="F3351">
        <v>54.08</v>
      </c>
      <c r="G3351">
        <v>54.09</v>
      </c>
      <c r="H3351">
        <v>39869</v>
      </c>
      <c r="I3351">
        <v>1108</v>
      </c>
      <c r="J3351">
        <v>0.3</v>
      </c>
      <c r="K3351">
        <v>2.5</v>
      </c>
      <c r="L3351">
        <v>21578.37</v>
      </c>
      <c r="M3351" t="s">
        <v>6518</v>
      </c>
      <c r="N3351" t="s">
        <v>153</v>
      </c>
      <c r="O3351">
        <v>54.76</v>
      </c>
      <c r="P3351">
        <v>55.38</v>
      </c>
      <c r="Q3351">
        <v>53.22</v>
      </c>
      <c r="R3351">
        <v>54.76</v>
      </c>
      <c r="S3351" t="s">
        <v>40</v>
      </c>
      <c r="T3351">
        <v>0.63</v>
      </c>
      <c r="U3351" t="s">
        <v>193</v>
      </c>
    </row>
    <row r="3352" spans="1:21">
      <c r="A3352" t="str">
        <f>"600992"</f>
        <v>600992</v>
      </c>
      <c r="B3352" t="s">
        <v>6519</v>
      </c>
      <c r="C3352">
        <v>0.75</v>
      </c>
      <c r="D3352">
        <v>8.03</v>
      </c>
      <c r="E3352">
        <v>0.06</v>
      </c>
      <c r="F3352">
        <v>8.02</v>
      </c>
      <c r="G3352">
        <v>8.03</v>
      </c>
      <c r="H3352">
        <v>37975</v>
      </c>
      <c r="I3352">
        <v>918</v>
      </c>
      <c r="J3352">
        <v>0.25</v>
      </c>
      <c r="K3352">
        <v>1.55</v>
      </c>
      <c r="L3352">
        <v>3037.01</v>
      </c>
      <c r="M3352" t="s">
        <v>6520</v>
      </c>
      <c r="N3352" t="s">
        <v>724</v>
      </c>
      <c r="O3352">
        <v>7.92</v>
      </c>
      <c r="P3352">
        <v>8.08</v>
      </c>
      <c r="Q3352">
        <v>7.91</v>
      </c>
      <c r="R3352">
        <v>7.97</v>
      </c>
      <c r="S3352">
        <v>70.25</v>
      </c>
      <c r="T3352">
        <v>1.03</v>
      </c>
      <c r="U3352" t="s">
        <v>368</v>
      </c>
    </row>
    <row r="3353" spans="1:21">
      <c r="A3353" t="str">
        <f>"600993"</f>
        <v>600993</v>
      </c>
      <c r="B3353" t="s">
        <v>6521</v>
      </c>
      <c r="C3353">
        <v>0.12</v>
      </c>
      <c r="D3353">
        <v>24.63</v>
      </c>
      <c r="E3353">
        <v>0.03</v>
      </c>
      <c r="F3353">
        <v>24.62</v>
      </c>
      <c r="G3353">
        <v>24.63</v>
      </c>
      <c r="H3353">
        <v>31805</v>
      </c>
      <c r="I3353">
        <v>709</v>
      </c>
      <c r="J3353">
        <v>0.04</v>
      </c>
      <c r="K3353">
        <v>0.74</v>
      </c>
      <c r="L3353">
        <v>7815.22</v>
      </c>
      <c r="M3353" t="s">
        <v>6522</v>
      </c>
      <c r="N3353" t="s">
        <v>270</v>
      </c>
      <c r="O3353">
        <v>24.6</v>
      </c>
      <c r="P3353">
        <v>24.71</v>
      </c>
      <c r="Q3353">
        <v>24.41</v>
      </c>
      <c r="R3353">
        <v>24.6</v>
      </c>
      <c r="S3353">
        <v>21.65</v>
      </c>
      <c r="T3353">
        <v>0.44</v>
      </c>
      <c r="U3353" t="s">
        <v>267</v>
      </c>
    </row>
    <row r="3354" spans="1:21">
      <c r="A3354" t="str">
        <f>"600995"</f>
        <v>600995</v>
      </c>
      <c r="B3354" t="s">
        <v>6523</v>
      </c>
      <c r="C3354">
        <v>0.17</v>
      </c>
      <c r="D3354">
        <v>17.83</v>
      </c>
      <c r="E3354">
        <v>0.03</v>
      </c>
      <c r="F3354">
        <v>17.82</v>
      </c>
      <c r="G3354">
        <v>17.83</v>
      </c>
      <c r="H3354">
        <v>343461</v>
      </c>
      <c r="I3354">
        <v>11370</v>
      </c>
      <c r="J3354">
        <v>0.11</v>
      </c>
      <c r="K3354">
        <v>7.18</v>
      </c>
      <c r="L3354">
        <v>60664.29</v>
      </c>
      <c r="M3354" t="s">
        <v>6524</v>
      </c>
      <c r="N3354" t="s">
        <v>472</v>
      </c>
      <c r="O3354">
        <v>17.81</v>
      </c>
      <c r="P3354">
        <v>17.99</v>
      </c>
      <c r="Q3354">
        <v>17.29</v>
      </c>
      <c r="R3354">
        <v>17.8</v>
      </c>
      <c r="S3354">
        <v>41.87</v>
      </c>
      <c r="T3354">
        <v>0.48</v>
      </c>
      <c r="U3354" t="s">
        <v>363</v>
      </c>
    </row>
    <row r="3355" spans="1:21">
      <c r="A3355" t="str">
        <f>"600996"</f>
        <v>600996</v>
      </c>
      <c r="B3355" t="s">
        <v>6525</v>
      </c>
      <c r="C3355">
        <v>-2.3</v>
      </c>
      <c r="D3355">
        <v>4.68</v>
      </c>
      <c r="E3355">
        <v>-0.11</v>
      </c>
      <c r="F3355">
        <v>4.68</v>
      </c>
      <c r="G3355">
        <v>4.69</v>
      </c>
      <c r="H3355">
        <v>82998</v>
      </c>
      <c r="I3355">
        <v>3313</v>
      </c>
      <c r="J3355">
        <v>-0.42</v>
      </c>
      <c r="K3355">
        <v>0.79</v>
      </c>
      <c r="L3355">
        <v>3914.68</v>
      </c>
      <c r="M3355" t="s">
        <v>6526</v>
      </c>
      <c r="N3355" t="s">
        <v>199</v>
      </c>
      <c r="O3355">
        <v>4.79</v>
      </c>
      <c r="P3355">
        <v>4.8</v>
      </c>
      <c r="Q3355">
        <v>4.68</v>
      </c>
      <c r="R3355">
        <v>4.79</v>
      </c>
      <c r="S3355" t="s">
        <v>40</v>
      </c>
      <c r="T3355">
        <v>0.6</v>
      </c>
      <c r="U3355" t="s">
        <v>368</v>
      </c>
    </row>
    <row r="3356" spans="1:21">
      <c r="A3356" t="str">
        <f>"600997"</f>
        <v>600997</v>
      </c>
      <c r="B3356" t="s">
        <v>6527</v>
      </c>
      <c r="C3356">
        <v>1.77</v>
      </c>
      <c r="D3356">
        <v>6.91</v>
      </c>
      <c r="E3356">
        <v>0.12</v>
      </c>
      <c r="F3356">
        <v>6.9</v>
      </c>
      <c r="G3356">
        <v>6.91</v>
      </c>
      <c r="H3356">
        <v>270562</v>
      </c>
      <c r="I3356">
        <v>3256</v>
      </c>
      <c r="J3356">
        <v>0</v>
      </c>
      <c r="K3356">
        <v>1.7</v>
      </c>
      <c r="L3356">
        <v>18450.55</v>
      </c>
      <c r="M3356" t="s">
        <v>6528</v>
      </c>
      <c r="N3356" t="s">
        <v>390</v>
      </c>
      <c r="O3356">
        <v>6.73</v>
      </c>
      <c r="P3356">
        <v>6.92</v>
      </c>
      <c r="Q3356">
        <v>6.68</v>
      </c>
      <c r="R3356">
        <v>6.79</v>
      </c>
      <c r="S3356">
        <v>5.12</v>
      </c>
      <c r="T3356">
        <v>1.21</v>
      </c>
      <c r="U3356" t="s">
        <v>207</v>
      </c>
    </row>
    <row r="3357" spans="1:21">
      <c r="A3357" t="str">
        <f>"600998"</f>
        <v>600998</v>
      </c>
      <c r="B3357" t="s">
        <v>6529</v>
      </c>
      <c r="C3357">
        <v>0.81</v>
      </c>
      <c r="D3357">
        <v>13.68</v>
      </c>
      <c r="E3357">
        <v>0.11</v>
      </c>
      <c r="F3357">
        <v>13.68</v>
      </c>
      <c r="G3357">
        <v>13.69</v>
      </c>
      <c r="H3357">
        <v>33821</v>
      </c>
      <c r="I3357">
        <v>570</v>
      </c>
      <c r="J3357">
        <v>0</v>
      </c>
      <c r="K3357">
        <v>0.18</v>
      </c>
      <c r="L3357">
        <v>4605.05</v>
      </c>
      <c r="M3357" t="s">
        <v>6530</v>
      </c>
      <c r="N3357" t="s">
        <v>86</v>
      </c>
      <c r="O3357">
        <v>13.57</v>
      </c>
      <c r="P3357">
        <v>13.69</v>
      </c>
      <c r="Q3357">
        <v>13.48</v>
      </c>
      <c r="R3357">
        <v>13.57</v>
      </c>
      <c r="S3357">
        <v>7.99</v>
      </c>
      <c r="T3357">
        <v>0.74</v>
      </c>
      <c r="U3357" t="s">
        <v>267</v>
      </c>
    </row>
    <row r="3358" spans="1:21">
      <c r="A3358" t="str">
        <f>"600999"</f>
        <v>600999</v>
      </c>
      <c r="B3358" t="s">
        <v>6531</v>
      </c>
      <c r="C3358">
        <v>1.59</v>
      </c>
      <c r="D3358">
        <v>17.3</v>
      </c>
      <c r="E3358">
        <v>0.27</v>
      </c>
      <c r="F3358">
        <v>17.3</v>
      </c>
      <c r="G3358">
        <v>17.31</v>
      </c>
      <c r="H3358">
        <v>198125</v>
      </c>
      <c r="I3358">
        <v>2840</v>
      </c>
      <c r="J3358">
        <v>0.06</v>
      </c>
      <c r="K3358">
        <v>0.27</v>
      </c>
      <c r="L3358">
        <v>34148.02</v>
      </c>
      <c r="M3358" t="s">
        <v>6532</v>
      </c>
      <c r="N3358" t="s">
        <v>213</v>
      </c>
      <c r="O3358">
        <v>17.03</v>
      </c>
      <c r="P3358">
        <v>17.37</v>
      </c>
      <c r="Q3358">
        <v>17.01</v>
      </c>
      <c r="R3358">
        <v>17.03</v>
      </c>
      <c r="S3358">
        <v>13.27</v>
      </c>
      <c r="T3358">
        <v>1.34</v>
      </c>
      <c r="U3358" t="s">
        <v>24</v>
      </c>
    </row>
    <row r="3359" spans="1:21">
      <c r="A3359" t="str">
        <f>"601000"</f>
        <v>601000</v>
      </c>
      <c r="B3359" t="s">
        <v>6533</v>
      </c>
      <c r="C3359">
        <v>0.37</v>
      </c>
      <c r="D3359">
        <v>2.73</v>
      </c>
      <c r="E3359">
        <v>0.01</v>
      </c>
      <c r="F3359">
        <v>2.72</v>
      </c>
      <c r="G3359">
        <v>2.73</v>
      </c>
      <c r="H3359">
        <v>430078</v>
      </c>
      <c r="I3359">
        <v>4261</v>
      </c>
      <c r="J3359">
        <v>0</v>
      </c>
      <c r="K3359">
        <v>0.73</v>
      </c>
      <c r="L3359">
        <v>11644.06</v>
      </c>
      <c r="M3359" t="s">
        <v>6534</v>
      </c>
      <c r="N3359" t="s">
        <v>169</v>
      </c>
      <c r="O3359">
        <v>2.71</v>
      </c>
      <c r="P3359">
        <v>2.74</v>
      </c>
      <c r="Q3359">
        <v>2.67</v>
      </c>
      <c r="R3359">
        <v>2.72</v>
      </c>
      <c r="S3359">
        <v>6.94</v>
      </c>
      <c r="T3359">
        <v>1.12</v>
      </c>
      <c r="U3359" t="s">
        <v>207</v>
      </c>
    </row>
    <row r="3360" spans="1:21">
      <c r="A3360" t="str">
        <f>"601001"</f>
        <v>601001</v>
      </c>
      <c r="B3360" t="s">
        <v>6535</v>
      </c>
      <c r="C3360">
        <v>1.23</v>
      </c>
      <c r="D3360">
        <v>9.07</v>
      </c>
      <c r="E3360">
        <v>0.11</v>
      </c>
      <c r="F3360">
        <v>9.06</v>
      </c>
      <c r="G3360">
        <v>9.07</v>
      </c>
      <c r="H3360">
        <v>274317</v>
      </c>
      <c r="I3360">
        <v>4635</v>
      </c>
      <c r="J3360">
        <v>0.11</v>
      </c>
      <c r="K3360">
        <v>1.64</v>
      </c>
      <c r="L3360">
        <v>24604.8</v>
      </c>
      <c r="M3360" t="s">
        <v>6536</v>
      </c>
      <c r="N3360" t="s">
        <v>390</v>
      </c>
      <c r="O3360">
        <v>8.91</v>
      </c>
      <c r="P3360">
        <v>9.09</v>
      </c>
      <c r="Q3360">
        <v>8.8</v>
      </c>
      <c r="R3360">
        <v>8.96</v>
      </c>
      <c r="S3360">
        <v>4.39</v>
      </c>
      <c r="T3360">
        <v>1.02</v>
      </c>
      <c r="U3360" t="s">
        <v>232</v>
      </c>
    </row>
    <row r="3361" spans="1:21">
      <c r="A3361" t="str">
        <f>"601002"</f>
        <v>601002</v>
      </c>
      <c r="B3361" t="s">
        <v>6537</v>
      </c>
      <c r="C3361">
        <v>1.39</v>
      </c>
      <c r="D3361">
        <v>5.11</v>
      </c>
      <c r="E3361">
        <v>0.07</v>
      </c>
      <c r="F3361">
        <v>5.1</v>
      </c>
      <c r="G3361">
        <v>5.11</v>
      </c>
      <c r="H3361">
        <v>59520</v>
      </c>
      <c r="I3361">
        <v>554</v>
      </c>
      <c r="J3361">
        <v>0.2</v>
      </c>
      <c r="K3361">
        <v>0.7</v>
      </c>
      <c r="L3361">
        <v>3014.08</v>
      </c>
      <c r="M3361" t="s">
        <v>5930</v>
      </c>
      <c r="N3361" t="s">
        <v>347</v>
      </c>
      <c r="O3361">
        <v>5.04</v>
      </c>
      <c r="P3361">
        <v>5.11</v>
      </c>
      <c r="Q3361">
        <v>5.01</v>
      </c>
      <c r="R3361">
        <v>5.04</v>
      </c>
      <c r="S3361">
        <v>17.91</v>
      </c>
      <c r="T3361">
        <v>0.97</v>
      </c>
      <c r="U3361" t="s">
        <v>200</v>
      </c>
    </row>
    <row r="3362" spans="1:21">
      <c r="A3362" t="str">
        <f>"601003"</f>
        <v>601003</v>
      </c>
      <c r="B3362" t="s">
        <v>6538</v>
      </c>
      <c r="C3362">
        <v>0.77</v>
      </c>
      <c r="D3362">
        <v>5.25</v>
      </c>
      <c r="E3362">
        <v>0.04</v>
      </c>
      <c r="F3362">
        <v>5.24</v>
      </c>
      <c r="G3362">
        <v>5.25</v>
      </c>
      <c r="H3362">
        <v>72905</v>
      </c>
      <c r="I3362">
        <v>1931</v>
      </c>
      <c r="J3362">
        <v>0</v>
      </c>
      <c r="K3362">
        <v>0.28</v>
      </c>
      <c r="L3362">
        <v>3807.98</v>
      </c>
      <c r="M3362" t="s">
        <v>6539</v>
      </c>
      <c r="N3362" t="s">
        <v>551</v>
      </c>
      <c r="O3362">
        <v>5.22</v>
      </c>
      <c r="P3362">
        <v>5.27</v>
      </c>
      <c r="Q3362">
        <v>5.15</v>
      </c>
      <c r="R3362">
        <v>5.21</v>
      </c>
      <c r="S3362">
        <v>4.38</v>
      </c>
      <c r="T3362">
        <v>1.19</v>
      </c>
      <c r="U3362" t="s">
        <v>342</v>
      </c>
    </row>
    <row r="3363" spans="1:21">
      <c r="A3363" t="str">
        <f>"601005"</f>
        <v>601005</v>
      </c>
      <c r="B3363" t="s">
        <v>6540</v>
      </c>
      <c r="C3363">
        <v>1.52</v>
      </c>
      <c r="D3363">
        <v>2.01</v>
      </c>
      <c r="E3363">
        <v>0.03</v>
      </c>
      <c r="F3363">
        <v>2</v>
      </c>
      <c r="G3363">
        <v>2.01</v>
      </c>
      <c r="H3363">
        <v>1045725</v>
      </c>
      <c r="I3363">
        <v>9360</v>
      </c>
      <c r="J3363">
        <v>0</v>
      </c>
      <c r="K3363">
        <v>1.25</v>
      </c>
      <c r="L3363">
        <v>20688.41</v>
      </c>
      <c r="M3363" t="s">
        <v>6541</v>
      </c>
      <c r="N3363" t="s">
        <v>551</v>
      </c>
      <c r="O3363">
        <v>1.98</v>
      </c>
      <c r="P3363">
        <v>2.02</v>
      </c>
      <c r="Q3363">
        <v>1.94</v>
      </c>
      <c r="R3363">
        <v>1.98</v>
      </c>
      <c r="S3363">
        <v>4.67</v>
      </c>
      <c r="T3363">
        <v>1.41</v>
      </c>
      <c r="U3363" t="s">
        <v>314</v>
      </c>
    </row>
    <row r="3364" spans="1:21">
      <c r="A3364" t="str">
        <f>"601006"</f>
        <v>601006</v>
      </c>
      <c r="B3364" t="s">
        <v>6542</v>
      </c>
      <c r="C3364">
        <v>0.32</v>
      </c>
      <c r="D3364">
        <v>6.22</v>
      </c>
      <c r="E3364">
        <v>0.02</v>
      </c>
      <c r="F3364">
        <v>6.21</v>
      </c>
      <c r="G3364">
        <v>6.22</v>
      </c>
      <c r="H3364">
        <v>159356</v>
      </c>
      <c r="I3364">
        <v>1807</v>
      </c>
      <c r="J3364">
        <v>0</v>
      </c>
      <c r="K3364">
        <v>0.11</v>
      </c>
      <c r="L3364">
        <v>9867.03</v>
      </c>
      <c r="M3364" t="s">
        <v>6543</v>
      </c>
      <c r="N3364" t="s">
        <v>400</v>
      </c>
      <c r="O3364">
        <v>6.2</v>
      </c>
      <c r="P3364">
        <v>6.23</v>
      </c>
      <c r="Q3364">
        <v>6.17</v>
      </c>
      <c r="R3364">
        <v>6.2</v>
      </c>
      <c r="S3364">
        <v>6.76</v>
      </c>
      <c r="T3364">
        <v>0.87</v>
      </c>
      <c r="U3364" t="s">
        <v>232</v>
      </c>
    </row>
    <row r="3365" spans="1:21">
      <c r="A3365" t="str">
        <f>"601007"</f>
        <v>601007</v>
      </c>
      <c r="B3365" t="s">
        <v>6544</v>
      </c>
      <c r="C3365">
        <v>0.54</v>
      </c>
      <c r="D3365">
        <v>5.54</v>
      </c>
      <c r="E3365">
        <v>0.03</v>
      </c>
      <c r="F3365">
        <v>5.53</v>
      </c>
      <c r="G3365">
        <v>5.54</v>
      </c>
      <c r="H3365">
        <v>10367</v>
      </c>
      <c r="I3365">
        <v>230</v>
      </c>
      <c r="J3365">
        <v>0</v>
      </c>
      <c r="K3365">
        <v>0.27</v>
      </c>
      <c r="L3365">
        <v>570.2</v>
      </c>
      <c r="M3365" t="s">
        <v>6545</v>
      </c>
      <c r="N3365" t="s">
        <v>39</v>
      </c>
      <c r="O3365">
        <v>5.52</v>
      </c>
      <c r="P3365">
        <v>5.54</v>
      </c>
      <c r="Q3365">
        <v>5.45</v>
      </c>
      <c r="R3365">
        <v>5.51</v>
      </c>
      <c r="S3365">
        <v>134.95</v>
      </c>
      <c r="T3365">
        <v>0.65</v>
      </c>
      <c r="U3365" t="s">
        <v>102</v>
      </c>
    </row>
    <row r="3366" spans="1:21">
      <c r="A3366" t="str">
        <f>"601008"</f>
        <v>601008</v>
      </c>
      <c r="B3366" t="s">
        <v>6546</v>
      </c>
      <c r="C3366">
        <v>0.84</v>
      </c>
      <c r="D3366">
        <v>3.6</v>
      </c>
      <c r="E3366">
        <v>0.03</v>
      </c>
      <c r="F3366">
        <v>3.6</v>
      </c>
      <c r="G3366">
        <v>3.61</v>
      </c>
      <c r="H3366">
        <v>53732</v>
      </c>
      <c r="I3366">
        <v>501</v>
      </c>
      <c r="J3366">
        <v>0</v>
      </c>
      <c r="K3366">
        <v>0.54</v>
      </c>
      <c r="L3366">
        <v>1927.25</v>
      </c>
      <c r="M3366" t="s">
        <v>6547</v>
      </c>
      <c r="N3366" t="s">
        <v>169</v>
      </c>
      <c r="O3366">
        <v>3.55</v>
      </c>
      <c r="P3366">
        <v>3.61</v>
      </c>
      <c r="Q3366">
        <v>3.55</v>
      </c>
      <c r="R3366">
        <v>3.57</v>
      </c>
      <c r="S3366">
        <v>52.75</v>
      </c>
      <c r="T3366">
        <v>0.94</v>
      </c>
      <c r="U3366" t="s">
        <v>102</v>
      </c>
    </row>
    <row r="3367" spans="1:21">
      <c r="A3367" t="str">
        <f>"601009"</f>
        <v>601009</v>
      </c>
      <c r="B3367" t="s">
        <v>6548</v>
      </c>
      <c r="C3367">
        <v>0.43</v>
      </c>
      <c r="D3367">
        <v>9.42</v>
      </c>
      <c r="E3367">
        <v>0.04</v>
      </c>
      <c r="F3367">
        <v>9.42</v>
      </c>
      <c r="G3367">
        <v>9.43</v>
      </c>
      <c r="H3367">
        <v>235774</v>
      </c>
      <c r="I3367">
        <v>1721</v>
      </c>
      <c r="J3367">
        <v>-0.1</v>
      </c>
      <c r="K3367">
        <v>0.28</v>
      </c>
      <c r="L3367">
        <v>22034.06</v>
      </c>
      <c r="M3367" t="s">
        <v>6549</v>
      </c>
      <c r="N3367" t="s">
        <v>23</v>
      </c>
      <c r="O3367">
        <v>9.38</v>
      </c>
      <c r="P3367">
        <v>9.45</v>
      </c>
      <c r="Q3367">
        <v>9.24</v>
      </c>
      <c r="R3367">
        <v>9.38</v>
      </c>
      <c r="S3367">
        <v>5.73</v>
      </c>
      <c r="T3367">
        <v>1.27</v>
      </c>
      <c r="U3367" t="s">
        <v>102</v>
      </c>
    </row>
    <row r="3368" spans="1:21">
      <c r="A3368" t="str">
        <f>"601010"</f>
        <v>601010</v>
      </c>
      <c r="B3368" t="s">
        <v>6550</v>
      </c>
      <c r="C3368">
        <v>3.04</v>
      </c>
      <c r="D3368">
        <v>3.05</v>
      </c>
      <c r="E3368">
        <v>0.09</v>
      </c>
      <c r="F3368">
        <v>3.04</v>
      </c>
      <c r="G3368">
        <v>3.05</v>
      </c>
      <c r="H3368">
        <v>229461</v>
      </c>
      <c r="I3368">
        <v>6860</v>
      </c>
      <c r="J3368">
        <v>0</v>
      </c>
      <c r="K3368">
        <v>1.24</v>
      </c>
      <c r="L3368">
        <v>7008.4</v>
      </c>
      <c r="M3368" t="s">
        <v>6551</v>
      </c>
      <c r="N3368" t="s">
        <v>707</v>
      </c>
      <c r="O3368">
        <v>3.04</v>
      </c>
      <c r="P3368">
        <v>3.16</v>
      </c>
      <c r="Q3368">
        <v>3.01</v>
      </c>
      <c r="R3368">
        <v>2.96</v>
      </c>
      <c r="S3368">
        <v>21.56</v>
      </c>
      <c r="T3368">
        <v>5.31</v>
      </c>
      <c r="U3368" t="s">
        <v>102</v>
      </c>
    </row>
    <row r="3369" spans="1:21">
      <c r="A3369" t="str">
        <f>"601011"</f>
        <v>601011</v>
      </c>
      <c r="B3369" t="s">
        <v>6552</v>
      </c>
      <c r="C3369">
        <v>0.21</v>
      </c>
      <c r="D3369">
        <v>4.84</v>
      </c>
      <c r="E3369">
        <v>0.01</v>
      </c>
      <c r="F3369">
        <v>4.84</v>
      </c>
      <c r="G3369">
        <v>4.85</v>
      </c>
      <c r="H3369">
        <v>319006</v>
      </c>
      <c r="I3369">
        <v>4798</v>
      </c>
      <c r="J3369">
        <v>0</v>
      </c>
      <c r="K3369">
        <v>1.99</v>
      </c>
      <c r="L3369">
        <v>15347.64</v>
      </c>
      <c r="M3369" t="s">
        <v>6553</v>
      </c>
      <c r="N3369" t="s">
        <v>659</v>
      </c>
      <c r="O3369">
        <v>4.8</v>
      </c>
      <c r="P3369">
        <v>4.87</v>
      </c>
      <c r="Q3369">
        <v>4.72</v>
      </c>
      <c r="R3369">
        <v>4.83</v>
      </c>
      <c r="S3369">
        <v>47.45</v>
      </c>
      <c r="T3369">
        <v>1.19</v>
      </c>
      <c r="U3369" t="s">
        <v>445</v>
      </c>
    </row>
    <row r="3370" spans="1:21">
      <c r="A3370" t="str">
        <f>"601012"</f>
        <v>601012</v>
      </c>
      <c r="B3370" t="s">
        <v>6554</v>
      </c>
      <c r="C3370">
        <v>2.42</v>
      </c>
      <c r="D3370">
        <v>91.89</v>
      </c>
      <c r="E3370">
        <v>2.17</v>
      </c>
      <c r="F3370">
        <v>91.88</v>
      </c>
      <c r="G3370">
        <v>91.89</v>
      </c>
      <c r="H3370">
        <v>878592</v>
      </c>
      <c r="I3370">
        <v>9071</v>
      </c>
      <c r="J3370">
        <v>0.09</v>
      </c>
      <c r="K3370">
        <v>1.62</v>
      </c>
      <c r="L3370">
        <v>793476.51</v>
      </c>
      <c r="M3370" t="s">
        <v>6555</v>
      </c>
      <c r="N3370" t="s">
        <v>47</v>
      </c>
      <c r="O3370">
        <v>89.59</v>
      </c>
      <c r="P3370">
        <v>92.63</v>
      </c>
      <c r="Q3370">
        <v>88.03</v>
      </c>
      <c r="R3370">
        <v>89.72</v>
      </c>
      <c r="S3370">
        <v>49.37</v>
      </c>
      <c r="T3370">
        <v>1.3</v>
      </c>
      <c r="U3370" t="s">
        <v>317</v>
      </c>
    </row>
    <row r="3371" spans="1:21">
      <c r="A3371" t="str">
        <f>"601015"</f>
        <v>601015</v>
      </c>
      <c r="B3371" t="s">
        <v>6556</v>
      </c>
      <c r="C3371">
        <v>3.16</v>
      </c>
      <c r="D3371">
        <v>7.18</v>
      </c>
      <c r="E3371">
        <v>0.22</v>
      </c>
      <c r="F3371">
        <v>7.18</v>
      </c>
      <c r="G3371">
        <v>7.19</v>
      </c>
      <c r="H3371">
        <v>1293304</v>
      </c>
      <c r="I3371">
        <v>12324</v>
      </c>
      <c r="J3371">
        <v>0</v>
      </c>
      <c r="K3371">
        <v>6.33</v>
      </c>
      <c r="L3371">
        <v>90133.78</v>
      </c>
      <c r="M3371" t="s">
        <v>6557</v>
      </c>
      <c r="N3371" t="s">
        <v>659</v>
      </c>
      <c r="O3371">
        <v>6.9</v>
      </c>
      <c r="P3371">
        <v>7.24</v>
      </c>
      <c r="Q3371">
        <v>6.63</v>
      </c>
      <c r="R3371">
        <v>6.96</v>
      </c>
      <c r="S3371">
        <v>8.99</v>
      </c>
      <c r="T3371">
        <v>2.94</v>
      </c>
      <c r="U3371" t="s">
        <v>317</v>
      </c>
    </row>
    <row r="3372" spans="1:21">
      <c r="A3372" t="str">
        <f>"601016"</f>
        <v>601016</v>
      </c>
      <c r="B3372" t="s">
        <v>6558</v>
      </c>
      <c r="C3372">
        <v>-0.91</v>
      </c>
      <c r="D3372">
        <v>6.5</v>
      </c>
      <c r="E3372">
        <v>-0.06</v>
      </c>
      <c r="F3372">
        <v>6.5</v>
      </c>
      <c r="G3372">
        <v>6.51</v>
      </c>
      <c r="H3372">
        <v>1461236</v>
      </c>
      <c r="I3372">
        <v>15924</v>
      </c>
      <c r="J3372">
        <v>0</v>
      </c>
      <c r="K3372">
        <v>3.26</v>
      </c>
      <c r="L3372">
        <v>94371.14</v>
      </c>
      <c r="M3372" t="s">
        <v>6559</v>
      </c>
      <c r="N3372" t="s">
        <v>114</v>
      </c>
      <c r="O3372">
        <v>6.51</v>
      </c>
      <c r="P3372">
        <v>6.53</v>
      </c>
      <c r="Q3372">
        <v>6.36</v>
      </c>
      <c r="R3372">
        <v>6.56</v>
      </c>
      <c r="S3372">
        <v>32.97</v>
      </c>
      <c r="T3372">
        <v>0.85</v>
      </c>
      <c r="U3372" t="s">
        <v>44</v>
      </c>
    </row>
    <row r="3373" spans="1:21">
      <c r="A3373" t="str">
        <f>"601018"</f>
        <v>601018</v>
      </c>
      <c r="B3373" t="s">
        <v>6560</v>
      </c>
      <c r="C3373">
        <v>0.27</v>
      </c>
      <c r="D3373">
        <v>3.77</v>
      </c>
      <c r="E3373">
        <v>0.01</v>
      </c>
      <c r="F3373">
        <v>3.76</v>
      </c>
      <c r="G3373">
        <v>3.77</v>
      </c>
      <c r="H3373">
        <v>48586</v>
      </c>
      <c r="I3373">
        <v>1799</v>
      </c>
      <c r="J3373">
        <v>0</v>
      </c>
      <c r="K3373">
        <v>0.04</v>
      </c>
      <c r="L3373">
        <v>1826.52</v>
      </c>
      <c r="M3373" t="s">
        <v>6561</v>
      </c>
      <c r="N3373" t="s">
        <v>169</v>
      </c>
      <c r="O3373">
        <v>3.75</v>
      </c>
      <c r="P3373">
        <v>3.77</v>
      </c>
      <c r="Q3373">
        <v>3.75</v>
      </c>
      <c r="R3373">
        <v>3.76</v>
      </c>
      <c r="S3373">
        <v>13.07</v>
      </c>
      <c r="T3373">
        <v>0.74</v>
      </c>
      <c r="U3373" t="s">
        <v>200</v>
      </c>
    </row>
    <row r="3374" spans="1:21">
      <c r="A3374" t="str">
        <f>"601019"</f>
        <v>601019</v>
      </c>
      <c r="B3374" t="s">
        <v>6562</v>
      </c>
      <c r="C3374">
        <v>1.06</v>
      </c>
      <c r="D3374">
        <v>5.71</v>
      </c>
      <c r="E3374">
        <v>0.06</v>
      </c>
      <c r="F3374">
        <v>5.7</v>
      </c>
      <c r="G3374">
        <v>5.71</v>
      </c>
      <c r="H3374">
        <v>29726</v>
      </c>
      <c r="I3374">
        <v>412</v>
      </c>
      <c r="J3374">
        <v>0.18</v>
      </c>
      <c r="K3374">
        <v>0.14</v>
      </c>
      <c r="L3374">
        <v>1686.93</v>
      </c>
      <c r="M3374" t="s">
        <v>6563</v>
      </c>
      <c r="N3374" t="s">
        <v>650</v>
      </c>
      <c r="O3374">
        <v>5.66</v>
      </c>
      <c r="P3374">
        <v>5.71</v>
      </c>
      <c r="Q3374">
        <v>5.63</v>
      </c>
      <c r="R3374">
        <v>5.65</v>
      </c>
      <c r="S3374">
        <v>8.1</v>
      </c>
      <c r="T3374">
        <v>0.77</v>
      </c>
      <c r="U3374" t="s">
        <v>221</v>
      </c>
    </row>
    <row r="3375" spans="1:21">
      <c r="A3375" t="str">
        <f>"601020"</f>
        <v>601020</v>
      </c>
      <c r="B3375" t="s">
        <v>6564</v>
      </c>
      <c r="C3375">
        <v>-1.83</v>
      </c>
      <c r="D3375">
        <v>12.31</v>
      </c>
      <c r="E3375">
        <v>-0.23</v>
      </c>
      <c r="F3375">
        <v>12.31</v>
      </c>
      <c r="G3375">
        <v>12.32</v>
      </c>
      <c r="H3375">
        <v>109594</v>
      </c>
      <c r="I3375">
        <v>2071</v>
      </c>
      <c r="J3375">
        <v>-0.39</v>
      </c>
      <c r="K3375">
        <v>1.97</v>
      </c>
      <c r="L3375">
        <v>13518.97</v>
      </c>
      <c r="M3375" t="s">
        <v>6565</v>
      </c>
      <c r="N3375" t="s">
        <v>144</v>
      </c>
      <c r="O3375">
        <v>12.38</v>
      </c>
      <c r="P3375">
        <v>12.52</v>
      </c>
      <c r="Q3375">
        <v>12.08</v>
      </c>
      <c r="R3375">
        <v>12.54</v>
      </c>
      <c r="S3375">
        <v>33.58</v>
      </c>
      <c r="T3375">
        <v>0.64</v>
      </c>
      <c r="U3375" t="s">
        <v>694</v>
      </c>
    </row>
    <row r="3376" spans="1:21">
      <c r="A3376" t="str">
        <f>"601021"</f>
        <v>601021</v>
      </c>
      <c r="B3376" t="s">
        <v>6566</v>
      </c>
      <c r="C3376">
        <v>1.39</v>
      </c>
      <c r="D3376">
        <v>57.52</v>
      </c>
      <c r="E3376">
        <v>0.79</v>
      </c>
      <c r="F3376">
        <v>57.5</v>
      </c>
      <c r="G3376">
        <v>57.52</v>
      </c>
      <c r="H3376">
        <v>26862</v>
      </c>
      <c r="I3376">
        <v>201</v>
      </c>
      <c r="J3376">
        <v>0.19</v>
      </c>
      <c r="K3376">
        <v>0.29</v>
      </c>
      <c r="L3376">
        <v>15392.18</v>
      </c>
      <c r="M3376" t="s">
        <v>6567</v>
      </c>
      <c r="N3376" t="s">
        <v>180</v>
      </c>
      <c r="O3376">
        <v>56.73</v>
      </c>
      <c r="P3376">
        <v>58.16</v>
      </c>
      <c r="Q3376">
        <v>56.67</v>
      </c>
      <c r="R3376">
        <v>56.73</v>
      </c>
      <c r="S3376">
        <v>248.72</v>
      </c>
      <c r="T3376">
        <v>0.86</v>
      </c>
      <c r="U3376" t="s">
        <v>848</v>
      </c>
    </row>
    <row r="3377" spans="1:21">
      <c r="A3377" t="str">
        <f>"601028"</f>
        <v>601028</v>
      </c>
      <c r="B3377" t="s">
        <v>6568</v>
      </c>
      <c r="C3377">
        <v>-0.63</v>
      </c>
      <c r="D3377">
        <v>17.45</v>
      </c>
      <c r="E3377">
        <v>-0.11</v>
      </c>
      <c r="F3377">
        <v>17.45</v>
      </c>
      <c r="G3377">
        <v>17.48</v>
      </c>
      <c r="H3377">
        <v>43466</v>
      </c>
      <c r="I3377">
        <v>222</v>
      </c>
      <c r="J3377">
        <v>0.06</v>
      </c>
      <c r="K3377">
        <v>0.56</v>
      </c>
      <c r="L3377">
        <v>7611.2</v>
      </c>
      <c r="M3377" t="s">
        <v>6569</v>
      </c>
      <c r="N3377" t="s">
        <v>189</v>
      </c>
      <c r="O3377">
        <v>17.5</v>
      </c>
      <c r="P3377">
        <v>17.66</v>
      </c>
      <c r="Q3377">
        <v>17.3</v>
      </c>
      <c r="R3377">
        <v>17.56</v>
      </c>
      <c r="S3377">
        <v>33.04</v>
      </c>
      <c r="T3377">
        <v>0.81</v>
      </c>
      <c r="U3377" t="s">
        <v>102</v>
      </c>
    </row>
    <row r="3378" spans="1:21">
      <c r="A3378" t="str">
        <f>"601038"</f>
        <v>601038</v>
      </c>
      <c r="B3378" t="s">
        <v>6570</v>
      </c>
      <c r="C3378">
        <v>0.24</v>
      </c>
      <c r="D3378">
        <v>12.32</v>
      </c>
      <c r="E3378">
        <v>0.03</v>
      </c>
      <c r="F3378">
        <v>12.31</v>
      </c>
      <c r="G3378">
        <v>12.32</v>
      </c>
      <c r="H3378">
        <v>46391</v>
      </c>
      <c r="I3378">
        <v>1389</v>
      </c>
      <c r="J3378">
        <v>0.08</v>
      </c>
      <c r="K3378">
        <v>0.78</v>
      </c>
      <c r="L3378">
        <v>5659.81</v>
      </c>
      <c r="M3378" t="s">
        <v>6571</v>
      </c>
      <c r="N3378" t="s">
        <v>786</v>
      </c>
      <c r="O3378">
        <v>12.21</v>
      </c>
      <c r="P3378">
        <v>12.32</v>
      </c>
      <c r="Q3378">
        <v>12.11</v>
      </c>
      <c r="R3378">
        <v>12.29</v>
      </c>
      <c r="S3378">
        <v>15.52</v>
      </c>
      <c r="T3378">
        <v>0.77</v>
      </c>
      <c r="U3378" t="s">
        <v>224</v>
      </c>
    </row>
    <row r="3379" spans="1:21">
      <c r="A3379" t="str">
        <f>"601058"</f>
        <v>601058</v>
      </c>
      <c r="B3379" t="s">
        <v>6572</v>
      </c>
      <c r="C3379">
        <v>-3.02</v>
      </c>
      <c r="D3379">
        <v>14.45</v>
      </c>
      <c r="E3379">
        <v>-0.45</v>
      </c>
      <c r="F3379">
        <v>14.45</v>
      </c>
      <c r="G3379">
        <v>14.46</v>
      </c>
      <c r="H3379">
        <v>712117</v>
      </c>
      <c r="I3379">
        <v>5215</v>
      </c>
      <c r="J3379">
        <v>0.35</v>
      </c>
      <c r="K3379">
        <v>2.78</v>
      </c>
      <c r="L3379">
        <v>99602.04</v>
      </c>
      <c r="M3379" t="s">
        <v>6573</v>
      </c>
      <c r="N3379" t="s">
        <v>91</v>
      </c>
      <c r="O3379">
        <v>14.9</v>
      </c>
      <c r="P3379">
        <v>14.95</v>
      </c>
      <c r="Q3379">
        <v>13.41</v>
      </c>
      <c r="R3379">
        <v>14.9</v>
      </c>
      <c r="S3379">
        <v>33.13</v>
      </c>
      <c r="T3379">
        <v>1.2</v>
      </c>
      <c r="U3379" t="s">
        <v>221</v>
      </c>
    </row>
    <row r="3380" spans="1:21">
      <c r="A3380" t="str">
        <f>"601066"</f>
        <v>601066</v>
      </c>
      <c r="B3380" t="s">
        <v>6574</v>
      </c>
      <c r="C3380">
        <v>1.84</v>
      </c>
      <c r="D3380">
        <v>28.85</v>
      </c>
      <c r="E3380">
        <v>0.52</v>
      </c>
      <c r="F3380">
        <v>28.85</v>
      </c>
      <c r="G3380">
        <v>28.86</v>
      </c>
      <c r="H3380">
        <v>215820</v>
      </c>
      <c r="I3380">
        <v>3812</v>
      </c>
      <c r="J3380">
        <v>-0.09</v>
      </c>
      <c r="K3380">
        <v>0.57</v>
      </c>
      <c r="L3380">
        <v>61958.53</v>
      </c>
      <c r="M3380" t="s">
        <v>6575</v>
      </c>
      <c r="N3380" t="s">
        <v>213</v>
      </c>
      <c r="O3380">
        <v>28.5</v>
      </c>
      <c r="P3380">
        <v>29.09</v>
      </c>
      <c r="Q3380">
        <v>28.21</v>
      </c>
      <c r="R3380">
        <v>28.33</v>
      </c>
      <c r="S3380">
        <v>23.12</v>
      </c>
      <c r="T3380">
        <v>1.24</v>
      </c>
      <c r="U3380" t="s">
        <v>44</v>
      </c>
    </row>
    <row r="3381" spans="1:21">
      <c r="A3381" t="str">
        <f>"601068"</f>
        <v>601068</v>
      </c>
      <c r="B3381" t="s">
        <v>6576</v>
      </c>
      <c r="C3381">
        <v>-1.25</v>
      </c>
      <c r="D3381">
        <v>3.95</v>
      </c>
      <c r="E3381">
        <v>-0.05</v>
      </c>
      <c r="F3381">
        <v>3.95</v>
      </c>
      <c r="G3381">
        <v>3.96</v>
      </c>
      <c r="H3381">
        <v>194255</v>
      </c>
      <c r="I3381">
        <v>4233</v>
      </c>
      <c r="J3381">
        <v>-0.49</v>
      </c>
      <c r="K3381">
        <v>0.76</v>
      </c>
      <c r="L3381">
        <v>7611.77</v>
      </c>
      <c r="M3381" t="s">
        <v>6577</v>
      </c>
      <c r="N3381" t="s">
        <v>50</v>
      </c>
      <c r="O3381">
        <v>3.95</v>
      </c>
      <c r="P3381">
        <v>3.97</v>
      </c>
      <c r="Q3381">
        <v>3.87</v>
      </c>
      <c r="R3381">
        <v>4</v>
      </c>
      <c r="S3381">
        <v>2046.18</v>
      </c>
      <c r="T3381">
        <v>1.3</v>
      </c>
      <c r="U3381" t="s">
        <v>44</v>
      </c>
    </row>
    <row r="3382" spans="1:21">
      <c r="A3382" t="str">
        <f>"601069"</f>
        <v>601069</v>
      </c>
      <c r="B3382" t="s">
        <v>6578</v>
      </c>
      <c r="C3382">
        <v>0</v>
      </c>
      <c r="D3382">
        <v>12.01</v>
      </c>
      <c r="E3382">
        <v>0</v>
      </c>
      <c r="G3382" t="s">
        <v>40</v>
      </c>
      <c r="H3382">
        <v>0</v>
      </c>
      <c r="I3382">
        <v>0</v>
      </c>
      <c r="J3382">
        <v>0</v>
      </c>
      <c r="K3382" t="s">
        <v>40</v>
      </c>
      <c r="L3382">
        <v>0</v>
      </c>
      <c r="M3382" t="s">
        <v>6579</v>
      </c>
      <c r="N3382" t="s">
        <v>302</v>
      </c>
      <c r="O3382" t="s">
        <v>40</v>
      </c>
      <c r="P3382" t="s">
        <v>40</v>
      </c>
      <c r="Q3382" t="s">
        <v>40</v>
      </c>
      <c r="R3382">
        <v>12.01</v>
      </c>
      <c r="S3382" t="s">
        <v>40</v>
      </c>
      <c r="T3382">
        <v>0</v>
      </c>
      <c r="U3382" t="s">
        <v>210</v>
      </c>
    </row>
    <row r="3383" spans="1:21">
      <c r="A3383" t="str">
        <f>"601077"</f>
        <v>601077</v>
      </c>
      <c r="B3383" t="s">
        <v>6580</v>
      </c>
      <c r="C3383">
        <v>0.79</v>
      </c>
      <c r="D3383">
        <v>3.84</v>
      </c>
      <c r="E3383">
        <v>0.03</v>
      </c>
      <c r="F3383">
        <v>3.83</v>
      </c>
      <c r="G3383">
        <v>3.84</v>
      </c>
      <c r="H3383">
        <v>261400</v>
      </c>
      <c r="I3383">
        <v>5991</v>
      </c>
      <c r="J3383">
        <v>0.26</v>
      </c>
      <c r="K3383">
        <v>0.44</v>
      </c>
      <c r="L3383">
        <v>9993.34</v>
      </c>
      <c r="M3383" t="s">
        <v>6581</v>
      </c>
      <c r="N3383" t="s">
        <v>23</v>
      </c>
      <c r="O3383">
        <v>3.82</v>
      </c>
      <c r="P3383">
        <v>3.84</v>
      </c>
      <c r="Q3383">
        <v>3.81</v>
      </c>
      <c r="R3383">
        <v>3.81</v>
      </c>
      <c r="S3383">
        <v>3.74</v>
      </c>
      <c r="T3383">
        <v>1.15</v>
      </c>
      <c r="U3383" t="s">
        <v>314</v>
      </c>
    </row>
    <row r="3384" spans="1:21">
      <c r="A3384" t="str">
        <f>"601086"</f>
        <v>601086</v>
      </c>
      <c r="B3384" t="s">
        <v>6582</v>
      </c>
      <c r="C3384">
        <v>1.14</v>
      </c>
      <c r="D3384">
        <v>3.56</v>
      </c>
      <c r="E3384">
        <v>0.04</v>
      </c>
      <c r="F3384">
        <v>3.56</v>
      </c>
      <c r="G3384">
        <v>3.57</v>
      </c>
      <c r="H3384">
        <v>19261</v>
      </c>
      <c r="I3384">
        <v>1105</v>
      </c>
      <c r="J3384">
        <v>0.57</v>
      </c>
      <c r="K3384">
        <v>0.29</v>
      </c>
      <c r="L3384">
        <v>679.72</v>
      </c>
      <c r="M3384" t="s">
        <v>6583</v>
      </c>
      <c r="N3384" t="s">
        <v>258</v>
      </c>
      <c r="O3384">
        <v>3.51</v>
      </c>
      <c r="P3384">
        <v>3.56</v>
      </c>
      <c r="Q3384">
        <v>3.49</v>
      </c>
      <c r="R3384">
        <v>3.52</v>
      </c>
      <c r="S3384">
        <v>20.71</v>
      </c>
      <c r="T3384">
        <v>1.29</v>
      </c>
      <c r="U3384" t="s">
        <v>391</v>
      </c>
    </row>
    <row r="3385" spans="1:21">
      <c r="A3385" t="str">
        <f>"601088"</f>
        <v>601088</v>
      </c>
      <c r="B3385" t="s">
        <v>6584</v>
      </c>
      <c r="C3385">
        <v>1.26</v>
      </c>
      <c r="D3385">
        <v>19.34</v>
      </c>
      <c r="E3385">
        <v>0.24</v>
      </c>
      <c r="F3385">
        <v>19.34</v>
      </c>
      <c r="G3385">
        <v>19.35</v>
      </c>
      <c r="H3385">
        <v>235332</v>
      </c>
      <c r="I3385">
        <v>3436</v>
      </c>
      <c r="J3385">
        <v>-0.04</v>
      </c>
      <c r="K3385">
        <v>0.14</v>
      </c>
      <c r="L3385">
        <v>45324.76</v>
      </c>
      <c r="M3385" t="s">
        <v>6585</v>
      </c>
      <c r="N3385" t="s">
        <v>390</v>
      </c>
      <c r="O3385">
        <v>19.09</v>
      </c>
      <c r="P3385">
        <v>19.43</v>
      </c>
      <c r="Q3385">
        <v>18.95</v>
      </c>
      <c r="R3385">
        <v>19.1</v>
      </c>
      <c r="S3385">
        <v>7.07</v>
      </c>
      <c r="T3385">
        <v>1.07</v>
      </c>
      <c r="U3385" t="s">
        <v>44</v>
      </c>
    </row>
    <row r="3386" spans="1:21">
      <c r="A3386" t="str">
        <f>"601098"</f>
        <v>601098</v>
      </c>
      <c r="B3386" t="s">
        <v>6586</v>
      </c>
      <c r="C3386">
        <v>0.57</v>
      </c>
      <c r="D3386">
        <v>8.76</v>
      </c>
      <c r="E3386">
        <v>0.05</v>
      </c>
      <c r="F3386">
        <v>8.76</v>
      </c>
      <c r="G3386">
        <v>8.77</v>
      </c>
      <c r="H3386">
        <v>43439</v>
      </c>
      <c r="I3386">
        <v>359</v>
      </c>
      <c r="J3386">
        <v>-0.22</v>
      </c>
      <c r="K3386">
        <v>0.24</v>
      </c>
      <c r="L3386">
        <v>3799.46</v>
      </c>
      <c r="M3386" t="s">
        <v>6587</v>
      </c>
      <c r="N3386" t="s">
        <v>650</v>
      </c>
      <c r="O3386">
        <v>8.74</v>
      </c>
      <c r="P3386">
        <v>8.79</v>
      </c>
      <c r="Q3386">
        <v>8.67</v>
      </c>
      <c r="R3386">
        <v>8.71</v>
      </c>
      <c r="S3386">
        <v>11.67</v>
      </c>
      <c r="T3386">
        <v>0.66</v>
      </c>
      <c r="U3386" t="s">
        <v>204</v>
      </c>
    </row>
    <row r="3387" spans="1:21">
      <c r="A3387" t="str">
        <f>"601099"</f>
        <v>601099</v>
      </c>
      <c r="B3387" t="s">
        <v>6588</v>
      </c>
      <c r="C3387">
        <v>2.15</v>
      </c>
      <c r="D3387">
        <v>3.32</v>
      </c>
      <c r="E3387">
        <v>0.07</v>
      </c>
      <c r="F3387">
        <v>3.32</v>
      </c>
      <c r="G3387">
        <v>3.33</v>
      </c>
      <c r="H3387">
        <v>1719814</v>
      </c>
      <c r="I3387">
        <v>14030</v>
      </c>
      <c r="J3387">
        <v>0.3</v>
      </c>
      <c r="K3387">
        <v>2.52</v>
      </c>
      <c r="L3387">
        <v>56300.52</v>
      </c>
      <c r="M3387" t="s">
        <v>6589</v>
      </c>
      <c r="N3387" t="s">
        <v>213</v>
      </c>
      <c r="O3387">
        <v>3.24</v>
      </c>
      <c r="P3387">
        <v>3.33</v>
      </c>
      <c r="Q3387">
        <v>3.21</v>
      </c>
      <c r="R3387">
        <v>3.25</v>
      </c>
      <c r="S3387">
        <v>49.87</v>
      </c>
      <c r="T3387">
        <v>2.34</v>
      </c>
      <c r="U3387" t="s">
        <v>363</v>
      </c>
    </row>
    <row r="3388" spans="1:21">
      <c r="A3388" t="str">
        <f>"601100"</f>
        <v>601100</v>
      </c>
      <c r="B3388" t="s">
        <v>6590</v>
      </c>
      <c r="C3388">
        <v>-0.52</v>
      </c>
      <c r="D3388">
        <v>81.91</v>
      </c>
      <c r="E3388">
        <v>-0.43</v>
      </c>
      <c r="F3388">
        <v>81.9</v>
      </c>
      <c r="G3388">
        <v>81.91</v>
      </c>
      <c r="H3388">
        <v>40711</v>
      </c>
      <c r="I3388">
        <v>454</v>
      </c>
      <c r="J3388">
        <v>0</v>
      </c>
      <c r="K3388">
        <v>0.31</v>
      </c>
      <c r="L3388">
        <v>33128.35</v>
      </c>
      <c r="M3388" t="s">
        <v>6591</v>
      </c>
      <c r="N3388" t="s">
        <v>203</v>
      </c>
      <c r="O3388">
        <v>81.6</v>
      </c>
      <c r="P3388">
        <v>82.21</v>
      </c>
      <c r="Q3388">
        <v>80.85</v>
      </c>
      <c r="R3388">
        <v>82.34</v>
      </c>
      <c r="S3388">
        <v>40.38</v>
      </c>
      <c r="T3388">
        <v>1.15</v>
      </c>
      <c r="U3388" t="s">
        <v>102</v>
      </c>
    </row>
    <row r="3389" spans="1:21">
      <c r="A3389" t="str">
        <f>"601101"</f>
        <v>601101</v>
      </c>
      <c r="B3389" t="s">
        <v>6592</v>
      </c>
      <c r="C3389">
        <v>1.92</v>
      </c>
      <c r="D3389">
        <v>8.49</v>
      </c>
      <c r="E3389">
        <v>0.16</v>
      </c>
      <c r="F3389">
        <v>8.49</v>
      </c>
      <c r="G3389">
        <v>8.5</v>
      </c>
      <c r="H3389">
        <v>199852</v>
      </c>
      <c r="I3389">
        <v>1156</v>
      </c>
      <c r="J3389">
        <v>-0.11</v>
      </c>
      <c r="K3389">
        <v>1.67</v>
      </c>
      <c r="L3389">
        <v>16653.04</v>
      </c>
      <c r="M3389" t="s">
        <v>139</v>
      </c>
      <c r="N3389" t="s">
        <v>390</v>
      </c>
      <c r="O3389">
        <v>8.2</v>
      </c>
      <c r="P3389">
        <v>8.54</v>
      </c>
      <c r="Q3389">
        <v>8.07</v>
      </c>
      <c r="R3389">
        <v>8.33</v>
      </c>
      <c r="S3389">
        <v>5.93</v>
      </c>
      <c r="T3389">
        <v>1.03</v>
      </c>
      <c r="U3389" t="s">
        <v>44</v>
      </c>
    </row>
    <row r="3390" spans="1:21">
      <c r="A3390" t="str">
        <f>"601106"</f>
        <v>601106</v>
      </c>
      <c r="B3390" t="s">
        <v>6593</v>
      </c>
      <c r="C3390">
        <v>0</v>
      </c>
      <c r="D3390">
        <v>3.38</v>
      </c>
      <c r="E3390">
        <v>0</v>
      </c>
      <c r="F3390">
        <v>3.38</v>
      </c>
      <c r="G3390">
        <v>3.39</v>
      </c>
      <c r="H3390">
        <v>319794</v>
      </c>
      <c r="I3390">
        <v>3861</v>
      </c>
      <c r="J3390">
        <v>-0.28</v>
      </c>
      <c r="K3390">
        <v>0.47</v>
      </c>
      <c r="L3390">
        <v>10711.62</v>
      </c>
      <c r="M3390" t="s">
        <v>6594</v>
      </c>
      <c r="N3390" t="s">
        <v>203</v>
      </c>
      <c r="O3390">
        <v>3.36</v>
      </c>
      <c r="P3390">
        <v>3.39</v>
      </c>
      <c r="Q3390">
        <v>3.32</v>
      </c>
      <c r="R3390">
        <v>3.38</v>
      </c>
      <c r="S3390">
        <v>258.83</v>
      </c>
      <c r="T3390">
        <v>0.7</v>
      </c>
      <c r="U3390" t="s">
        <v>445</v>
      </c>
    </row>
    <row r="3391" spans="1:21">
      <c r="A3391" t="str">
        <f>"601107"</f>
        <v>601107</v>
      </c>
      <c r="B3391" t="s">
        <v>6595</v>
      </c>
      <c r="C3391">
        <v>2.35</v>
      </c>
      <c r="D3391">
        <v>3.49</v>
      </c>
      <c r="E3391">
        <v>0.08</v>
      </c>
      <c r="F3391">
        <v>3.48</v>
      </c>
      <c r="G3391">
        <v>3.49</v>
      </c>
      <c r="H3391">
        <v>74843</v>
      </c>
      <c r="I3391">
        <v>371</v>
      </c>
      <c r="J3391">
        <v>0</v>
      </c>
      <c r="K3391">
        <v>0.35</v>
      </c>
      <c r="L3391">
        <v>2600.29</v>
      </c>
      <c r="M3391" t="s">
        <v>6487</v>
      </c>
      <c r="N3391" t="s">
        <v>280</v>
      </c>
      <c r="O3391">
        <v>3.44</v>
      </c>
      <c r="P3391">
        <v>3.52</v>
      </c>
      <c r="Q3391">
        <v>3.43</v>
      </c>
      <c r="R3391">
        <v>3.41</v>
      </c>
      <c r="S3391">
        <v>8.56</v>
      </c>
      <c r="T3391">
        <v>2.11</v>
      </c>
      <c r="U3391" t="s">
        <v>196</v>
      </c>
    </row>
    <row r="3392" spans="1:21">
      <c r="A3392" t="str">
        <f>"601108"</f>
        <v>601108</v>
      </c>
      <c r="B3392" t="s">
        <v>6596</v>
      </c>
      <c r="C3392">
        <v>2.08</v>
      </c>
      <c r="D3392">
        <v>10.33</v>
      </c>
      <c r="E3392">
        <v>0.21</v>
      </c>
      <c r="F3392">
        <v>10.32</v>
      </c>
      <c r="G3392">
        <v>10.33</v>
      </c>
      <c r="H3392">
        <v>333369</v>
      </c>
      <c r="I3392">
        <v>5125</v>
      </c>
      <c r="J3392">
        <v>0</v>
      </c>
      <c r="K3392">
        <v>0.93</v>
      </c>
      <c r="L3392">
        <v>34172.02</v>
      </c>
      <c r="M3392" t="s">
        <v>6597</v>
      </c>
      <c r="N3392" t="s">
        <v>213</v>
      </c>
      <c r="O3392">
        <v>10.12</v>
      </c>
      <c r="P3392">
        <v>10.38</v>
      </c>
      <c r="Q3392">
        <v>10.08</v>
      </c>
      <c r="R3392">
        <v>10.12</v>
      </c>
      <c r="S3392">
        <v>17.45</v>
      </c>
      <c r="T3392">
        <v>1.44</v>
      </c>
      <c r="U3392" t="s">
        <v>200</v>
      </c>
    </row>
    <row r="3393" spans="1:21">
      <c r="A3393" t="str">
        <f>"601111"</f>
        <v>601111</v>
      </c>
      <c r="B3393" t="s">
        <v>6598</v>
      </c>
      <c r="C3393">
        <v>0.95</v>
      </c>
      <c r="D3393">
        <v>8.5</v>
      </c>
      <c r="E3393">
        <v>0.08</v>
      </c>
      <c r="F3393">
        <v>8.49</v>
      </c>
      <c r="G3393">
        <v>8.5</v>
      </c>
      <c r="H3393">
        <v>301208</v>
      </c>
      <c r="I3393">
        <v>3552</v>
      </c>
      <c r="J3393">
        <v>-0.46</v>
      </c>
      <c r="K3393">
        <v>0.3</v>
      </c>
      <c r="L3393">
        <v>25360</v>
      </c>
      <c r="M3393" t="s">
        <v>6599</v>
      </c>
      <c r="N3393" t="s">
        <v>180</v>
      </c>
      <c r="O3393">
        <v>8.43</v>
      </c>
      <c r="P3393">
        <v>8.6</v>
      </c>
      <c r="Q3393">
        <v>8.26</v>
      </c>
      <c r="R3393">
        <v>8.42</v>
      </c>
      <c r="S3393" t="s">
        <v>40</v>
      </c>
      <c r="T3393">
        <v>0.8</v>
      </c>
      <c r="U3393" t="s">
        <v>44</v>
      </c>
    </row>
    <row r="3394" spans="1:21">
      <c r="A3394" t="str">
        <f>"601113"</f>
        <v>601113</v>
      </c>
      <c r="B3394" t="s">
        <v>6600</v>
      </c>
      <c r="C3394">
        <v>3.71</v>
      </c>
      <c r="D3394">
        <v>3.91</v>
      </c>
      <c r="E3394">
        <v>0.14</v>
      </c>
      <c r="F3394">
        <v>3.9</v>
      </c>
      <c r="G3394">
        <v>3.91</v>
      </c>
      <c r="H3394">
        <v>71645</v>
      </c>
      <c r="I3394">
        <v>299</v>
      </c>
      <c r="J3394">
        <v>0</v>
      </c>
      <c r="K3394">
        <v>0.79</v>
      </c>
      <c r="L3394">
        <v>2767.23</v>
      </c>
      <c r="M3394" t="s">
        <v>6601</v>
      </c>
      <c r="N3394" t="s">
        <v>479</v>
      </c>
      <c r="O3394">
        <v>3.75</v>
      </c>
      <c r="P3394">
        <v>3.95</v>
      </c>
      <c r="Q3394">
        <v>3.75</v>
      </c>
      <c r="R3394">
        <v>3.77</v>
      </c>
      <c r="S3394">
        <v>14.15</v>
      </c>
      <c r="T3394">
        <v>1.59</v>
      </c>
      <c r="U3394" t="s">
        <v>200</v>
      </c>
    </row>
    <row r="3395" spans="1:21">
      <c r="A3395" t="str">
        <f>"601116"</f>
        <v>601116</v>
      </c>
      <c r="B3395" t="s">
        <v>6602</v>
      </c>
      <c r="C3395">
        <v>0.63</v>
      </c>
      <c r="D3395">
        <v>8.03</v>
      </c>
      <c r="E3395">
        <v>0.05</v>
      </c>
      <c r="F3395">
        <v>8.02</v>
      </c>
      <c r="G3395">
        <v>8.03</v>
      </c>
      <c r="H3395">
        <v>8448</v>
      </c>
      <c r="I3395">
        <v>53</v>
      </c>
      <c r="J3395">
        <v>0</v>
      </c>
      <c r="K3395">
        <v>0.15</v>
      </c>
      <c r="L3395">
        <v>675.66</v>
      </c>
      <c r="M3395" t="s">
        <v>4008</v>
      </c>
      <c r="N3395" t="s">
        <v>707</v>
      </c>
      <c r="O3395">
        <v>7.97</v>
      </c>
      <c r="P3395">
        <v>8.03</v>
      </c>
      <c r="Q3395">
        <v>7.91</v>
      </c>
      <c r="R3395">
        <v>7.98</v>
      </c>
      <c r="S3395">
        <v>50.62</v>
      </c>
      <c r="T3395">
        <v>0.66</v>
      </c>
      <c r="U3395" t="s">
        <v>200</v>
      </c>
    </row>
    <row r="3396" spans="1:21">
      <c r="A3396" t="str">
        <f>"601117"</f>
        <v>601117</v>
      </c>
      <c r="B3396" t="s">
        <v>6603</v>
      </c>
      <c r="C3396">
        <v>1.87</v>
      </c>
      <c r="D3396">
        <v>10.35</v>
      </c>
      <c r="E3396">
        <v>0.19</v>
      </c>
      <c r="F3396">
        <v>10.34</v>
      </c>
      <c r="G3396">
        <v>10.35</v>
      </c>
      <c r="H3396">
        <v>596053</v>
      </c>
      <c r="I3396">
        <v>9330</v>
      </c>
      <c r="J3396">
        <v>0.1</v>
      </c>
      <c r="K3396">
        <v>1.21</v>
      </c>
      <c r="L3396">
        <v>60693.37</v>
      </c>
      <c r="M3396" t="s">
        <v>6604</v>
      </c>
      <c r="N3396" t="s">
        <v>50</v>
      </c>
      <c r="O3396">
        <v>10.13</v>
      </c>
      <c r="P3396">
        <v>10.38</v>
      </c>
      <c r="Q3396">
        <v>10.01</v>
      </c>
      <c r="R3396">
        <v>10.16</v>
      </c>
      <c r="S3396">
        <v>16.36</v>
      </c>
      <c r="T3396">
        <v>1.09</v>
      </c>
      <c r="U3396" t="s">
        <v>44</v>
      </c>
    </row>
    <row r="3397" spans="1:21">
      <c r="A3397" t="str">
        <f>"601118"</f>
        <v>601118</v>
      </c>
      <c r="B3397" t="s">
        <v>6605</v>
      </c>
      <c r="C3397">
        <v>1.43</v>
      </c>
      <c r="D3397">
        <v>5.69</v>
      </c>
      <c r="E3397">
        <v>0.08</v>
      </c>
      <c r="F3397">
        <v>5.68</v>
      </c>
      <c r="G3397">
        <v>5.69</v>
      </c>
      <c r="H3397">
        <v>984769</v>
      </c>
      <c r="I3397">
        <v>8189</v>
      </c>
      <c r="J3397">
        <v>-0.17</v>
      </c>
      <c r="K3397">
        <v>2.3</v>
      </c>
      <c r="L3397">
        <v>55301.05</v>
      </c>
      <c r="M3397" t="s">
        <v>6606</v>
      </c>
      <c r="N3397" t="s">
        <v>1509</v>
      </c>
      <c r="O3397">
        <v>5.63</v>
      </c>
      <c r="P3397">
        <v>5.78</v>
      </c>
      <c r="Q3397">
        <v>5.41</v>
      </c>
      <c r="R3397">
        <v>5.61</v>
      </c>
      <c r="S3397" t="s">
        <v>40</v>
      </c>
      <c r="T3397">
        <v>1.68</v>
      </c>
      <c r="U3397" t="s">
        <v>294</v>
      </c>
    </row>
    <row r="3398" spans="1:21">
      <c r="A3398" t="str">
        <f>"601126"</f>
        <v>601126</v>
      </c>
      <c r="B3398" t="s">
        <v>6607</v>
      </c>
      <c r="C3398">
        <v>-0.19</v>
      </c>
      <c r="D3398">
        <v>21.09</v>
      </c>
      <c r="E3398">
        <v>-0.04</v>
      </c>
      <c r="F3398">
        <v>21.08</v>
      </c>
      <c r="G3398">
        <v>21.09</v>
      </c>
      <c r="H3398">
        <v>397407</v>
      </c>
      <c r="I3398">
        <v>9520</v>
      </c>
      <c r="J3398">
        <v>0.24</v>
      </c>
      <c r="K3398">
        <v>4.89</v>
      </c>
      <c r="L3398">
        <v>83036.9</v>
      </c>
      <c r="M3398" t="s">
        <v>6608</v>
      </c>
      <c r="N3398" t="s">
        <v>47</v>
      </c>
      <c r="O3398">
        <v>21.11</v>
      </c>
      <c r="P3398">
        <v>21.24</v>
      </c>
      <c r="Q3398">
        <v>20.36</v>
      </c>
      <c r="R3398">
        <v>21.13</v>
      </c>
      <c r="S3398">
        <v>33.45</v>
      </c>
      <c r="T3398">
        <v>0.48</v>
      </c>
      <c r="U3398" t="s">
        <v>44</v>
      </c>
    </row>
    <row r="3399" spans="1:21">
      <c r="A3399" t="str">
        <f>"601127"</f>
        <v>601127</v>
      </c>
      <c r="B3399" t="s">
        <v>6609</v>
      </c>
      <c r="C3399">
        <v>-0.31</v>
      </c>
      <c r="D3399">
        <v>62.1</v>
      </c>
      <c r="E3399">
        <v>-0.19</v>
      </c>
      <c r="F3399">
        <v>62.1</v>
      </c>
      <c r="G3399">
        <v>62.12</v>
      </c>
      <c r="H3399">
        <v>114404</v>
      </c>
      <c r="I3399">
        <v>1240</v>
      </c>
      <c r="J3399">
        <v>0.03</v>
      </c>
      <c r="K3399">
        <v>1.17</v>
      </c>
      <c r="L3399">
        <v>70895.01</v>
      </c>
      <c r="M3399" t="s">
        <v>6610</v>
      </c>
      <c r="N3399" t="s">
        <v>385</v>
      </c>
      <c r="O3399">
        <v>62.5</v>
      </c>
      <c r="P3399">
        <v>63.53</v>
      </c>
      <c r="Q3399">
        <v>60.73</v>
      </c>
      <c r="R3399">
        <v>62.29</v>
      </c>
      <c r="S3399" t="s">
        <v>40</v>
      </c>
      <c r="T3399">
        <v>0.95</v>
      </c>
      <c r="U3399" t="s">
        <v>314</v>
      </c>
    </row>
    <row r="3400" spans="1:21">
      <c r="A3400" t="str">
        <f>"601128"</f>
        <v>601128</v>
      </c>
      <c r="B3400" t="s">
        <v>6611</v>
      </c>
      <c r="C3400">
        <v>3.38</v>
      </c>
      <c r="D3400">
        <v>7.03</v>
      </c>
      <c r="E3400">
        <v>0.23</v>
      </c>
      <c r="F3400">
        <v>7.03</v>
      </c>
      <c r="G3400">
        <v>7.04</v>
      </c>
      <c r="H3400">
        <v>416765</v>
      </c>
      <c r="I3400">
        <v>4844</v>
      </c>
      <c r="J3400">
        <v>0.29</v>
      </c>
      <c r="K3400">
        <v>1.58</v>
      </c>
      <c r="L3400">
        <v>29024.43</v>
      </c>
      <c r="M3400" t="s">
        <v>6612</v>
      </c>
      <c r="N3400" t="s">
        <v>23</v>
      </c>
      <c r="O3400">
        <v>6.81</v>
      </c>
      <c r="P3400">
        <v>7.07</v>
      </c>
      <c r="Q3400">
        <v>6.81</v>
      </c>
      <c r="R3400">
        <v>6.8</v>
      </c>
      <c r="S3400">
        <v>8.7</v>
      </c>
      <c r="T3400">
        <v>1.08</v>
      </c>
      <c r="U3400" t="s">
        <v>102</v>
      </c>
    </row>
    <row r="3401" spans="1:21">
      <c r="A3401" t="str">
        <f>"601137"</f>
        <v>601137</v>
      </c>
      <c r="B3401" t="s">
        <v>6613</v>
      </c>
      <c r="C3401">
        <v>1.06</v>
      </c>
      <c r="D3401">
        <v>21.96</v>
      </c>
      <c r="E3401">
        <v>0.23</v>
      </c>
      <c r="F3401">
        <v>21.95</v>
      </c>
      <c r="G3401">
        <v>21.96</v>
      </c>
      <c r="H3401">
        <v>170129</v>
      </c>
      <c r="I3401">
        <v>1280</v>
      </c>
      <c r="J3401">
        <v>-0.08</v>
      </c>
      <c r="K3401">
        <v>2.36</v>
      </c>
      <c r="L3401">
        <v>37348.52</v>
      </c>
      <c r="M3401" t="s">
        <v>6614</v>
      </c>
      <c r="N3401" t="s">
        <v>526</v>
      </c>
      <c r="O3401">
        <v>22.17</v>
      </c>
      <c r="P3401">
        <v>22.7</v>
      </c>
      <c r="Q3401">
        <v>21.5</v>
      </c>
      <c r="R3401">
        <v>21.73</v>
      </c>
      <c r="S3401">
        <v>49.58</v>
      </c>
      <c r="T3401">
        <v>0.52</v>
      </c>
      <c r="U3401" t="s">
        <v>200</v>
      </c>
    </row>
    <row r="3402" spans="1:21">
      <c r="A3402" t="str">
        <f>"601138"</f>
        <v>601138</v>
      </c>
      <c r="B3402" t="s">
        <v>6615</v>
      </c>
      <c r="C3402">
        <v>2.5</v>
      </c>
      <c r="D3402">
        <v>11.91</v>
      </c>
      <c r="E3402">
        <v>0.29</v>
      </c>
      <c r="F3402">
        <v>11.9</v>
      </c>
      <c r="G3402">
        <v>11.91</v>
      </c>
      <c r="H3402">
        <v>341482</v>
      </c>
      <c r="I3402">
        <v>4793</v>
      </c>
      <c r="J3402">
        <v>0.08</v>
      </c>
      <c r="K3402">
        <v>1.12</v>
      </c>
      <c r="L3402">
        <v>40392.63</v>
      </c>
      <c r="M3402" t="s">
        <v>6616</v>
      </c>
      <c r="N3402" t="s">
        <v>153</v>
      </c>
      <c r="O3402">
        <v>11.6</v>
      </c>
      <c r="P3402">
        <v>11.96</v>
      </c>
      <c r="Q3402">
        <v>11.56</v>
      </c>
      <c r="R3402">
        <v>11.62</v>
      </c>
      <c r="S3402">
        <v>16.12</v>
      </c>
      <c r="T3402">
        <v>1.43</v>
      </c>
      <c r="U3402" t="s">
        <v>24</v>
      </c>
    </row>
    <row r="3403" spans="1:21">
      <c r="A3403" t="str">
        <f>"601139"</f>
        <v>601139</v>
      </c>
      <c r="B3403" t="s">
        <v>6617</v>
      </c>
      <c r="C3403">
        <v>2.8</v>
      </c>
      <c r="D3403">
        <v>9.19</v>
      </c>
      <c r="E3403">
        <v>0.25</v>
      </c>
      <c r="F3403">
        <v>9.18</v>
      </c>
      <c r="G3403">
        <v>9.19</v>
      </c>
      <c r="H3403">
        <v>337259</v>
      </c>
      <c r="I3403">
        <v>5026</v>
      </c>
      <c r="J3403">
        <v>0</v>
      </c>
      <c r="K3403">
        <v>1.17</v>
      </c>
      <c r="L3403">
        <v>30591.57</v>
      </c>
      <c r="M3403" t="s">
        <v>6618</v>
      </c>
      <c r="N3403" t="s">
        <v>238</v>
      </c>
      <c r="O3403">
        <v>8.89</v>
      </c>
      <c r="P3403">
        <v>9.23</v>
      </c>
      <c r="Q3403">
        <v>8.76</v>
      </c>
      <c r="R3403">
        <v>8.94</v>
      </c>
      <c r="S3403">
        <v>16.47</v>
      </c>
      <c r="T3403">
        <v>1.82</v>
      </c>
      <c r="U3403" t="s">
        <v>24</v>
      </c>
    </row>
    <row r="3404" spans="1:21">
      <c r="A3404" t="str">
        <f>"601155"</f>
        <v>601155</v>
      </c>
      <c r="B3404" t="s">
        <v>6619</v>
      </c>
      <c r="C3404">
        <v>3.52</v>
      </c>
      <c r="D3404">
        <v>33.8</v>
      </c>
      <c r="E3404">
        <v>1.15</v>
      </c>
      <c r="F3404">
        <v>33.8</v>
      </c>
      <c r="G3404">
        <v>33.85</v>
      </c>
      <c r="H3404">
        <v>127350</v>
      </c>
      <c r="I3404">
        <v>8810</v>
      </c>
      <c r="J3404">
        <v>-0.11</v>
      </c>
      <c r="K3404">
        <v>0.56</v>
      </c>
      <c r="L3404">
        <v>42567.24</v>
      </c>
      <c r="M3404" t="s">
        <v>6620</v>
      </c>
      <c r="N3404" t="s">
        <v>36</v>
      </c>
      <c r="O3404">
        <v>32.64</v>
      </c>
      <c r="P3404">
        <v>34.28</v>
      </c>
      <c r="Q3404">
        <v>32.22</v>
      </c>
      <c r="R3404">
        <v>32.65</v>
      </c>
      <c r="S3404">
        <v>9.74</v>
      </c>
      <c r="T3404">
        <v>1.4</v>
      </c>
      <c r="U3404" t="s">
        <v>102</v>
      </c>
    </row>
    <row r="3405" spans="1:21">
      <c r="A3405" t="str">
        <f>"601156"</f>
        <v>601156</v>
      </c>
      <c r="B3405" t="s">
        <v>6621</v>
      </c>
      <c r="C3405">
        <v>3.06</v>
      </c>
      <c r="D3405">
        <v>20.57</v>
      </c>
      <c r="E3405">
        <v>0.61</v>
      </c>
      <c r="F3405">
        <v>20.56</v>
      </c>
      <c r="G3405">
        <v>20.57</v>
      </c>
      <c r="H3405">
        <v>67079</v>
      </c>
      <c r="I3405">
        <v>1693</v>
      </c>
      <c r="J3405">
        <v>0.1</v>
      </c>
      <c r="K3405">
        <v>4.23</v>
      </c>
      <c r="L3405">
        <v>13741.4</v>
      </c>
      <c r="M3405" t="s">
        <v>6622</v>
      </c>
      <c r="N3405" t="s">
        <v>180</v>
      </c>
      <c r="O3405">
        <v>19.99</v>
      </c>
      <c r="P3405">
        <v>20.65</v>
      </c>
      <c r="Q3405">
        <v>19.97</v>
      </c>
      <c r="R3405">
        <v>19.96</v>
      </c>
      <c r="S3405">
        <v>10.1</v>
      </c>
      <c r="T3405">
        <v>1.7</v>
      </c>
      <c r="U3405" t="s">
        <v>848</v>
      </c>
    </row>
    <row r="3406" spans="1:21">
      <c r="A3406" t="str">
        <f>"601158"</f>
        <v>601158</v>
      </c>
      <c r="B3406" t="s">
        <v>6623</v>
      </c>
      <c r="C3406">
        <v>0.16</v>
      </c>
      <c r="D3406">
        <v>6.23</v>
      </c>
      <c r="E3406">
        <v>0.01</v>
      </c>
      <c r="F3406">
        <v>6.22</v>
      </c>
      <c r="G3406">
        <v>6.23</v>
      </c>
      <c r="H3406">
        <v>103270</v>
      </c>
      <c r="I3406">
        <v>1538</v>
      </c>
      <c r="J3406">
        <v>-0.15</v>
      </c>
      <c r="K3406">
        <v>0.22</v>
      </c>
      <c r="L3406">
        <v>6414.22</v>
      </c>
      <c r="M3406" t="s">
        <v>6624</v>
      </c>
      <c r="N3406" t="s">
        <v>465</v>
      </c>
      <c r="O3406">
        <v>6.26</v>
      </c>
      <c r="P3406">
        <v>6.28</v>
      </c>
      <c r="Q3406">
        <v>6.13</v>
      </c>
      <c r="R3406">
        <v>6.22</v>
      </c>
      <c r="S3406">
        <v>11.25</v>
      </c>
      <c r="T3406">
        <v>0.99</v>
      </c>
      <c r="U3406" t="s">
        <v>314</v>
      </c>
    </row>
    <row r="3407" spans="1:21">
      <c r="A3407" t="str">
        <f>"601162"</f>
        <v>601162</v>
      </c>
      <c r="B3407" t="s">
        <v>6625</v>
      </c>
      <c r="C3407">
        <v>2.07</v>
      </c>
      <c r="D3407">
        <v>3.94</v>
      </c>
      <c r="E3407">
        <v>0.08</v>
      </c>
      <c r="F3407">
        <v>3.94</v>
      </c>
      <c r="G3407">
        <v>3.95</v>
      </c>
      <c r="H3407">
        <v>855837</v>
      </c>
      <c r="I3407">
        <v>14029</v>
      </c>
      <c r="J3407">
        <v>0.25</v>
      </c>
      <c r="K3407">
        <v>0.99</v>
      </c>
      <c r="L3407">
        <v>33418.05</v>
      </c>
      <c r="M3407" t="s">
        <v>6626</v>
      </c>
      <c r="N3407" t="s">
        <v>213</v>
      </c>
      <c r="O3407">
        <v>3.87</v>
      </c>
      <c r="P3407">
        <v>3.96</v>
      </c>
      <c r="Q3407">
        <v>3.85</v>
      </c>
      <c r="R3407">
        <v>3.86</v>
      </c>
      <c r="S3407">
        <v>40.35</v>
      </c>
      <c r="T3407">
        <v>1.51</v>
      </c>
      <c r="U3407" t="s">
        <v>267</v>
      </c>
    </row>
    <row r="3408" spans="1:21">
      <c r="A3408" t="str">
        <f>"601163"</f>
        <v>601163</v>
      </c>
      <c r="B3408" t="s">
        <v>6627</v>
      </c>
      <c r="C3408">
        <v>1.02</v>
      </c>
      <c r="D3408">
        <v>12.93</v>
      </c>
      <c r="E3408">
        <v>0.13</v>
      </c>
      <c r="F3408">
        <v>12.93</v>
      </c>
      <c r="G3408">
        <v>12.94</v>
      </c>
      <c r="H3408">
        <v>14180</v>
      </c>
      <c r="I3408">
        <v>49</v>
      </c>
      <c r="J3408">
        <v>-0.07</v>
      </c>
      <c r="K3408">
        <v>0.18</v>
      </c>
      <c r="L3408">
        <v>1828.15</v>
      </c>
      <c r="M3408" t="s">
        <v>6628</v>
      </c>
      <c r="N3408" t="s">
        <v>91</v>
      </c>
      <c r="O3408">
        <v>12.84</v>
      </c>
      <c r="P3408">
        <v>12.99</v>
      </c>
      <c r="Q3408">
        <v>12.8</v>
      </c>
      <c r="R3408">
        <v>12.8</v>
      </c>
      <c r="S3408">
        <v>15.98</v>
      </c>
      <c r="T3408">
        <v>0.9</v>
      </c>
      <c r="U3408" t="s">
        <v>221</v>
      </c>
    </row>
    <row r="3409" spans="1:21">
      <c r="A3409" t="str">
        <f>"601166"</f>
        <v>601166</v>
      </c>
      <c r="B3409" t="s">
        <v>6629</v>
      </c>
      <c r="C3409">
        <v>1.09</v>
      </c>
      <c r="D3409">
        <v>18.5</v>
      </c>
      <c r="E3409">
        <v>0.2</v>
      </c>
      <c r="F3409">
        <v>18.5</v>
      </c>
      <c r="G3409">
        <v>18.51</v>
      </c>
      <c r="H3409">
        <v>678055</v>
      </c>
      <c r="I3409">
        <v>6651</v>
      </c>
      <c r="J3409">
        <v>0.05</v>
      </c>
      <c r="K3409">
        <v>0.35</v>
      </c>
      <c r="L3409">
        <v>124961</v>
      </c>
      <c r="M3409" t="s">
        <v>6630</v>
      </c>
      <c r="N3409" t="s">
        <v>23</v>
      </c>
      <c r="O3409">
        <v>18.28</v>
      </c>
      <c r="P3409">
        <v>18.61</v>
      </c>
      <c r="Q3409">
        <v>18.24</v>
      </c>
      <c r="R3409">
        <v>18.3</v>
      </c>
      <c r="S3409">
        <v>4.5</v>
      </c>
      <c r="T3409">
        <v>1.22</v>
      </c>
      <c r="U3409" t="s">
        <v>339</v>
      </c>
    </row>
    <row r="3410" spans="1:21">
      <c r="A3410" t="str">
        <f>"601168"</f>
        <v>601168</v>
      </c>
      <c r="B3410" t="s">
        <v>6631</v>
      </c>
      <c r="C3410">
        <v>2.73</v>
      </c>
      <c r="D3410">
        <v>13.17</v>
      </c>
      <c r="E3410">
        <v>0.35</v>
      </c>
      <c r="F3410">
        <v>13.17</v>
      </c>
      <c r="G3410">
        <v>13.18</v>
      </c>
      <c r="H3410">
        <v>483944</v>
      </c>
      <c r="I3410">
        <v>11026</v>
      </c>
      <c r="J3410">
        <v>0</v>
      </c>
      <c r="K3410">
        <v>2.03</v>
      </c>
      <c r="L3410">
        <v>62762.82</v>
      </c>
      <c r="M3410" t="s">
        <v>6632</v>
      </c>
      <c r="N3410" t="s">
        <v>526</v>
      </c>
      <c r="O3410">
        <v>12.9</v>
      </c>
      <c r="P3410">
        <v>13.17</v>
      </c>
      <c r="Q3410">
        <v>12.76</v>
      </c>
      <c r="R3410">
        <v>12.82</v>
      </c>
      <c r="S3410">
        <v>10.43</v>
      </c>
      <c r="T3410">
        <v>1.51</v>
      </c>
      <c r="U3410" t="s">
        <v>242</v>
      </c>
    </row>
    <row r="3411" spans="1:21">
      <c r="A3411" t="str">
        <f>"601169"</f>
        <v>601169</v>
      </c>
      <c r="B3411" t="s">
        <v>6633</v>
      </c>
      <c r="C3411">
        <v>0.45</v>
      </c>
      <c r="D3411">
        <v>4.44</v>
      </c>
      <c r="E3411">
        <v>0.02</v>
      </c>
      <c r="F3411">
        <v>4.44</v>
      </c>
      <c r="G3411">
        <v>4.45</v>
      </c>
      <c r="H3411">
        <v>297352</v>
      </c>
      <c r="I3411">
        <v>7288</v>
      </c>
      <c r="J3411">
        <v>-0.21</v>
      </c>
      <c r="K3411">
        <v>0.14</v>
      </c>
      <c r="L3411">
        <v>13181.03</v>
      </c>
      <c r="M3411" t="s">
        <v>6634</v>
      </c>
      <c r="N3411" t="s">
        <v>23</v>
      </c>
      <c r="O3411">
        <v>4.42</v>
      </c>
      <c r="P3411">
        <v>4.45</v>
      </c>
      <c r="Q3411">
        <v>4.42</v>
      </c>
      <c r="R3411">
        <v>4.42</v>
      </c>
      <c r="S3411">
        <v>3.87</v>
      </c>
      <c r="T3411">
        <v>0.88</v>
      </c>
      <c r="U3411" t="s">
        <v>44</v>
      </c>
    </row>
    <row r="3412" spans="1:21">
      <c r="A3412" t="str">
        <f>"601177"</f>
        <v>601177</v>
      </c>
      <c r="B3412" t="s">
        <v>6635</v>
      </c>
      <c r="C3412">
        <v>2.08</v>
      </c>
      <c r="D3412">
        <v>9.34</v>
      </c>
      <c r="E3412">
        <v>0.19</v>
      </c>
      <c r="F3412">
        <v>9.33</v>
      </c>
      <c r="G3412">
        <v>9.34</v>
      </c>
      <c r="H3412">
        <v>39517</v>
      </c>
      <c r="I3412">
        <v>619</v>
      </c>
      <c r="J3412">
        <v>0</v>
      </c>
      <c r="K3412">
        <v>0.99</v>
      </c>
      <c r="L3412">
        <v>3665.8</v>
      </c>
      <c r="M3412" t="s">
        <v>2737</v>
      </c>
      <c r="N3412" t="s">
        <v>347</v>
      </c>
      <c r="O3412">
        <v>9.13</v>
      </c>
      <c r="P3412">
        <v>9.37</v>
      </c>
      <c r="Q3412">
        <v>9.1</v>
      </c>
      <c r="R3412">
        <v>9.15</v>
      </c>
      <c r="S3412">
        <v>20.25</v>
      </c>
      <c r="T3412">
        <v>0.99</v>
      </c>
      <c r="U3412" t="s">
        <v>200</v>
      </c>
    </row>
    <row r="3413" spans="1:21">
      <c r="A3413" t="str">
        <f>"601179"</f>
        <v>601179</v>
      </c>
      <c r="B3413" t="s">
        <v>6636</v>
      </c>
      <c r="C3413">
        <v>-0.56</v>
      </c>
      <c r="D3413">
        <v>5.34</v>
      </c>
      <c r="E3413">
        <v>-0.03</v>
      </c>
      <c r="F3413">
        <v>5.33</v>
      </c>
      <c r="G3413">
        <v>5.34</v>
      </c>
      <c r="H3413">
        <v>625041</v>
      </c>
      <c r="I3413">
        <v>3968</v>
      </c>
      <c r="J3413">
        <v>0</v>
      </c>
      <c r="K3413">
        <v>1.22</v>
      </c>
      <c r="L3413">
        <v>33286.47</v>
      </c>
      <c r="M3413" t="s">
        <v>6637</v>
      </c>
      <c r="N3413" t="s">
        <v>47</v>
      </c>
      <c r="O3413">
        <v>5.4</v>
      </c>
      <c r="P3413">
        <v>5.43</v>
      </c>
      <c r="Q3413">
        <v>5.25</v>
      </c>
      <c r="R3413">
        <v>5.37</v>
      </c>
      <c r="S3413">
        <v>62.55</v>
      </c>
      <c r="T3413">
        <v>0.79</v>
      </c>
      <c r="U3413" t="s">
        <v>317</v>
      </c>
    </row>
    <row r="3414" spans="1:21">
      <c r="A3414" t="str">
        <f>"601186"</f>
        <v>601186</v>
      </c>
      <c r="B3414" t="s">
        <v>6638</v>
      </c>
      <c r="C3414">
        <v>0.69</v>
      </c>
      <c r="D3414">
        <v>7.34</v>
      </c>
      <c r="E3414">
        <v>0.05</v>
      </c>
      <c r="F3414">
        <v>7.34</v>
      </c>
      <c r="G3414">
        <v>7.35</v>
      </c>
      <c r="H3414">
        <v>358490</v>
      </c>
      <c r="I3414">
        <v>3592</v>
      </c>
      <c r="J3414">
        <v>0</v>
      </c>
      <c r="K3414">
        <v>0.31</v>
      </c>
      <c r="L3414">
        <v>26080.28</v>
      </c>
      <c r="M3414" t="s">
        <v>6639</v>
      </c>
      <c r="N3414" t="s">
        <v>50</v>
      </c>
      <c r="O3414">
        <v>7.28</v>
      </c>
      <c r="P3414">
        <v>7.35</v>
      </c>
      <c r="Q3414">
        <v>7.23</v>
      </c>
      <c r="R3414">
        <v>7.29</v>
      </c>
      <c r="S3414">
        <v>4.18</v>
      </c>
      <c r="T3414">
        <v>1.5</v>
      </c>
      <c r="U3414" t="s">
        <v>44</v>
      </c>
    </row>
    <row r="3415" spans="1:21">
      <c r="A3415" t="str">
        <f>"601187"</f>
        <v>601187</v>
      </c>
      <c r="B3415" t="s">
        <v>6640</v>
      </c>
      <c r="C3415">
        <v>0.44</v>
      </c>
      <c r="D3415">
        <v>6.8</v>
      </c>
      <c r="E3415">
        <v>0.03</v>
      </c>
      <c r="F3415">
        <v>6.8</v>
      </c>
      <c r="G3415">
        <v>6.81</v>
      </c>
      <c r="H3415">
        <v>128930</v>
      </c>
      <c r="I3415">
        <v>2313</v>
      </c>
      <c r="J3415">
        <v>0</v>
      </c>
      <c r="K3415">
        <v>1.33</v>
      </c>
      <c r="L3415">
        <v>8717.78</v>
      </c>
      <c r="M3415" t="s">
        <v>6480</v>
      </c>
      <c r="N3415" t="s">
        <v>23</v>
      </c>
      <c r="O3415">
        <v>6.77</v>
      </c>
      <c r="P3415">
        <v>6.82</v>
      </c>
      <c r="Q3415">
        <v>6.7</v>
      </c>
      <c r="R3415">
        <v>6.77</v>
      </c>
      <c r="S3415">
        <v>8.9</v>
      </c>
      <c r="T3415">
        <v>1.37</v>
      </c>
      <c r="U3415" t="s">
        <v>339</v>
      </c>
    </row>
    <row r="3416" spans="1:21">
      <c r="A3416" t="str">
        <f>"601188"</f>
        <v>601188</v>
      </c>
      <c r="B3416" t="s">
        <v>6641</v>
      </c>
      <c r="C3416">
        <v>0.28</v>
      </c>
      <c r="D3416">
        <v>3.57</v>
      </c>
      <c r="E3416">
        <v>0.01</v>
      </c>
      <c r="F3416">
        <v>3.57</v>
      </c>
      <c r="G3416">
        <v>3.58</v>
      </c>
      <c r="H3416">
        <v>41600</v>
      </c>
      <c r="I3416">
        <v>1373</v>
      </c>
      <c r="J3416">
        <v>-0.27</v>
      </c>
      <c r="K3416">
        <v>0.32</v>
      </c>
      <c r="L3416">
        <v>1478.03</v>
      </c>
      <c r="M3416" t="s">
        <v>1967</v>
      </c>
      <c r="N3416" t="s">
        <v>280</v>
      </c>
      <c r="O3416">
        <v>3.56</v>
      </c>
      <c r="P3416">
        <v>3.6</v>
      </c>
      <c r="Q3416">
        <v>3.51</v>
      </c>
      <c r="R3416">
        <v>3.56</v>
      </c>
      <c r="S3416">
        <v>20.36</v>
      </c>
      <c r="T3416">
        <v>0.75</v>
      </c>
      <c r="U3416" t="s">
        <v>445</v>
      </c>
    </row>
    <row r="3417" spans="1:21">
      <c r="A3417" t="str">
        <f>"601198"</f>
        <v>601198</v>
      </c>
      <c r="B3417" t="s">
        <v>6642</v>
      </c>
      <c r="C3417">
        <v>3.68</v>
      </c>
      <c r="D3417">
        <v>12.12</v>
      </c>
      <c r="E3417">
        <v>0.43</v>
      </c>
      <c r="F3417">
        <v>12.11</v>
      </c>
      <c r="G3417">
        <v>12.12</v>
      </c>
      <c r="H3417">
        <v>464854</v>
      </c>
      <c r="I3417">
        <v>6218</v>
      </c>
      <c r="J3417">
        <v>0</v>
      </c>
      <c r="K3417">
        <v>1.69</v>
      </c>
      <c r="L3417">
        <v>55943.37</v>
      </c>
      <c r="M3417" t="s">
        <v>6643</v>
      </c>
      <c r="N3417" t="s">
        <v>213</v>
      </c>
      <c r="O3417">
        <v>11.65</v>
      </c>
      <c r="P3417">
        <v>12.36</v>
      </c>
      <c r="Q3417">
        <v>11.65</v>
      </c>
      <c r="R3417">
        <v>11.69</v>
      </c>
      <c r="S3417">
        <v>24.9</v>
      </c>
      <c r="T3417">
        <v>1.41</v>
      </c>
      <c r="U3417" t="s">
        <v>44</v>
      </c>
    </row>
    <row r="3418" spans="1:21">
      <c r="A3418" t="str">
        <f>"601199"</f>
        <v>601199</v>
      </c>
      <c r="B3418" t="s">
        <v>6644</v>
      </c>
      <c r="C3418">
        <v>1.32</v>
      </c>
      <c r="D3418">
        <v>4.59</v>
      </c>
      <c r="E3418">
        <v>0.06</v>
      </c>
      <c r="F3418">
        <v>4.58</v>
      </c>
      <c r="G3418">
        <v>4.59</v>
      </c>
      <c r="H3418">
        <v>150010</v>
      </c>
      <c r="I3418">
        <v>2270</v>
      </c>
      <c r="J3418">
        <v>0.44</v>
      </c>
      <c r="K3418">
        <v>1.6</v>
      </c>
      <c r="L3418">
        <v>6862.17</v>
      </c>
      <c r="M3418" t="s">
        <v>6645</v>
      </c>
      <c r="N3418" t="s">
        <v>465</v>
      </c>
      <c r="O3418">
        <v>4.51</v>
      </c>
      <c r="P3418">
        <v>4.62</v>
      </c>
      <c r="Q3418">
        <v>4.5</v>
      </c>
      <c r="R3418">
        <v>4.53</v>
      </c>
      <c r="S3418">
        <v>15.41</v>
      </c>
      <c r="T3418">
        <v>0.64</v>
      </c>
      <c r="U3418" t="s">
        <v>102</v>
      </c>
    </row>
    <row r="3419" spans="1:21">
      <c r="A3419" t="str">
        <f>"601200"</f>
        <v>601200</v>
      </c>
      <c r="B3419" t="s">
        <v>6646</v>
      </c>
      <c r="C3419">
        <v>0.33</v>
      </c>
      <c r="D3419">
        <v>12.04</v>
      </c>
      <c r="E3419">
        <v>0.04</v>
      </c>
      <c r="F3419">
        <v>12.03</v>
      </c>
      <c r="G3419">
        <v>12.04</v>
      </c>
      <c r="H3419">
        <v>47612</v>
      </c>
      <c r="I3419">
        <v>774</v>
      </c>
      <c r="J3419">
        <v>0.08</v>
      </c>
      <c r="K3419">
        <v>0.42</v>
      </c>
      <c r="L3419">
        <v>5704.95</v>
      </c>
      <c r="M3419" t="s">
        <v>6647</v>
      </c>
      <c r="N3419" t="s">
        <v>33</v>
      </c>
      <c r="O3419">
        <v>12</v>
      </c>
      <c r="P3419">
        <v>12.06</v>
      </c>
      <c r="Q3419">
        <v>11.9</v>
      </c>
      <c r="R3419">
        <v>12</v>
      </c>
      <c r="S3419">
        <v>16.16</v>
      </c>
      <c r="T3419">
        <v>0.71</v>
      </c>
      <c r="U3419" t="s">
        <v>848</v>
      </c>
    </row>
    <row r="3420" spans="1:21">
      <c r="A3420" t="str">
        <f>"601208"</f>
        <v>601208</v>
      </c>
      <c r="B3420" t="s">
        <v>6648</v>
      </c>
      <c r="C3420">
        <v>-0.4</v>
      </c>
      <c r="D3420">
        <v>17.27</v>
      </c>
      <c r="E3420">
        <v>-0.07</v>
      </c>
      <c r="F3420">
        <v>17.26</v>
      </c>
      <c r="G3420">
        <v>17.27</v>
      </c>
      <c r="H3420">
        <v>55834</v>
      </c>
      <c r="I3420">
        <v>1653</v>
      </c>
      <c r="J3420">
        <v>0.12</v>
      </c>
      <c r="K3420">
        <v>0.65</v>
      </c>
      <c r="L3420">
        <v>9621.01</v>
      </c>
      <c r="M3420" t="s">
        <v>6649</v>
      </c>
      <c r="N3420" t="s">
        <v>309</v>
      </c>
      <c r="O3420">
        <v>17.14</v>
      </c>
      <c r="P3420">
        <v>17.45</v>
      </c>
      <c r="Q3420">
        <v>17.02</v>
      </c>
      <c r="R3420">
        <v>17.34</v>
      </c>
      <c r="S3420">
        <v>42.87</v>
      </c>
      <c r="T3420">
        <v>0.63</v>
      </c>
      <c r="U3420" t="s">
        <v>196</v>
      </c>
    </row>
    <row r="3421" spans="1:21">
      <c r="A3421" t="str">
        <f>"601211"</f>
        <v>601211</v>
      </c>
      <c r="B3421" t="s">
        <v>6650</v>
      </c>
      <c r="C3421">
        <v>2.25</v>
      </c>
      <c r="D3421">
        <v>17.29</v>
      </c>
      <c r="E3421">
        <v>0.38</v>
      </c>
      <c r="F3421">
        <v>17.29</v>
      </c>
      <c r="G3421">
        <v>17.3</v>
      </c>
      <c r="H3421">
        <v>361964</v>
      </c>
      <c r="I3421">
        <v>5701</v>
      </c>
      <c r="J3421">
        <v>0</v>
      </c>
      <c r="K3421">
        <v>0.49</v>
      </c>
      <c r="L3421">
        <v>61981.4</v>
      </c>
      <c r="M3421" t="s">
        <v>6651</v>
      </c>
      <c r="N3421" t="s">
        <v>213</v>
      </c>
      <c r="O3421">
        <v>16.95</v>
      </c>
      <c r="P3421">
        <v>17.31</v>
      </c>
      <c r="Q3421">
        <v>16.88</v>
      </c>
      <c r="R3421">
        <v>16.91</v>
      </c>
      <c r="S3421">
        <v>9.93</v>
      </c>
      <c r="T3421">
        <v>1.52</v>
      </c>
      <c r="U3421" t="s">
        <v>848</v>
      </c>
    </row>
    <row r="3422" spans="1:21">
      <c r="A3422" t="str">
        <f>"601212"</f>
        <v>601212</v>
      </c>
      <c r="B3422" t="s">
        <v>6652</v>
      </c>
      <c r="C3422">
        <v>0.74</v>
      </c>
      <c r="D3422">
        <v>2.74</v>
      </c>
      <c r="E3422">
        <v>0.02</v>
      </c>
      <c r="F3422">
        <v>2.73</v>
      </c>
      <c r="G3422">
        <v>2.74</v>
      </c>
      <c r="H3422">
        <v>317377</v>
      </c>
      <c r="I3422">
        <v>6672</v>
      </c>
      <c r="J3422">
        <v>0.37</v>
      </c>
      <c r="K3422">
        <v>0.43</v>
      </c>
      <c r="L3422">
        <v>8622.14</v>
      </c>
      <c r="M3422" t="s">
        <v>6653</v>
      </c>
      <c r="N3422" t="s">
        <v>526</v>
      </c>
      <c r="O3422">
        <v>2.71</v>
      </c>
      <c r="P3422">
        <v>2.74</v>
      </c>
      <c r="Q3422">
        <v>2.69</v>
      </c>
      <c r="R3422">
        <v>2.72</v>
      </c>
      <c r="S3422">
        <v>685.48</v>
      </c>
      <c r="T3422">
        <v>1.23</v>
      </c>
      <c r="U3422" t="s">
        <v>391</v>
      </c>
    </row>
    <row r="3423" spans="1:21">
      <c r="A3423" t="str">
        <f>"601216"</f>
        <v>601216</v>
      </c>
      <c r="B3423" t="s">
        <v>6654</v>
      </c>
      <c r="C3423">
        <v>1.8</v>
      </c>
      <c r="D3423">
        <v>5.08</v>
      </c>
      <c r="E3423">
        <v>0.09</v>
      </c>
      <c r="F3423">
        <v>5.08</v>
      </c>
      <c r="G3423">
        <v>5.09</v>
      </c>
      <c r="H3423">
        <v>785501</v>
      </c>
      <c r="I3423">
        <v>5965</v>
      </c>
      <c r="J3423">
        <v>-0.19</v>
      </c>
      <c r="K3423">
        <v>0.93</v>
      </c>
      <c r="L3423">
        <v>39499.18</v>
      </c>
      <c r="M3423" t="s">
        <v>6655</v>
      </c>
      <c r="N3423" t="s">
        <v>309</v>
      </c>
      <c r="O3423">
        <v>4.98</v>
      </c>
      <c r="P3423">
        <v>5.1</v>
      </c>
      <c r="Q3423">
        <v>4.92</v>
      </c>
      <c r="R3423">
        <v>4.99</v>
      </c>
      <c r="S3423">
        <v>9.95</v>
      </c>
      <c r="T3423">
        <v>1.72</v>
      </c>
      <c r="U3423" t="s">
        <v>275</v>
      </c>
    </row>
    <row r="3424" spans="1:21">
      <c r="A3424" t="str">
        <f>"601218"</f>
        <v>601218</v>
      </c>
      <c r="B3424" t="s">
        <v>6656</v>
      </c>
      <c r="C3424">
        <v>3.26</v>
      </c>
      <c r="D3424">
        <v>6.97</v>
      </c>
      <c r="E3424">
        <v>0.22</v>
      </c>
      <c r="F3424">
        <v>6.96</v>
      </c>
      <c r="G3424">
        <v>6.97</v>
      </c>
      <c r="H3424">
        <v>1265903</v>
      </c>
      <c r="I3424">
        <v>26239</v>
      </c>
      <c r="J3424">
        <v>-0.13</v>
      </c>
      <c r="K3424">
        <v>12.95</v>
      </c>
      <c r="L3424">
        <v>87458.42</v>
      </c>
      <c r="M3424" t="s">
        <v>6657</v>
      </c>
      <c r="N3424" t="s">
        <v>47</v>
      </c>
      <c r="O3424">
        <v>6.65</v>
      </c>
      <c r="P3424">
        <v>7.04</v>
      </c>
      <c r="Q3424">
        <v>6.61</v>
      </c>
      <c r="R3424">
        <v>6.75</v>
      </c>
      <c r="S3424">
        <v>38.66</v>
      </c>
      <c r="T3424">
        <v>0.78</v>
      </c>
      <c r="U3424" t="s">
        <v>102</v>
      </c>
    </row>
    <row r="3425" spans="1:21">
      <c r="A3425" t="str">
        <f>"601222"</f>
        <v>601222</v>
      </c>
      <c r="B3425" t="s">
        <v>6658</v>
      </c>
      <c r="C3425">
        <v>3.86</v>
      </c>
      <c r="D3425">
        <v>11.57</v>
      </c>
      <c r="E3425">
        <v>0.43</v>
      </c>
      <c r="F3425">
        <v>11.56</v>
      </c>
      <c r="G3425">
        <v>11.57</v>
      </c>
      <c r="H3425">
        <v>905129</v>
      </c>
      <c r="I3425">
        <v>10590</v>
      </c>
      <c r="J3425">
        <v>0.17</v>
      </c>
      <c r="K3425">
        <v>4.39</v>
      </c>
      <c r="L3425">
        <v>103458.54</v>
      </c>
      <c r="M3425" t="s">
        <v>6659</v>
      </c>
      <c r="N3425" t="s">
        <v>1028</v>
      </c>
      <c r="O3425">
        <v>11.2</v>
      </c>
      <c r="P3425">
        <v>11.78</v>
      </c>
      <c r="Q3425">
        <v>11.01</v>
      </c>
      <c r="R3425">
        <v>11.14</v>
      </c>
      <c r="S3425">
        <v>21.14</v>
      </c>
      <c r="T3425">
        <v>1.6</v>
      </c>
      <c r="U3425" t="s">
        <v>102</v>
      </c>
    </row>
    <row r="3426" spans="1:21">
      <c r="A3426" t="str">
        <f>"601225"</f>
        <v>601225</v>
      </c>
      <c r="B3426" t="s">
        <v>6660</v>
      </c>
      <c r="C3426">
        <v>2.77</v>
      </c>
      <c r="D3426">
        <v>12.23</v>
      </c>
      <c r="E3426">
        <v>0.33</v>
      </c>
      <c r="F3426">
        <v>12.22</v>
      </c>
      <c r="G3426">
        <v>12.23</v>
      </c>
      <c r="H3426">
        <v>516454</v>
      </c>
      <c r="I3426">
        <v>4870</v>
      </c>
      <c r="J3426">
        <v>-0.07</v>
      </c>
      <c r="K3426">
        <v>0.53</v>
      </c>
      <c r="L3426">
        <v>62727.99</v>
      </c>
      <c r="M3426" t="s">
        <v>6661</v>
      </c>
      <c r="N3426" t="s">
        <v>390</v>
      </c>
      <c r="O3426">
        <v>11.89</v>
      </c>
      <c r="P3426">
        <v>12.3</v>
      </c>
      <c r="Q3426">
        <v>11.74</v>
      </c>
      <c r="R3426">
        <v>11.9</v>
      </c>
      <c r="S3426">
        <v>6.24</v>
      </c>
      <c r="T3426">
        <v>1.16</v>
      </c>
      <c r="U3426" t="s">
        <v>317</v>
      </c>
    </row>
    <row r="3427" spans="1:21">
      <c r="A3427" t="str">
        <f>"601226"</f>
        <v>601226</v>
      </c>
      <c r="B3427" t="s">
        <v>6662</v>
      </c>
      <c r="C3427">
        <v>0.5</v>
      </c>
      <c r="D3427">
        <v>5.99</v>
      </c>
      <c r="E3427">
        <v>0.03</v>
      </c>
      <c r="F3427">
        <v>5.99</v>
      </c>
      <c r="G3427">
        <v>6</v>
      </c>
      <c r="H3427">
        <v>387345</v>
      </c>
      <c r="I3427">
        <v>7165</v>
      </c>
      <c r="J3427">
        <v>-0.49</v>
      </c>
      <c r="K3427">
        <v>3.35</v>
      </c>
      <c r="L3427">
        <v>23433.41</v>
      </c>
      <c r="M3427" t="s">
        <v>6663</v>
      </c>
      <c r="N3427" t="s">
        <v>50</v>
      </c>
      <c r="O3427">
        <v>6.05</v>
      </c>
      <c r="P3427">
        <v>6.2</v>
      </c>
      <c r="Q3427">
        <v>5.87</v>
      </c>
      <c r="R3427">
        <v>5.96</v>
      </c>
      <c r="S3427">
        <v>35.4</v>
      </c>
      <c r="T3427">
        <v>1.01</v>
      </c>
      <c r="U3427" t="s">
        <v>44</v>
      </c>
    </row>
    <row r="3428" spans="1:21">
      <c r="A3428" t="str">
        <f>"601228"</f>
        <v>601228</v>
      </c>
      <c r="B3428" t="s">
        <v>6664</v>
      </c>
      <c r="C3428">
        <v>0.96</v>
      </c>
      <c r="D3428">
        <v>3.17</v>
      </c>
      <c r="E3428">
        <v>0.03</v>
      </c>
      <c r="F3428">
        <v>3.16</v>
      </c>
      <c r="G3428">
        <v>3.17</v>
      </c>
      <c r="H3428">
        <v>52345</v>
      </c>
      <c r="I3428">
        <v>1281</v>
      </c>
      <c r="J3428">
        <v>0</v>
      </c>
      <c r="K3428">
        <v>0.08</v>
      </c>
      <c r="L3428">
        <v>1652.61</v>
      </c>
      <c r="M3428" t="s">
        <v>6665</v>
      </c>
      <c r="N3428" t="s">
        <v>169</v>
      </c>
      <c r="O3428">
        <v>3.15</v>
      </c>
      <c r="P3428">
        <v>3.17</v>
      </c>
      <c r="Q3428">
        <v>3.14</v>
      </c>
      <c r="R3428">
        <v>3.14</v>
      </c>
      <c r="S3428">
        <v>17.75</v>
      </c>
      <c r="T3428">
        <v>0.92</v>
      </c>
      <c r="U3428" t="s">
        <v>183</v>
      </c>
    </row>
    <row r="3429" spans="1:21">
      <c r="A3429" t="str">
        <f>"601229"</f>
        <v>601229</v>
      </c>
      <c r="B3429" t="s">
        <v>6666</v>
      </c>
      <c r="C3429">
        <v>0.55</v>
      </c>
      <c r="D3429">
        <v>7.25</v>
      </c>
      <c r="E3429">
        <v>0.04</v>
      </c>
      <c r="F3429">
        <v>7.24</v>
      </c>
      <c r="G3429">
        <v>7.25</v>
      </c>
      <c r="H3429">
        <v>120408</v>
      </c>
      <c r="I3429">
        <v>2593</v>
      </c>
      <c r="J3429">
        <v>0.14</v>
      </c>
      <c r="K3429">
        <v>0.09</v>
      </c>
      <c r="L3429">
        <v>8707.5</v>
      </c>
      <c r="M3429" t="s">
        <v>6667</v>
      </c>
      <c r="N3429" t="s">
        <v>23</v>
      </c>
      <c r="O3429">
        <v>7.22</v>
      </c>
      <c r="P3429">
        <v>7.26</v>
      </c>
      <c r="Q3429">
        <v>7.21</v>
      </c>
      <c r="R3429">
        <v>7.21</v>
      </c>
      <c r="S3429">
        <v>4.64</v>
      </c>
      <c r="T3429">
        <v>0.93</v>
      </c>
      <c r="U3429" t="s">
        <v>848</v>
      </c>
    </row>
    <row r="3430" spans="1:21">
      <c r="A3430" t="str">
        <f>"601231"</f>
        <v>601231</v>
      </c>
      <c r="B3430" t="s">
        <v>6668</v>
      </c>
      <c r="C3430">
        <v>4.17</v>
      </c>
      <c r="D3430">
        <v>15</v>
      </c>
      <c r="E3430">
        <v>0.6</v>
      </c>
      <c r="F3430">
        <v>14.99</v>
      </c>
      <c r="G3430">
        <v>15</v>
      </c>
      <c r="H3430">
        <v>155130</v>
      </c>
      <c r="I3430">
        <v>2897</v>
      </c>
      <c r="J3430">
        <v>0</v>
      </c>
      <c r="K3430">
        <v>0.71</v>
      </c>
      <c r="L3430">
        <v>22964.91</v>
      </c>
      <c r="M3430" t="s">
        <v>6669</v>
      </c>
      <c r="N3430" t="s">
        <v>69</v>
      </c>
      <c r="O3430">
        <v>14.42</v>
      </c>
      <c r="P3430">
        <v>15.04</v>
      </c>
      <c r="Q3430">
        <v>14.35</v>
      </c>
      <c r="R3430">
        <v>14.4</v>
      </c>
      <c r="S3430">
        <v>22.14</v>
      </c>
      <c r="T3430">
        <v>1.52</v>
      </c>
      <c r="U3430" t="s">
        <v>848</v>
      </c>
    </row>
    <row r="3431" spans="1:21">
      <c r="A3431" t="str">
        <f>"601233"</f>
        <v>601233</v>
      </c>
      <c r="B3431" t="s">
        <v>6670</v>
      </c>
      <c r="C3431">
        <v>2.92</v>
      </c>
      <c r="D3431">
        <v>19.75</v>
      </c>
      <c r="E3431">
        <v>0.56</v>
      </c>
      <c r="F3431">
        <v>19.74</v>
      </c>
      <c r="G3431">
        <v>19.75</v>
      </c>
      <c r="H3431">
        <v>330260</v>
      </c>
      <c r="I3431">
        <v>4074</v>
      </c>
      <c r="J3431">
        <v>0.05</v>
      </c>
      <c r="K3431">
        <v>1.44</v>
      </c>
      <c r="L3431">
        <v>64545.02</v>
      </c>
      <c r="M3431" t="s">
        <v>6671</v>
      </c>
      <c r="N3431" t="s">
        <v>216</v>
      </c>
      <c r="O3431">
        <v>19.12</v>
      </c>
      <c r="P3431">
        <v>19.8</v>
      </c>
      <c r="Q3431">
        <v>19</v>
      </c>
      <c r="R3431">
        <v>19.19</v>
      </c>
      <c r="S3431">
        <v>5.8</v>
      </c>
      <c r="T3431">
        <v>1.38</v>
      </c>
      <c r="U3431" t="s">
        <v>200</v>
      </c>
    </row>
    <row r="3432" spans="1:21">
      <c r="A3432" t="str">
        <f>"601236"</f>
        <v>601236</v>
      </c>
      <c r="B3432" t="s">
        <v>6672</v>
      </c>
      <c r="C3432">
        <v>1.44</v>
      </c>
      <c r="D3432">
        <v>11.25</v>
      </c>
      <c r="E3432">
        <v>0.16</v>
      </c>
      <c r="F3432">
        <v>11.25</v>
      </c>
      <c r="G3432">
        <v>11.26</v>
      </c>
      <c r="H3432">
        <v>82711</v>
      </c>
      <c r="I3432">
        <v>1514</v>
      </c>
      <c r="J3432">
        <v>-0.08</v>
      </c>
      <c r="K3432">
        <v>0.32</v>
      </c>
      <c r="L3432">
        <v>9272.36</v>
      </c>
      <c r="M3432" t="s">
        <v>6673</v>
      </c>
      <c r="N3432" t="s">
        <v>213</v>
      </c>
      <c r="O3432">
        <v>11.06</v>
      </c>
      <c r="P3432">
        <v>11.31</v>
      </c>
      <c r="Q3432">
        <v>11.02</v>
      </c>
      <c r="R3432">
        <v>11.09</v>
      </c>
      <c r="S3432">
        <v>37.72</v>
      </c>
      <c r="T3432">
        <v>1.4</v>
      </c>
      <c r="U3432" t="s">
        <v>363</v>
      </c>
    </row>
    <row r="3433" spans="1:21">
      <c r="A3433" t="str">
        <f>"601238"</f>
        <v>601238</v>
      </c>
      <c r="B3433" t="s">
        <v>6674</v>
      </c>
      <c r="C3433">
        <v>0.86</v>
      </c>
      <c r="D3433">
        <v>16.45</v>
      </c>
      <c r="E3433">
        <v>0.14</v>
      </c>
      <c r="F3433">
        <v>16.45</v>
      </c>
      <c r="G3433">
        <v>16.46</v>
      </c>
      <c r="H3433">
        <v>569999</v>
      </c>
      <c r="I3433">
        <v>3814</v>
      </c>
      <c r="J3433">
        <v>-0.05</v>
      </c>
      <c r="K3433">
        <v>0.8</v>
      </c>
      <c r="L3433">
        <v>92770.53</v>
      </c>
      <c r="M3433" t="s">
        <v>6675</v>
      </c>
      <c r="N3433" t="s">
        <v>385</v>
      </c>
      <c r="O3433">
        <v>16.21</v>
      </c>
      <c r="P3433">
        <v>16.74</v>
      </c>
      <c r="Q3433">
        <v>15.72</v>
      </c>
      <c r="R3433">
        <v>16.31</v>
      </c>
      <c r="S3433">
        <v>24.19</v>
      </c>
      <c r="T3433">
        <v>1.23</v>
      </c>
      <c r="U3433" t="s">
        <v>183</v>
      </c>
    </row>
    <row r="3434" spans="1:21">
      <c r="A3434" t="str">
        <f>"601258"</f>
        <v>601258</v>
      </c>
      <c r="B3434" t="s">
        <v>6676</v>
      </c>
      <c r="C3434">
        <v>-1.71</v>
      </c>
      <c r="D3434">
        <v>1.72</v>
      </c>
      <c r="E3434">
        <v>-0.03</v>
      </c>
      <c r="F3434">
        <v>1.72</v>
      </c>
      <c r="G3434">
        <v>1.73</v>
      </c>
      <c r="H3434">
        <v>636590</v>
      </c>
      <c r="I3434">
        <v>4293</v>
      </c>
      <c r="J3434">
        <v>-0.57</v>
      </c>
      <c r="K3434">
        <v>0.62</v>
      </c>
      <c r="L3434">
        <v>10973.1</v>
      </c>
      <c r="M3434" t="s">
        <v>6677</v>
      </c>
      <c r="N3434" t="s">
        <v>78</v>
      </c>
      <c r="O3434">
        <v>1.74</v>
      </c>
      <c r="P3434">
        <v>1.75</v>
      </c>
      <c r="Q3434">
        <v>1.71</v>
      </c>
      <c r="R3434">
        <v>1.75</v>
      </c>
      <c r="S3434">
        <v>21.53</v>
      </c>
      <c r="T3434">
        <v>0.65</v>
      </c>
      <c r="U3434" t="s">
        <v>207</v>
      </c>
    </row>
    <row r="3435" spans="1:21">
      <c r="A3435" t="str">
        <f>"601279"</f>
        <v>601279</v>
      </c>
      <c r="B3435" t="s">
        <v>6678</v>
      </c>
      <c r="C3435">
        <v>2.84</v>
      </c>
      <c r="D3435">
        <v>8.68</v>
      </c>
      <c r="E3435">
        <v>0.24</v>
      </c>
      <c r="F3435">
        <v>8.68</v>
      </c>
      <c r="G3435">
        <v>8.69</v>
      </c>
      <c r="H3435">
        <v>258185</v>
      </c>
      <c r="I3435">
        <v>4911</v>
      </c>
      <c r="J3435">
        <v>0</v>
      </c>
      <c r="K3435">
        <v>17.28</v>
      </c>
      <c r="L3435">
        <v>22366.56</v>
      </c>
      <c r="M3435" t="s">
        <v>6679</v>
      </c>
      <c r="N3435" t="s">
        <v>91</v>
      </c>
      <c r="O3435">
        <v>8.46</v>
      </c>
      <c r="P3435">
        <v>8.88</v>
      </c>
      <c r="Q3435">
        <v>8.4</v>
      </c>
      <c r="R3435">
        <v>8.44</v>
      </c>
      <c r="S3435">
        <v>132.18</v>
      </c>
      <c r="T3435">
        <v>0.67</v>
      </c>
      <c r="U3435" t="s">
        <v>92</v>
      </c>
    </row>
    <row r="3436" spans="1:21">
      <c r="A3436" t="str">
        <f>"601288"</f>
        <v>601288</v>
      </c>
      <c r="B3436" t="s">
        <v>6680</v>
      </c>
      <c r="C3436">
        <v>0.68</v>
      </c>
      <c r="D3436">
        <v>2.95</v>
      </c>
      <c r="E3436">
        <v>0.02</v>
      </c>
      <c r="F3436">
        <v>2.94</v>
      </c>
      <c r="G3436">
        <v>2.95</v>
      </c>
      <c r="H3436">
        <v>2314893</v>
      </c>
      <c r="I3436">
        <v>44693</v>
      </c>
      <c r="J3436">
        <v>0</v>
      </c>
      <c r="K3436">
        <v>0.08</v>
      </c>
      <c r="L3436">
        <v>68047.19</v>
      </c>
      <c r="M3436" t="s">
        <v>6681</v>
      </c>
      <c r="N3436" t="s">
        <v>23</v>
      </c>
      <c r="O3436">
        <v>2.93</v>
      </c>
      <c r="P3436">
        <v>2.95</v>
      </c>
      <c r="Q3436">
        <v>2.93</v>
      </c>
      <c r="R3436">
        <v>2.93</v>
      </c>
      <c r="S3436">
        <v>4.15</v>
      </c>
      <c r="T3436">
        <v>1.52</v>
      </c>
      <c r="U3436" t="s">
        <v>44</v>
      </c>
    </row>
    <row r="3437" spans="1:21">
      <c r="A3437" t="str">
        <f>"601298"</f>
        <v>601298</v>
      </c>
      <c r="B3437" t="s">
        <v>6682</v>
      </c>
      <c r="C3437">
        <v>0.72</v>
      </c>
      <c r="D3437">
        <v>5.59</v>
      </c>
      <c r="E3437">
        <v>0.04</v>
      </c>
      <c r="F3437">
        <v>5.58</v>
      </c>
      <c r="G3437">
        <v>5.59</v>
      </c>
      <c r="H3437">
        <v>44101</v>
      </c>
      <c r="I3437">
        <v>347</v>
      </c>
      <c r="J3437">
        <v>0</v>
      </c>
      <c r="K3437">
        <v>0.24</v>
      </c>
      <c r="L3437">
        <v>2460</v>
      </c>
      <c r="M3437" t="s">
        <v>6683</v>
      </c>
      <c r="N3437" t="s">
        <v>169</v>
      </c>
      <c r="O3437">
        <v>5.56</v>
      </c>
      <c r="P3437">
        <v>5.6</v>
      </c>
      <c r="Q3437">
        <v>5.55</v>
      </c>
      <c r="R3437">
        <v>5.55</v>
      </c>
      <c r="S3437">
        <v>8.85</v>
      </c>
      <c r="T3437">
        <v>1.32</v>
      </c>
      <c r="U3437" t="s">
        <v>221</v>
      </c>
    </row>
    <row r="3438" spans="1:21">
      <c r="A3438" t="str">
        <f>"601311"</f>
        <v>601311</v>
      </c>
      <c r="B3438" t="s">
        <v>6684</v>
      </c>
      <c r="C3438">
        <v>2.96</v>
      </c>
      <c r="D3438">
        <v>15.32</v>
      </c>
      <c r="E3438">
        <v>0.44</v>
      </c>
      <c r="F3438">
        <v>15.32</v>
      </c>
      <c r="G3438">
        <v>15.33</v>
      </c>
      <c r="H3438">
        <v>343866</v>
      </c>
      <c r="I3438">
        <v>7724</v>
      </c>
      <c r="J3438">
        <v>0.33</v>
      </c>
      <c r="K3438">
        <v>2.93</v>
      </c>
      <c r="L3438">
        <v>52461.79</v>
      </c>
      <c r="M3438" t="s">
        <v>6685</v>
      </c>
      <c r="N3438" t="s">
        <v>47</v>
      </c>
      <c r="O3438">
        <v>14.92</v>
      </c>
      <c r="P3438">
        <v>15.45</v>
      </c>
      <c r="Q3438">
        <v>14.92</v>
      </c>
      <c r="R3438">
        <v>14.88</v>
      </c>
      <c r="S3438">
        <v>19.99</v>
      </c>
      <c r="T3438">
        <v>0.67</v>
      </c>
      <c r="U3438" t="s">
        <v>267</v>
      </c>
    </row>
    <row r="3439" spans="1:21">
      <c r="A3439" t="str">
        <f>"601318"</f>
        <v>601318</v>
      </c>
      <c r="B3439" t="s">
        <v>6686</v>
      </c>
      <c r="C3439">
        <v>0.91</v>
      </c>
      <c r="D3439">
        <v>49.96</v>
      </c>
      <c r="E3439">
        <v>0.45</v>
      </c>
      <c r="F3439">
        <v>49.95</v>
      </c>
      <c r="G3439">
        <v>49.96</v>
      </c>
      <c r="H3439">
        <v>428290</v>
      </c>
      <c r="I3439">
        <v>6181</v>
      </c>
      <c r="J3439">
        <v>0.04</v>
      </c>
      <c r="K3439">
        <v>0.4</v>
      </c>
      <c r="L3439">
        <v>212983.46</v>
      </c>
      <c r="M3439" t="s">
        <v>6687</v>
      </c>
      <c r="N3439" t="s">
        <v>517</v>
      </c>
      <c r="O3439">
        <v>49.4</v>
      </c>
      <c r="P3439">
        <v>50.11</v>
      </c>
      <c r="Q3439">
        <v>49.25</v>
      </c>
      <c r="R3439">
        <v>49.51</v>
      </c>
      <c r="S3439">
        <v>8.39</v>
      </c>
      <c r="T3439">
        <v>0.94</v>
      </c>
      <c r="U3439" t="s">
        <v>24</v>
      </c>
    </row>
    <row r="3440" spans="1:21">
      <c r="A3440" t="str">
        <f>"601319"</f>
        <v>601319</v>
      </c>
      <c r="B3440" t="s">
        <v>6688</v>
      </c>
      <c r="C3440">
        <v>0</v>
      </c>
      <c r="D3440">
        <v>4.82</v>
      </c>
      <c r="E3440">
        <v>0</v>
      </c>
      <c r="F3440">
        <v>4.82</v>
      </c>
      <c r="G3440">
        <v>4.83</v>
      </c>
      <c r="H3440">
        <v>354543</v>
      </c>
      <c r="I3440">
        <v>7423</v>
      </c>
      <c r="J3440">
        <v>-0.2</v>
      </c>
      <c r="K3440">
        <v>0.11</v>
      </c>
      <c r="L3440">
        <v>16969.82</v>
      </c>
      <c r="M3440" t="s">
        <v>6689</v>
      </c>
      <c r="N3440" t="s">
        <v>517</v>
      </c>
      <c r="O3440">
        <v>4.79</v>
      </c>
      <c r="P3440">
        <v>4.83</v>
      </c>
      <c r="Q3440">
        <v>4.75</v>
      </c>
      <c r="R3440">
        <v>4.82</v>
      </c>
      <c r="S3440">
        <v>7.7</v>
      </c>
      <c r="T3440">
        <v>0.79</v>
      </c>
      <c r="U3440" t="s">
        <v>44</v>
      </c>
    </row>
    <row r="3441" spans="1:21">
      <c r="A3441" t="str">
        <f>"601326"</f>
        <v>601326</v>
      </c>
      <c r="B3441" t="s">
        <v>6690</v>
      </c>
      <c r="C3441">
        <v>0.38</v>
      </c>
      <c r="D3441">
        <v>2.64</v>
      </c>
      <c r="E3441">
        <v>0.01</v>
      </c>
      <c r="F3441">
        <v>2.64</v>
      </c>
      <c r="G3441">
        <v>2.65</v>
      </c>
      <c r="H3441">
        <v>37202</v>
      </c>
      <c r="I3441">
        <v>672</v>
      </c>
      <c r="J3441">
        <v>-0.37</v>
      </c>
      <c r="K3441">
        <v>0.08</v>
      </c>
      <c r="L3441">
        <v>979.82</v>
      </c>
      <c r="M3441" t="s">
        <v>6691</v>
      </c>
      <c r="N3441" t="s">
        <v>169</v>
      </c>
      <c r="O3441">
        <v>2.64</v>
      </c>
      <c r="P3441">
        <v>2.65</v>
      </c>
      <c r="Q3441">
        <v>2.62</v>
      </c>
      <c r="R3441">
        <v>2.63</v>
      </c>
      <c r="S3441">
        <v>11.36</v>
      </c>
      <c r="T3441">
        <v>0.59</v>
      </c>
      <c r="U3441" t="s">
        <v>207</v>
      </c>
    </row>
    <row r="3442" spans="1:21">
      <c r="A3442" t="str">
        <f>"601328"</f>
        <v>601328</v>
      </c>
      <c r="B3442" t="s">
        <v>6692</v>
      </c>
      <c r="C3442">
        <v>0.87</v>
      </c>
      <c r="D3442">
        <v>4.65</v>
      </c>
      <c r="E3442">
        <v>0.04</v>
      </c>
      <c r="F3442">
        <v>4.65</v>
      </c>
      <c r="G3442">
        <v>4.66</v>
      </c>
      <c r="H3442">
        <v>718144</v>
      </c>
      <c r="I3442">
        <v>15178</v>
      </c>
      <c r="J3442">
        <v>-0.2</v>
      </c>
      <c r="K3442">
        <v>0.18</v>
      </c>
      <c r="L3442">
        <v>33271.93</v>
      </c>
      <c r="M3442" t="s">
        <v>6693</v>
      </c>
      <c r="N3442" t="s">
        <v>23</v>
      </c>
      <c r="O3442">
        <v>4.6</v>
      </c>
      <c r="P3442">
        <v>4.66</v>
      </c>
      <c r="Q3442">
        <v>4.6</v>
      </c>
      <c r="R3442">
        <v>4.61</v>
      </c>
      <c r="S3442">
        <v>4.02</v>
      </c>
      <c r="T3442">
        <v>1.35</v>
      </c>
      <c r="U3442" t="s">
        <v>848</v>
      </c>
    </row>
    <row r="3443" spans="1:21">
      <c r="A3443" t="str">
        <f>"601330"</f>
        <v>601330</v>
      </c>
      <c r="B3443" t="s">
        <v>6694</v>
      </c>
      <c r="C3443">
        <v>0.2</v>
      </c>
      <c r="D3443">
        <v>10.12</v>
      </c>
      <c r="E3443">
        <v>0.02</v>
      </c>
      <c r="F3443">
        <v>10.11</v>
      </c>
      <c r="G3443">
        <v>10.12</v>
      </c>
      <c r="H3443">
        <v>352661</v>
      </c>
      <c r="I3443">
        <v>4931</v>
      </c>
      <c r="J3443">
        <v>0.2</v>
      </c>
      <c r="K3443">
        <v>3.94</v>
      </c>
      <c r="L3443">
        <v>35384.65</v>
      </c>
      <c r="M3443" t="s">
        <v>6695</v>
      </c>
      <c r="N3443" t="s">
        <v>33</v>
      </c>
      <c r="O3443">
        <v>10</v>
      </c>
      <c r="P3443">
        <v>10.2</v>
      </c>
      <c r="Q3443">
        <v>9.83</v>
      </c>
      <c r="R3443">
        <v>10.1</v>
      </c>
      <c r="S3443">
        <v>17.24</v>
      </c>
      <c r="T3443">
        <v>1.65</v>
      </c>
      <c r="U3443" t="s">
        <v>24</v>
      </c>
    </row>
    <row r="3444" spans="1:21">
      <c r="A3444" t="str">
        <f>"601333"</f>
        <v>601333</v>
      </c>
      <c r="B3444" t="s">
        <v>6696</v>
      </c>
      <c r="C3444">
        <v>0.99</v>
      </c>
      <c r="D3444">
        <v>2.05</v>
      </c>
      <c r="E3444">
        <v>0.02</v>
      </c>
      <c r="F3444">
        <v>2.04</v>
      </c>
      <c r="G3444">
        <v>2.05</v>
      </c>
      <c r="H3444">
        <v>238490</v>
      </c>
      <c r="I3444">
        <v>3042</v>
      </c>
      <c r="J3444">
        <v>0</v>
      </c>
      <c r="K3444">
        <v>0.42</v>
      </c>
      <c r="L3444">
        <v>4852.55</v>
      </c>
      <c r="M3444" t="s">
        <v>6697</v>
      </c>
      <c r="N3444" t="s">
        <v>400</v>
      </c>
      <c r="O3444">
        <v>2.03</v>
      </c>
      <c r="P3444">
        <v>2.06</v>
      </c>
      <c r="Q3444">
        <v>2.02</v>
      </c>
      <c r="R3444">
        <v>2.03</v>
      </c>
      <c r="S3444" t="s">
        <v>40</v>
      </c>
      <c r="T3444">
        <v>0.96</v>
      </c>
      <c r="U3444" t="s">
        <v>24</v>
      </c>
    </row>
    <row r="3445" spans="1:21">
      <c r="A3445" t="str">
        <f>"601336"</f>
        <v>601336</v>
      </c>
      <c r="B3445" t="s">
        <v>6698</v>
      </c>
      <c r="C3445">
        <v>0.83</v>
      </c>
      <c r="D3445">
        <v>38.74</v>
      </c>
      <c r="E3445">
        <v>0.32</v>
      </c>
      <c r="F3445">
        <v>38.73</v>
      </c>
      <c r="G3445">
        <v>38.74</v>
      </c>
      <c r="H3445">
        <v>92225</v>
      </c>
      <c r="I3445">
        <v>663</v>
      </c>
      <c r="J3445">
        <v>0.03</v>
      </c>
      <c r="K3445">
        <v>0.44</v>
      </c>
      <c r="L3445">
        <v>35545.82</v>
      </c>
      <c r="M3445" t="s">
        <v>6699</v>
      </c>
      <c r="N3445" t="s">
        <v>517</v>
      </c>
      <c r="O3445">
        <v>38.41</v>
      </c>
      <c r="P3445">
        <v>38.88</v>
      </c>
      <c r="Q3445">
        <v>38.3</v>
      </c>
      <c r="R3445">
        <v>38.42</v>
      </c>
      <c r="S3445">
        <v>7.58</v>
      </c>
      <c r="T3445">
        <v>1.11</v>
      </c>
      <c r="U3445" t="s">
        <v>44</v>
      </c>
    </row>
    <row r="3446" spans="1:21">
      <c r="A3446" t="str">
        <f>"601339"</f>
        <v>601339</v>
      </c>
      <c r="B3446" t="s">
        <v>6700</v>
      </c>
      <c r="C3446">
        <v>-0.96</v>
      </c>
      <c r="D3446">
        <v>5.16</v>
      </c>
      <c r="E3446">
        <v>-0.05</v>
      </c>
      <c r="F3446">
        <v>5.16</v>
      </c>
      <c r="G3446">
        <v>5.17</v>
      </c>
      <c r="H3446">
        <v>124252</v>
      </c>
      <c r="I3446">
        <v>1142</v>
      </c>
      <c r="J3446">
        <v>0</v>
      </c>
      <c r="K3446">
        <v>0.83</v>
      </c>
      <c r="L3446">
        <v>6378.63</v>
      </c>
      <c r="M3446" t="s">
        <v>6701</v>
      </c>
      <c r="N3446" t="s">
        <v>664</v>
      </c>
      <c r="O3446">
        <v>5.17</v>
      </c>
      <c r="P3446">
        <v>5.21</v>
      </c>
      <c r="Q3446">
        <v>5.09</v>
      </c>
      <c r="R3446">
        <v>5.21</v>
      </c>
      <c r="S3446">
        <v>7.33</v>
      </c>
      <c r="T3446">
        <v>0.94</v>
      </c>
      <c r="U3446" t="s">
        <v>200</v>
      </c>
    </row>
    <row r="3447" spans="1:21">
      <c r="A3447" t="str">
        <f>"601360"</f>
        <v>601360</v>
      </c>
      <c r="B3447" t="s">
        <v>6702</v>
      </c>
      <c r="C3447">
        <v>0.67</v>
      </c>
      <c r="D3447">
        <v>12.01</v>
      </c>
      <c r="E3447">
        <v>0.08</v>
      </c>
      <c r="F3447">
        <v>12</v>
      </c>
      <c r="G3447">
        <v>12.01</v>
      </c>
      <c r="H3447">
        <v>361420</v>
      </c>
      <c r="I3447">
        <v>5321</v>
      </c>
      <c r="J3447">
        <v>0</v>
      </c>
      <c r="K3447">
        <v>0.51</v>
      </c>
      <c r="L3447">
        <v>43226.44</v>
      </c>
      <c r="M3447" t="s">
        <v>6703</v>
      </c>
      <c r="N3447" t="s">
        <v>479</v>
      </c>
      <c r="O3447">
        <v>11.88</v>
      </c>
      <c r="P3447">
        <v>12.03</v>
      </c>
      <c r="Q3447">
        <v>11.88</v>
      </c>
      <c r="R3447">
        <v>11.93</v>
      </c>
      <c r="S3447">
        <v>64.13</v>
      </c>
      <c r="T3447">
        <v>0.71</v>
      </c>
      <c r="U3447" t="s">
        <v>360</v>
      </c>
    </row>
    <row r="3448" spans="1:21">
      <c r="A3448" t="str">
        <f>"601366"</f>
        <v>601366</v>
      </c>
      <c r="B3448" t="s">
        <v>6704</v>
      </c>
      <c r="C3448">
        <v>0.17</v>
      </c>
      <c r="D3448">
        <v>5.98</v>
      </c>
      <c r="E3448">
        <v>0.01</v>
      </c>
      <c r="F3448">
        <v>5.97</v>
      </c>
      <c r="G3448">
        <v>5.98</v>
      </c>
      <c r="H3448">
        <v>7482</v>
      </c>
      <c r="I3448">
        <v>414</v>
      </c>
      <c r="J3448">
        <v>0.17</v>
      </c>
      <c r="K3448">
        <v>0.09</v>
      </c>
      <c r="L3448">
        <v>446.59</v>
      </c>
      <c r="M3448" t="s">
        <v>6705</v>
      </c>
      <c r="N3448" t="s">
        <v>258</v>
      </c>
      <c r="O3448">
        <v>5.96</v>
      </c>
      <c r="P3448">
        <v>5.99</v>
      </c>
      <c r="Q3448">
        <v>5.94</v>
      </c>
      <c r="R3448">
        <v>5.97</v>
      </c>
      <c r="S3448">
        <v>36.45</v>
      </c>
      <c r="T3448">
        <v>0.69</v>
      </c>
      <c r="U3448" t="s">
        <v>221</v>
      </c>
    </row>
    <row r="3449" spans="1:21">
      <c r="A3449" t="str">
        <f>"601368"</f>
        <v>601368</v>
      </c>
      <c r="B3449" t="s">
        <v>6706</v>
      </c>
      <c r="C3449">
        <v>0.41</v>
      </c>
      <c r="D3449">
        <v>4.95</v>
      </c>
      <c r="E3449">
        <v>0.02</v>
      </c>
      <c r="F3449">
        <v>4.94</v>
      </c>
      <c r="G3449">
        <v>4.95</v>
      </c>
      <c r="H3449">
        <v>12095</v>
      </c>
      <c r="I3449">
        <v>122</v>
      </c>
      <c r="J3449">
        <v>0</v>
      </c>
      <c r="K3449">
        <v>0.14</v>
      </c>
      <c r="L3449">
        <v>595.42</v>
      </c>
      <c r="M3449" t="s">
        <v>6707</v>
      </c>
      <c r="N3449" t="s">
        <v>465</v>
      </c>
      <c r="O3449">
        <v>4.93</v>
      </c>
      <c r="P3449">
        <v>4.95</v>
      </c>
      <c r="Q3449">
        <v>4.89</v>
      </c>
      <c r="R3449">
        <v>4.93</v>
      </c>
      <c r="S3449">
        <v>27.39</v>
      </c>
      <c r="T3449">
        <v>0.74</v>
      </c>
      <c r="U3449" t="s">
        <v>342</v>
      </c>
    </row>
    <row r="3450" spans="1:21">
      <c r="A3450" t="str">
        <f>"601369"</f>
        <v>601369</v>
      </c>
      <c r="B3450" t="s">
        <v>6708</v>
      </c>
      <c r="C3450">
        <v>2.84</v>
      </c>
      <c r="D3450">
        <v>14.14</v>
      </c>
      <c r="E3450">
        <v>0.39</v>
      </c>
      <c r="F3450">
        <v>14.14</v>
      </c>
      <c r="G3450">
        <v>14.15</v>
      </c>
      <c r="H3450">
        <v>420624</v>
      </c>
      <c r="I3450">
        <v>3874</v>
      </c>
      <c r="J3450">
        <v>0.07</v>
      </c>
      <c r="K3450">
        <v>2.55</v>
      </c>
      <c r="L3450">
        <v>59279.01</v>
      </c>
      <c r="M3450" t="s">
        <v>6709</v>
      </c>
      <c r="N3450" t="s">
        <v>347</v>
      </c>
      <c r="O3450">
        <v>13.81</v>
      </c>
      <c r="P3450">
        <v>14.37</v>
      </c>
      <c r="Q3450">
        <v>13.55</v>
      </c>
      <c r="R3450">
        <v>13.75</v>
      </c>
      <c r="S3450">
        <v>24.53</v>
      </c>
      <c r="T3450">
        <v>2.62</v>
      </c>
      <c r="U3450" t="s">
        <v>317</v>
      </c>
    </row>
    <row r="3451" spans="1:21">
      <c r="A3451" t="str">
        <f>"601375"</f>
        <v>601375</v>
      </c>
      <c r="B3451" t="s">
        <v>6710</v>
      </c>
      <c r="C3451">
        <v>1.95</v>
      </c>
      <c r="D3451">
        <v>4.71</v>
      </c>
      <c r="E3451">
        <v>0.09</v>
      </c>
      <c r="F3451">
        <v>4.7</v>
      </c>
      <c r="G3451">
        <v>4.71</v>
      </c>
      <c r="H3451">
        <v>583827</v>
      </c>
      <c r="I3451">
        <v>5931</v>
      </c>
      <c r="J3451">
        <v>0</v>
      </c>
      <c r="K3451">
        <v>1.69</v>
      </c>
      <c r="L3451">
        <v>27254.99</v>
      </c>
      <c r="M3451" t="s">
        <v>6711</v>
      </c>
      <c r="N3451" t="s">
        <v>213</v>
      </c>
      <c r="O3451">
        <v>4.61</v>
      </c>
      <c r="P3451">
        <v>4.72</v>
      </c>
      <c r="Q3451">
        <v>4.6</v>
      </c>
      <c r="R3451">
        <v>4.62</v>
      </c>
      <c r="S3451">
        <v>33.02</v>
      </c>
      <c r="T3451">
        <v>1.61</v>
      </c>
      <c r="U3451" t="s">
        <v>224</v>
      </c>
    </row>
    <row r="3452" spans="1:21">
      <c r="A3452" t="str">
        <f>"601377"</f>
        <v>601377</v>
      </c>
      <c r="B3452" t="s">
        <v>6712</v>
      </c>
      <c r="C3452">
        <v>3.07</v>
      </c>
      <c r="D3452">
        <v>8.72</v>
      </c>
      <c r="E3452">
        <v>0.26</v>
      </c>
      <c r="F3452">
        <v>8.72</v>
      </c>
      <c r="G3452">
        <v>8.73</v>
      </c>
      <c r="H3452">
        <v>1439173</v>
      </c>
      <c r="I3452">
        <v>13265</v>
      </c>
      <c r="J3452">
        <v>0</v>
      </c>
      <c r="K3452">
        <v>2.15</v>
      </c>
      <c r="L3452">
        <v>124213.49</v>
      </c>
      <c r="M3452" t="s">
        <v>6713</v>
      </c>
      <c r="N3452" t="s">
        <v>213</v>
      </c>
      <c r="O3452">
        <v>8.5</v>
      </c>
      <c r="P3452">
        <v>8.79</v>
      </c>
      <c r="Q3452">
        <v>8.42</v>
      </c>
      <c r="R3452">
        <v>8.46</v>
      </c>
      <c r="S3452">
        <v>12.43</v>
      </c>
      <c r="T3452">
        <v>2.06</v>
      </c>
      <c r="U3452" t="s">
        <v>339</v>
      </c>
    </row>
    <row r="3453" spans="1:21">
      <c r="A3453" t="str">
        <f>"601388"</f>
        <v>601388</v>
      </c>
      <c r="B3453" t="s">
        <v>6714</v>
      </c>
      <c r="C3453">
        <v>1.35</v>
      </c>
      <c r="D3453">
        <v>4.51</v>
      </c>
      <c r="E3453">
        <v>0.06</v>
      </c>
      <c r="F3453">
        <v>4.51</v>
      </c>
      <c r="G3453">
        <v>4.52</v>
      </c>
      <c r="H3453">
        <v>642371</v>
      </c>
      <c r="I3453">
        <v>10042</v>
      </c>
      <c r="J3453">
        <v>0</v>
      </c>
      <c r="K3453">
        <v>3.19</v>
      </c>
      <c r="L3453">
        <v>28625.18</v>
      </c>
      <c r="M3453" t="s">
        <v>6715</v>
      </c>
      <c r="N3453" t="s">
        <v>494</v>
      </c>
      <c r="O3453">
        <v>4.45</v>
      </c>
      <c r="P3453">
        <v>4.56</v>
      </c>
      <c r="Q3453">
        <v>4.33</v>
      </c>
      <c r="R3453">
        <v>4.45</v>
      </c>
      <c r="S3453">
        <v>11.41</v>
      </c>
      <c r="T3453">
        <v>0.85</v>
      </c>
      <c r="U3453" t="s">
        <v>102</v>
      </c>
    </row>
    <row r="3454" spans="1:21">
      <c r="A3454" t="str">
        <f>"601390"</f>
        <v>601390</v>
      </c>
      <c r="B3454" t="s">
        <v>6716</v>
      </c>
      <c r="C3454">
        <v>0.38</v>
      </c>
      <c r="D3454">
        <v>5.24</v>
      </c>
      <c r="E3454">
        <v>0.02</v>
      </c>
      <c r="F3454">
        <v>5.23</v>
      </c>
      <c r="G3454">
        <v>5.24</v>
      </c>
      <c r="H3454">
        <v>511140</v>
      </c>
      <c r="I3454">
        <v>6581</v>
      </c>
      <c r="J3454">
        <v>0</v>
      </c>
      <c r="K3454">
        <v>0.25</v>
      </c>
      <c r="L3454">
        <v>26606.49</v>
      </c>
      <c r="M3454" t="s">
        <v>6717</v>
      </c>
      <c r="N3454" t="s">
        <v>50</v>
      </c>
      <c r="O3454">
        <v>5.21</v>
      </c>
      <c r="P3454">
        <v>5.25</v>
      </c>
      <c r="Q3454">
        <v>5.16</v>
      </c>
      <c r="R3454">
        <v>5.22</v>
      </c>
      <c r="S3454">
        <v>4.68</v>
      </c>
      <c r="T3454">
        <v>1.38</v>
      </c>
      <c r="U3454" t="s">
        <v>44</v>
      </c>
    </row>
    <row r="3455" spans="1:21">
      <c r="A3455" t="str">
        <f>"601398"</f>
        <v>601398</v>
      </c>
      <c r="B3455" t="s">
        <v>6718</v>
      </c>
      <c r="C3455">
        <v>0.43</v>
      </c>
      <c r="D3455">
        <v>4.66</v>
      </c>
      <c r="E3455">
        <v>0.02</v>
      </c>
      <c r="F3455">
        <v>4.65</v>
      </c>
      <c r="G3455">
        <v>4.66</v>
      </c>
      <c r="H3455">
        <v>1005573</v>
      </c>
      <c r="I3455">
        <v>22622</v>
      </c>
      <c r="J3455">
        <v>0</v>
      </c>
      <c r="K3455">
        <v>0.04</v>
      </c>
      <c r="L3455">
        <v>46742.71</v>
      </c>
      <c r="M3455" t="s">
        <v>6719</v>
      </c>
      <c r="N3455" t="s">
        <v>23</v>
      </c>
      <c r="O3455">
        <v>4.64</v>
      </c>
      <c r="P3455">
        <v>4.67</v>
      </c>
      <c r="Q3455">
        <v>4.63</v>
      </c>
      <c r="R3455">
        <v>4.64</v>
      </c>
      <c r="S3455">
        <v>4.95</v>
      </c>
      <c r="T3455">
        <v>1.1</v>
      </c>
      <c r="U3455" t="s">
        <v>44</v>
      </c>
    </row>
    <row r="3456" spans="1:21">
      <c r="A3456" t="str">
        <f>"601399"</f>
        <v>601399</v>
      </c>
      <c r="B3456" t="s">
        <v>6720</v>
      </c>
      <c r="C3456">
        <v>0</v>
      </c>
      <c r="D3456">
        <v>3.77</v>
      </c>
      <c r="E3456">
        <v>0</v>
      </c>
      <c r="F3456">
        <v>3.76</v>
      </c>
      <c r="G3456">
        <v>3.77</v>
      </c>
      <c r="H3456">
        <v>225703</v>
      </c>
      <c r="I3456">
        <v>8864</v>
      </c>
      <c r="J3456">
        <v>0.53</v>
      </c>
      <c r="K3456">
        <v>0.95</v>
      </c>
      <c r="L3456">
        <v>8430</v>
      </c>
      <c r="M3456" t="s">
        <v>6721</v>
      </c>
      <c r="N3456" t="s">
        <v>203</v>
      </c>
      <c r="O3456">
        <v>3.77</v>
      </c>
      <c r="P3456">
        <v>3.78</v>
      </c>
      <c r="Q3456">
        <v>3.7</v>
      </c>
      <c r="R3456">
        <v>3.77</v>
      </c>
      <c r="S3456">
        <v>69.11</v>
      </c>
      <c r="T3456">
        <v>1.21</v>
      </c>
      <c r="U3456" t="s">
        <v>196</v>
      </c>
    </row>
    <row r="3457" spans="1:21">
      <c r="A3457" t="str">
        <f>"601456"</f>
        <v>601456</v>
      </c>
      <c r="B3457" t="s">
        <v>6722</v>
      </c>
      <c r="C3457">
        <v>2.7</v>
      </c>
      <c r="D3457">
        <v>12.53</v>
      </c>
      <c r="E3457">
        <v>0.33</v>
      </c>
      <c r="F3457">
        <v>12.52</v>
      </c>
      <c r="G3457">
        <v>12.53</v>
      </c>
      <c r="H3457">
        <v>203292</v>
      </c>
      <c r="I3457">
        <v>2776</v>
      </c>
      <c r="J3457">
        <v>0.08</v>
      </c>
      <c r="K3457">
        <v>3.8</v>
      </c>
      <c r="L3457">
        <v>25222.38</v>
      </c>
      <c r="M3457" t="s">
        <v>6723</v>
      </c>
      <c r="N3457" t="s">
        <v>213</v>
      </c>
      <c r="O3457">
        <v>12.29</v>
      </c>
      <c r="P3457">
        <v>12.6</v>
      </c>
      <c r="Q3457">
        <v>12.16</v>
      </c>
      <c r="R3457">
        <v>12.2</v>
      </c>
      <c r="S3457">
        <v>40.51</v>
      </c>
      <c r="T3457">
        <v>1.76</v>
      </c>
      <c r="U3457" t="s">
        <v>102</v>
      </c>
    </row>
    <row r="3458" spans="1:21">
      <c r="A3458" t="str">
        <f>"601500"</f>
        <v>601500</v>
      </c>
      <c r="B3458" t="s">
        <v>6724</v>
      </c>
      <c r="C3458">
        <v>0.19</v>
      </c>
      <c r="D3458">
        <v>5.26</v>
      </c>
      <c r="E3458">
        <v>0.01</v>
      </c>
      <c r="F3458">
        <v>5.25</v>
      </c>
      <c r="G3458">
        <v>5.26</v>
      </c>
      <c r="H3458">
        <v>61775</v>
      </c>
      <c r="I3458">
        <v>337</v>
      </c>
      <c r="J3458">
        <v>0</v>
      </c>
      <c r="K3458">
        <v>0.71</v>
      </c>
      <c r="L3458">
        <v>3237.39</v>
      </c>
      <c r="M3458" t="s">
        <v>1618</v>
      </c>
      <c r="N3458" t="s">
        <v>91</v>
      </c>
      <c r="O3458">
        <v>5.24</v>
      </c>
      <c r="P3458">
        <v>5.3</v>
      </c>
      <c r="Q3458">
        <v>5.18</v>
      </c>
      <c r="R3458">
        <v>5.25</v>
      </c>
      <c r="S3458">
        <v>133.67</v>
      </c>
      <c r="T3458">
        <v>1.25</v>
      </c>
      <c r="U3458" t="s">
        <v>102</v>
      </c>
    </row>
    <row r="3459" spans="1:21">
      <c r="A3459" t="str">
        <f>"601512"</f>
        <v>601512</v>
      </c>
      <c r="B3459" t="s">
        <v>6725</v>
      </c>
      <c r="C3459">
        <v>2</v>
      </c>
      <c r="D3459">
        <v>9.16</v>
      </c>
      <c r="E3459">
        <v>0.18</v>
      </c>
      <c r="F3459">
        <v>9.16</v>
      </c>
      <c r="G3459">
        <v>9.17</v>
      </c>
      <c r="H3459">
        <v>23734</v>
      </c>
      <c r="I3459">
        <v>266</v>
      </c>
      <c r="J3459">
        <v>0</v>
      </c>
      <c r="K3459">
        <v>0.3</v>
      </c>
      <c r="L3459">
        <v>2160.7</v>
      </c>
      <c r="M3459" t="s">
        <v>6726</v>
      </c>
      <c r="N3459" t="s">
        <v>520</v>
      </c>
      <c r="O3459">
        <v>8.98</v>
      </c>
      <c r="P3459">
        <v>9.16</v>
      </c>
      <c r="Q3459">
        <v>8.98</v>
      </c>
      <c r="R3459">
        <v>8.98</v>
      </c>
      <c r="S3459">
        <v>9.25</v>
      </c>
      <c r="T3459">
        <v>1.59</v>
      </c>
      <c r="U3459" t="s">
        <v>102</v>
      </c>
    </row>
    <row r="3460" spans="1:21">
      <c r="A3460" t="str">
        <f>"601515"</f>
        <v>601515</v>
      </c>
      <c r="B3460" t="s">
        <v>6727</v>
      </c>
      <c r="C3460">
        <v>-0.98</v>
      </c>
      <c r="D3460">
        <v>7.06</v>
      </c>
      <c r="E3460">
        <v>-0.07</v>
      </c>
      <c r="F3460">
        <v>7.06</v>
      </c>
      <c r="G3460">
        <v>7.08</v>
      </c>
      <c r="H3460">
        <v>139181</v>
      </c>
      <c r="I3460">
        <v>3819</v>
      </c>
      <c r="J3460">
        <v>-0.41</v>
      </c>
      <c r="K3460">
        <v>1.04</v>
      </c>
      <c r="L3460">
        <v>9869.99</v>
      </c>
      <c r="M3460" t="s">
        <v>6728</v>
      </c>
      <c r="N3460" t="s">
        <v>482</v>
      </c>
      <c r="O3460">
        <v>7.06</v>
      </c>
      <c r="P3460">
        <v>7.17</v>
      </c>
      <c r="Q3460">
        <v>7.02</v>
      </c>
      <c r="R3460">
        <v>7.13</v>
      </c>
      <c r="S3460">
        <v>13.82</v>
      </c>
      <c r="T3460">
        <v>0.49</v>
      </c>
      <c r="U3460" t="s">
        <v>183</v>
      </c>
    </row>
    <row r="3461" spans="1:21">
      <c r="A3461" t="str">
        <f>"601518"</f>
        <v>601518</v>
      </c>
      <c r="B3461" t="s">
        <v>6729</v>
      </c>
      <c r="C3461">
        <v>1.69</v>
      </c>
      <c r="D3461">
        <v>2.41</v>
      </c>
      <c r="E3461">
        <v>0.04</v>
      </c>
      <c r="F3461">
        <v>2.4</v>
      </c>
      <c r="G3461">
        <v>2.41</v>
      </c>
      <c r="H3461">
        <v>47218</v>
      </c>
      <c r="I3461">
        <v>544</v>
      </c>
      <c r="J3461">
        <v>0</v>
      </c>
      <c r="K3461">
        <v>0.35</v>
      </c>
      <c r="L3461">
        <v>1131.19</v>
      </c>
      <c r="M3461" t="s">
        <v>6730</v>
      </c>
      <c r="N3461" t="s">
        <v>280</v>
      </c>
      <c r="O3461">
        <v>2.37</v>
      </c>
      <c r="P3461">
        <v>2.41</v>
      </c>
      <c r="Q3461">
        <v>2.37</v>
      </c>
      <c r="R3461">
        <v>2.37</v>
      </c>
      <c r="S3461">
        <v>9.24</v>
      </c>
      <c r="T3461">
        <v>1.12</v>
      </c>
      <c r="U3461" t="s">
        <v>92</v>
      </c>
    </row>
    <row r="3462" spans="1:21">
      <c r="A3462" t="str">
        <f>"601519"</f>
        <v>601519</v>
      </c>
      <c r="B3462" t="s">
        <v>6731</v>
      </c>
      <c r="C3462">
        <v>3</v>
      </c>
      <c r="D3462">
        <v>7.22</v>
      </c>
      <c r="E3462">
        <v>0.21</v>
      </c>
      <c r="F3462">
        <v>7.21</v>
      </c>
      <c r="G3462">
        <v>7.22</v>
      </c>
      <c r="H3462">
        <v>199427</v>
      </c>
      <c r="I3462">
        <v>2355</v>
      </c>
      <c r="J3462">
        <v>0.28</v>
      </c>
      <c r="K3462">
        <v>1</v>
      </c>
      <c r="L3462">
        <v>14315.97</v>
      </c>
      <c r="M3462" t="s">
        <v>6732</v>
      </c>
      <c r="N3462" t="s">
        <v>30</v>
      </c>
      <c r="O3462">
        <v>7.05</v>
      </c>
      <c r="P3462">
        <v>7.32</v>
      </c>
      <c r="Q3462">
        <v>6.99</v>
      </c>
      <c r="R3462">
        <v>7.01</v>
      </c>
      <c r="S3462">
        <v>1662.78</v>
      </c>
      <c r="T3462">
        <v>2.06</v>
      </c>
      <c r="U3462" t="s">
        <v>848</v>
      </c>
    </row>
    <row r="3463" spans="1:21">
      <c r="A3463" t="str">
        <f>"601528"</f>
        <v>601528</v>
      </c>
      <c r="B3463" t="s">
        <v>6733</v>
      </c>
      <c r="C3463">
        <v>3.34</v>
      </c>
      <c r="D3463">
        <v>10.83</v>
      </c>
      <c r="E3463">
        <v>0.35</v>
      </c>
      <c r="F3463">
        <v>10.82</v>
      </c>
      <c r="G3463">
        <v>10.83</v>
      </c>
      <c r="H3463">
        <v>182704</v>
      </c>
      <c r="I3463">
        <v>4511</v>
      </c>
      <c r="J3463">
        <v>0.09</v>
      </c>
      <c r="K3463">
        <v>12.1</v>
      </c>
      <c r="L3463">
        <v>19574.02</v>
      </c>
      <c r="M3463" t="s">
        <v>6734</v>
      </c>
      <c r="N3463" t="s">
        <v>23</v>
      </c>
      <c r="O3463">
        <v>10.48</v>
      </c>
      <c r="P3463">
        <v>10.94</v>
      </c>
      <c r="Q3463">
        <v>10.46</v>
      </c>
      <c r="R3463">
        <v>10.48</v>
      </c>
      <c r="S3463">
        <v>13.81</v>
      </c>
      <c r="T3463">
        <v>1.41</v>
      </c>
      <c r="U3463" t="s">
        <v>200</v>
      </c>
    </row>
    <row r="3464" spans="1:21">
      <c r="A3464" t="str">
        <f>"601555"</f>
        <v>601555</v>
      </c>
      <c r="B3464" t="s">
        <v>6735</v>
      </c>
      <c r="C3464">
        <v>3.13</v>
      </c>
      <c r="D3464">
        <v>8.89</v>
      </c>
      <c r="E3464">
        <v>0.27</v>
      </c>
      <c r="F3464">
        <v>8.88</v>
      </c>
      <c r="G3464">
        <v>8.89</v>
      </c>
      <c r="H3464">
        <v>487710</v>
      </c>
      <c r="I3464">
        <v>6864</v>
      </c>
      <c r="J3464">
        <v>0</v>
      </c>
      <c r="K3464">
        <v>1.26</v>
      </c>
      <c r="L3464">
        <v>42794.62</v>
      </c>
      <c r="M3464" t="s">
        <v>6736</v>
      </c>
      <c r="N3464" t="s">
        <v>213</v>
      </c>
      <c r="O3464">
        <v>8.61</v>
      </c>
      <c r="P3464">
        <v>8.93</v>
      </c>
      <c r="Q3464">
        <v>8.55</v>
      </c>
      <c r="R3464">
        <v>8.62</v>
      </c>
      <c r="S3464">
        <v>13.58</v>
      </c>
      <c r="T3464">
        <v>1.56</v>
      </c>
      <c r="U3464" t="s">
        <v>102</v>
      </c>
    </row>
    <row r="3465" spans="1:21">
      <c r="A3465" t="str">
        <f>"601566"</f>
        <v>601566</v>
      </c>
      <c r="B3465" t="s">
        <v>6737</v>
      </c>
      <c r="C3465">
        <v>0.39</v>
      </c>
      <c r="D3465">
        <v>12.94</v>
      </c>
      <c r="E3465">
        <v>0.05</v>
      </c>
      <c r="F3465">
        <v>12.94</v>
      </c>
      <c r="G3465">
        <v>12.95</v>
      </c>
      <c r="H3465">
        <v>5310</v>
      </c>
      <c r="I3465">
        <v>37</v>
      </c>
      <c r="J3465">
        <v>0</v>
      </c>
      <c r="K3465">
        <v>0.09</v>
      </c>
      <c r="L3465">
        <v>682.06</v>
      </c>
      <c r="M3465" t="s">
        <v>6738</v>
      </c>
      <c r="N3465" t="s">
        <v>1061</v>
      </c>
      <c r="O3465">
        <v>12.94</v>
      </c>
      <c r="P3465">
        <v>12.99</v>
      </c>
      <c r="Q3465">
        <v>12.74</v>
      </c>
      <c r="R3465">
        <v>12.89</v>
      </c>
      <c r="S3465">
        <v>106.27</v>
      </c>
      <c r="T3465">
        <v>0.51</v>
      </c>
      <c r="U3465" t="s">
        <v>339</v>
      </c>
    </row>
    <row r="3466" spans="1:21">
      <c r="A3466" t="str">
        <f>"601567"</f>
        <v>601567</v>
      </c>
      <c r="B3466" t="s">
        <v>6739</v>
      </c>
      <c r="C3466">
        <v>-1.21</v>
      </c>
      <c r="D3466">
        <v>15.53</v>
      </c>
      <c r="E3466">
        <v>-0.19</v>
      </c>
      <c r="F3466">
        <v>15.52</v>
      </c>
      <c r="G3466">
        <v>15.53</v>
      </c>
      <c r="H3466">
        <v>407599</v>
      </c>
      <c r="I3466">
        <v>2971</v>
      </c>
      <c r="J3466">
        <v>-0.63</v>
      </c>
      <c r="K3466">
        <v>2.94</v>
      </c>
      <c r="L3466">
        <v>62235.98</v>
      </c>
      <c r="M3466" t="s">
        <v>6740</v>
      </c>
      <c r="N3466" t="s">
        <v>1028</v>
      </c>
      <c r="O3466">
        <v>15.68</v>
      </c>
      <c r="P3466">
        <v>16.29</v>
      </c>
      <c r="Q3466">
        <v>14.43</v>
      </c>
      <c r="R3466">
        <v>15.72</v>
      </c>
      <c r="S3466">
        <v>24.21</v>
      </c>
      <c r="T3466">
        <v>1.59</v>
      </c>
      <c r="U3466" t="s">
        <v>200</v>
      </c>
    </row>
    <row r="3467" spans="1:21">
      <c r="A3467" t="str">
        <f>"601568"</f>
        <v>601568</v>
      </c>
      <c r="B3467" t="s">
        <v>6741</v>
      </c>
      <c r="C3467">
        <v>1.72</v>
      </c>
      <c r="D3467">
        <v>8.26</v>
      </c>
      <c r="E3467">
        <v>0.14</v>
      </c>
      <c r="F3467">
        <v>8.26</v>
      </c>
      <c r="G3467">
        <v>8.27</v>
      </c>
      <c r="H3467">
        <v>74179</v>
      </c>
      <c r="I3467">
        <v>1335</v>
      </c>
      <c r="J3467">
        <v>0</v>
      </c>
      <c r="K3467">
        <v>0.36</v>
      </c>
      <c r="L3467">
        <v>6086.04</v>
      </c>
      <c r="M3467" t="s">
        <v>6742</v>
      </c>
      <c r="N3467" t="s">
        <v>309</v>
      </c>
      <c r="O3467">
        <v>8.11</v>
      </c>
      <c r="P3467">
        <v>8.27</v>
      </c>
      <c r="Q3467">
        <v>8.1</v>
      </c>
      <c r="R3467">
        <v>8.12</v>
      </c>
      <c r="S3467">
        <v>14.71</v>
      </c>
      <c r="T3467">
        <v>1.7</v>
      </c>
      <c r="U3467" t="s">
        <v>317</v>
      </c>
    </row>
    <row r="3468" spans="1:21">
      <c r="A3468" t="str">
        <f>"601577"</f>
        <v>601577</v>
      </c>
      <c r="B3468" t="s">
        <v>6743</v>
      </c>
      <c r="C3468">
        <v>0.51</v>
      </c>
      <c r="D3468">
        <v>7.91</v>
      </c>
      <c r="E3468">
        <v>0.04</v>
      </c>
      <c r="F3468">
        <v>7.91</v>
      </c>
      <c r="G3468">
        <v>7.92</v>
      </c>
      <c r="H3468">
        <v>117503</v>
      </c>
      <c r="I3468">
        <v>1515</v>
      </c>
      <c r="J3468">
        <v>0</v>
      </c>
      <c r="K3468">
        <v>0.57</v>
      </c>
      <c r="L3468">
        <v>9259.71</v>
      </c>
      <c r="M3468" t="s">
        <v>6744</v>
      </c>
      <c r="N3468" t="s">
        <v>23</v>
      </c>
      <c r="O3468">
        <v>7.87</v>
      </c>
      <c r="P3468">
        <v>7.92</v>
      </c>
      <c r="Q3468">
        <v>7.85</v>
      </c>
      <c r="R3468">
        <v>7.87</v>
      </c>
      <c r="S3468">
        <v>4.73</v>
      </c>
      <c r="T3468">
        <v>1.21</v>
      </c>
      <c r="U3468" t="s">
        <v>204</v>
      </c>
    </row>
    <row r="3469" spans="1:21">
      <c r="A3469" t="str">
        <f>"601579"</f>
        <v>601579</v>
      </c>
      <c r="B3469" t="s">
        <v>6745</v>
      </c>
      <c r="C3469">
        <v>-1</v>
      </c>
      <c r="D3469">
        <v>10.89</v>
      </c>
      <c r="E3469">
        <v>-0.11</v>
      </c>
      <c r="F3469">
        <v>10.89</v>
      </c>
      <c r="G3469">
        <v>10.9</v>
      </c>
      <c r="H3469">
        <v>126936</v>
      </c>
      <c r="I3469">
        <v>977</v>
      </c>
      <c r="J3469">
        <v>0.09</v>
      </c>
      <c r="K3469">
        <v>2.55</v>
      </c>
      <c r="L3469">
        <v>13808.19</v>
      </c>
      <c r="M3469" t="s">
        <v>1692</v>
      </c>
      <c r="N3469" t="s">
        <v>853</v>
      </c>
      <c r="O3469">
        <v>10.94</v>
      </c>
      <c r="P3469">
        <v>11.08</v>
      </c>
      <c r="Q3469">
        <v>10.78</v>
      </c>
      <c r="R3469">
        <v>11</v>
      </c>
      <c r="S3469">
        <v>41.45</v>
      </c>
      <c r="T3469">
        <v>1.59</v>
      </c>
      <c r="U3469" t="s">
        <v>200</v>
      </c>
    </row>
    <row r="3470" spans="1:21">
      <c r="A3470" t="str">
        <f>"601588"</f>
        <v>601588</v>
      </c>
      <c r="B3470" t="s">
        <v>6746</v>
      </c>
      <c r="C3470">
        <v>0.88</v>
      </c>
      <c r="D3470">
        <v>2.28</v>
      </c>
      <c r="E3470">
        <v>0.02</v>
      </c>
      <c r="F3470">
        <v>2.28</v>
      </c>
      <c r="G3470">
        <v>2.29</v>
      </c>
      <c r="H3470">
        <v>71614</v>
      </c>
      <c r="I3470">
        <v>389</v>
      </c>
      <c r="J3470">
        <v>0</v>
      </c>
      <c r="K3470">
        <v>0.27</v>
      </c>
      <c r="L3470">
        <v>1623.57</v>
      </c>
      <c r="M3470" t="s">
        <v>6747</v>
      </c>
      <c r="N3470" t="s">
        <v>36</v>
      </c>
      <c r="O3470">
        <v>2.25</v>
      </c>
      <c r="P3470">
        <v>2.29</v>
      </c>
      <c r="Q3470">
        <v>2.24</v>
      </c>
      <c r="R3470">
        <v>2.26</v>
      </c>
      <c r="S3470">
        <v>19.04</v>
      </c>
      <c r="T3470">
        <v>0.84</v>
      </c>
      <c r="U3470" t="s">
        <v>44</v>
      </c>
    </row>
    <row r="3471" spans="1:21">
      <c r="A3471" t="str">
        <f>"601595"</f>
        <v>601595</v>
      </c>
      <c r="B3471" t="s">
        <v>6748</v>
      </c>
      <c r="C3471">
        <v>0.4</v>
      </c>
      <c r="D3471">
        <v>9.93</v>
      </c>
      <c r="E3471">
        <v>0.04</v>
      </c>
      <c r="F3471">
        <v>9.93</v>
      </c>
      <c r="G3471">
        <v>9.94</v>
      </c>
      <c r="H3471">
        <v>12100</v>
      </c>
      <c r="I3471">
        <v>92</v>
      </c>
      <c r="J3471">
        <v>0</v>
      </c>
      <c r="K3471">
        <v>0.27</v>
      </c>
      <c r="L3471">
        <v>1194.61</v>
      </c>
      <c r="M3471" t="s">
        <v>1152</v>
      </c>
      <c r="N3471" t="s">
        <v>199</v>
      </c>
      <c r="O3471">
        <v>9.88</v>
      </c>
      <c r="P3471">
        <v>9.95</v>
      </c>
      <c r="Q3471">
        <v>9.82</v>
      </c>
      <c r="R3471">
        <v>9.89</v>
      </c>
      <c r="S3471">
        <v>226.21</v>
      </c>
      <c r="T3471">
        <v>0.81</v>
      </c>
      <c r="U3471" t="s">
        <v>848</v>
      </c>
    </row>
    <row r="3472" spans="1:21">
      <c r="A3472" t="str">
        <f>"601598"</f>
        <v>601598</v>
      </c>
      <c r="B3472" t="s">
        <v>6749</v>
      </c>
      <c r="C3472">
        <v>3.33</v>
      </c>
      <c r="D3472">
        <v>4.34</v>
      </c>
      <c r="E3472">
        <v>0.14</v>
      </c>
      <c r="F3472">
        <v>4.34</v>
      </c>
      <c r="G3472">
        <v>4.35</v>
      </c>
      <c r="H3472">
        <v>440658</v>
      </c>
      <c r="I3472">
        <v>5234</v>
      </c>
      <c r="J3472">
        <v>-0.22</v>
      </c>
      <c r="K3472">
        <v>3.26</v>
      </c>
      <c r="L3472">
        <v>18950.92</v>
      </c>
      <c r="M3472" t="s">
        <v>6750</v>
      </c>
      <c r="N3472" t="s">
        <v>1049</v>
      </c>
      <c r="O3472">
        <v>4.2</v>
      </c>
      <c r="P3472">
        <v>4.36</v>
      </c>
      <c r="Q3472">
        <v>4.2</v>
      </c>
      <c r="R3472">
        <v>4.2</v>
      </c>
      <c r="S3472">
        <v>7.82</v>
      </c>
      <c r="T3472">
        <v>1.28</v>
      </c>
      <c r="U3472" t="s">
        <v>44</v>
      </c>
    </row>
    <row r="3473" spans="1:21">
      <c r="A3473" t="str">
        <f>"601599"</f>
        <v>601599</v>
      </c>
      <c r="B3473" t="s">
        <v>6751</v>
      </c>
      <c r="C3473">
        <v>1.06</v>
      </c>
      <c r="D3473">
        <v>2.87</v>
      </c>
      <c r="E3473">
        <v>0.03</v>
      </c>
      <c r="F3473">
        <v>2.87</v>
      </c>
      <c r="G3473">
        <v>2.88</v>
      </c>
      <c r="H3473">
        <v>32540</v>
      </c>
      <c r="I3473">
        <v>608</v>
      </c>
      <c r="J3473">
        <v>-0.34</v>
      </c>
      <c r="K3473">
        <v>0.36</v>
      </c>
      <c r="L3473">
        <v>933.14</v>
      </c>
      <c r="M3473" t="s">
        <v>6752</v>
      </c>
      <c r="N3473" t="s">
        <v>664</v>
      </c>
      <c r="O3473">
        <v>2.84</v>
      </c>
      <c r="P3473">
        <v>2.89</v>
      </c>
      <c r="Q3473">
        <v>2.84</v>
      </c>
      <c r="R3473">
        <v>2.84</v>
      </c>
      <c r="S3473">
        <v>35.1</v>
      </c>
      <c r="T3473">
        <v>0.91</v>
      </c>
      <c r="U3473" t="s">
        <v>102</v>
      </c>
    </row>
    <row r="3474" spans="1:21">
      <c r="A3474" t="str">
        <f>"601600"</f>
        <v>601600</v>
      </c>
      <c r="B3474" t="s">
        <v>6753</v>
      </c>
      <c r="C3474">
        <v>2.3</v>
      </c>
      <c r="D3474">
        <v>5.34</v>
      </c>
      <c r="E3474">
        <v>0.12</v>
      </c>
      <c r="F3474">
        <v>5.33</v>
      </c>
      <c r="G3474">
        <v>5.34</v>
      </c>
      <c r="H3474">
        <v>3261539</v>
      </c>
      <c r="I3474">
        <v>51081</v>
      </c>
      <c r="J3474">
        <v>0</v>
      </c>
      <c r="K3474">
        <v>2.49</v>
      </c>
      <c r="L3474">
        <v>172393.93</v>
      </c>
      <c r="M3474" t="s">
        <v>6754</v>
      </c>
      <c r="N3474" t="s">
        <v>494</v>
      </c>
      <c r="O3474">
        <v>5.21</v>
      </c>
      <c r="P3474">
        <v>5.37</v>
      </c>
      <c r="Q3474">
        <v>5.16</v>
      </c>
      <c r="R3474">
        <v>5.22</v>
      </c>
      <c r="S3474">
        <v>12.85</v>
      </c>
      <c r="T3474">
        <v>1.14</v>
      </c>
      <c r="U3474" t="s">
        <v>44</v>
      </c>
    </row>
    <row r="3475" spans="1:21">
      <c r="A3475" t="str">
        <f>"601601"</f>
        <v>601601</v>
      </c>
      <c r="B3475" t="s">
        <v>6755</v>
      </c>
      <c r="C3475">
        <v>1.25</v>
      </c>
      <c r="D3475">
        <v>28.32</v>
      </c>
      <c r="E3475">
        <v>0.35</v>
      </c>
      <c r="F3475">
        <v>28.31</v>
      </c>
      <c r="G3475">
        <v>28.32</v>
      </c>
      <c r="H3475">
        <v>203285</v>
      </c>
      <c r="I3475">
        <v>2233</v>
      </c>
      <c r="J3475">
        <v>0</v>
      </c>
      <c r="K3475">
        <v>0.3</v>
      </c>
      <c r="L3475">
        <v>57150.34</v>
      </c>
      <c r="M3475" t="s">
        <v>6756</v>
      </c>
      <c r="N3475" t="s">
        <v>517</v>
      </c>
      <c r="O3475">
        <v>27.81</v>
      </c>
      <c r="P3475">
        <v>28.45</v>
      </c>
      <c r="Q3475">
        <v>27.8</v>
      </c>
      <c r="R3475">
        <v>27.97</v>
      </c>
      <c r="S3475">
        <v>9.01</v>
      </c>
      <c r="T3475">
        <v>0.95</v>
      </c>
      <c r="U3475" t="s">
        <v>848</v>
      </c>
    </row>
    <row r="3476" spans="1:21">
      <c r="A3476" t="str">
        <f>"601606"</f>
        <v>601606</v>
      </c>
      <c r="B3476" t="s">
        <v>6757</v>
      </c>
      <c r="C3476">
        <v>-6.9</v>
      </c>
      <c r="D3476">
        <v>13.5</v>
      </c>
      <c r="E3476">
        <v>-1</v>
      </c>
      <c r="F3476">
        <v>13.49</v>
      </c>
      <c r="G3476">
        <v>13.5</v>
      </c>
      <c r="H3476">
        <v>535597</v>
      </c>
      <c r="I3476">
        <v>8387</v>
      </c>
      <c r="J3476">
        <v>0.07</v>
      </c>
      <c r="K3476">
        <v>7.4</v>
      </c>
      <c r="L3476">
        <v>73002</v>
      </c>
      <c r="M3476" t="s">
        <v>6758</v>
      </c>
      <c r="N3476" t="s">
        <v>324</v>
      </c>
      <c r="O3476">
        <v>14.6</v>
      </c>
      <c r="P3476">
        <v>14.68</v>
      </c>
      <c r="Q3476">
        <v>13.05</v>
      </c>
      <c r="R3476">
        <v>14.5</v>
      </c>
      <c r="S3476" t="s">
        <v>40</v>
      </c>
      <c r="T3476">
        <v>1.55</v>
      </c>
      <c r="U3476" t="s">
        <v>193</v>
      </c>
    </row>
    <row r="3477" spans="1:21">
      <c r="A3477" t="str">
        <f>"601607"</f>
        <v>601607</v>
      </c>
      <c r="B3477" t="s">
        <v>6759</v>
      </c>
      <c r="C3477">
        <v>0.33</v>
      </c>
      <c r="D3477">
        <v>18.19</v>
      </c>
      <c r="E3477">
        <v>0.06</v>
      </c>
      <c r="F3477">
        <v>18.19</v>
      </c>
      <c r="G3477">
        <v>18.2</v>
      </c>
      <c r="H3477">
        <v>65465</v>
      </c>
      <c r="I3477">
        <v>523</v>
      </c>
      <c r="J3477">
        <v>0</v>
      </c>
      <c r="K3477">
        <v>0.34</v>
      </c>
      <c r="L3477">
        <v>11889.64</v>
      </c>
      <c r="M3477" t="s">
        <v>6760</v>
      </c>
      <c r="N3477" t="s">
        <v>86</v>
      </c>
      <c r="O3477">
        <v>18.18</v>
      </c>
      <c r="P3477">
        <v>18.23</v>
      </c>
      <c r="Q3477">
        <v>18.06</v>
      </c>
      <c r="R3477">
        <v>18.13</v>
      </c>
      <c r="S3477">
        <v>8.65</v>
      </c>
      <c r="T3477">
        <v>1.03</v>
      </c>
      <c r="U3477" t="s">
        <v>848</v>
      </c>
    </row>
    <row r="3478" spans="1:21">
      <c r="A3478" t="str">
        <f>"601608"</f>
        <v>601608</v>
      </c>
      <c r="B3478" t="s">
        <v>6761</v>
      </c>
      <c r="C3478">
        <v>-3.52</v>
      </c>
      <c r="D3478">
        <v>4.66</v>
      </c>
      <c r="E3478">
        <v>-0.17</v>
      </c>
      <c r="F3478">
        <v>4.66</v>
      </c>
      <c r="G3478">
        <v>4.67</v>
      </c>
      <c r="H3478">
        <v>1476532</v>
      </c>
      <c r="I3478">
        <v>15124</v>
      </c>
      <c r="J3478">
        <v>-0.63</v>
      </c>
      <c r="K3478">
        <v>3.4</v>
      </c>
      <c r="L3478">
        <v>69038</v>
      </c>
      <c r="M3478" t="s">
        <v>6762</v>
      </c>
      <c r="N3478" t="s">
        <v>324</v>
      </c>
      <c r="O3478">
        <v>4.85</v>
      </c>
      <c r="P3478">
        <v>4.88</v>
      </c>
      <c r="Q3478">
        <v>4.59</v>
      </c>
      <c r="R3478">
        <v>4.83</v>
      </c>
      <c r="S3478">
        <v>63.96</v>
      </c>
      <c r="T3478">
        <v>3.08</v>
      </c>
      <c r="U3478" t="s">
        <v>224</v>
      </c>
    </row>
    <row r="3479" spans="1:21">
      <c r="A3479" t="str">
        <f>"601609"</f>
        <v>601609</v>
      </c>
      <c r="B3479" t="s">
        <v>6763</v>
      </c>
      <c r="C3479">
        <v>1.64</v>
      </c>
      <c r="D3479">
        <v>9.31</v>
      </c>
      <c r="E3479">
        <v>0.15</v>
      </c>
      <c r="F3479">
        <v>9.3</v>
      </c>
      <c r="G3479">
        <v>9.31</v>
      </c>
      <c r="H3479">
        <v>941201</v>
      </c>
      <c r="I3479">
        <v>3924</v>
      </c>
      <c r="J3479">
        <v>0</v>
      </c>
      <c r="K3479">
        <v>15.75</v>
      </c>
      <c r="L3479">
        <v>86895.46</v>
      </c>
      <c r="M3479" t="s">
        <v>6478</v>
      </c>
      <c r="N3479" t="s">
        <v>526</v>
      </c>
      <c r="O3479">
        <v>9.1</v>
      </c>
      <c r="P3479">
        <v>9.43</v>
      </c>
      <c r="Q3479">
        <v>8.88</v>
      </c>
      <c r="R3479">
        <v>9.16</v>
      </c>
      <c r="S3479">
        <v>19.07</v>
      </c>
      <c r="T3479">
        <v>4.08</v>
      </c>
      <c r="U3479" t="s">
        <v>200</v>
      </c>
    </row>
    <row r="3480" spans="1:21">
      <c r="A3480" t="str">
        <f>"601611"</f>
        <v>601611</v>
      </c>
      <c r="B3480" t="s">
        <v>6764</v>
      </c>
      <c r="C3480">
        <v>1.29</v>
      </c>
      <c r="D3480">
        <v>8.63</v>
      </c>
      <c r="E3480">
        <v>0.11</v>
      </c>
      <c r="F3480">
        <v>8.62</v>
      </c>
      <c r="G3480">
        <v>8.63</v>
      </c>
      <c r="H3480">
        <v>174709</v>
      </c>
      <c r="I3480">
        <v>2157</v>
      </c>
      <c r="J3480">
        <v>0</v>
      </c>
      <c r="K3480">
        <v>0.67</v>
      </c>
      <c r="L3480">
        <v>14919.86</v>
      </c>
      <c r="M3480" t="s">
        <v>6765</v>
      </c>
      <c r="N3480" t="s">
        <v>50</v>
      </c>
      <c r="O3480">
        <v>8.48</v>
      </c>
      <c r="P3480">
        <v>8.64</v>
      </c>
      <c r="Q3480">
        <v>8.4</v>
      </c>
      <c r="R3480">
        <v>8.52</v>
      </c>
      <c r="S3480">
        <v>16.46</v>
      </c>
      <c r="T3480">
        <v>0.73</v>
      </c>
      <c r="U3480" t="s">
        <v>848</v>
      </c>
    </row>
    <row r="3481" spans="1:21">
      <c r="A3481" t="str">
        <f>"601615"</f>
        <v>601615</v>
      </c>
      <c r="B3481" t="s">
        <v>6766</v>
      </c>
      <c r="C3481">
        <v>1.97</v>
      </c>
      <c r="D3481">
        <v>33.68</v>
      </c>
      <c r="E3481">
        <v>0.65</v>
      </c>
      <c r="F3481">
        <v>33.68</v>
      </c>
      <c r="G3481">
        <v>33.69</v>
      </c>
      <c r="H3481">
        <v>657449</v>
      </c>
      <c r="I3481">
        <v>7899</v>
      </c>
      <c r="J3481">
        <v>-0.08</v>
      </c>
      <c r="K3481">
        <v>4.43</v>
      </c>
      <c r="L3481">
        <v>219312.79</v>
      </c>
      <c r="M3481" t="s">
        <v>6767</v>
      </c>
      <c r="N3481" t="s">
        <v>47</v>
      </c>
      <c r="O3481">
        <v>32.95</v>
      </c>
      <c r="P3481">
        <v>34.23</v>
      </c>
      <c r="Q3481">
        <v>32.53</v>
      </c>
      <c r="R3481">
        <v>33.03</v>
      </c>
      <c r="S3481">
        <v>22.86</v>
      </c>
      <c r="T3481">
        <v>0.75</v>
      </c>
      <c r="U3481" t="s">
        <v>183</v>
      </c>
    </row>
    <row r="3482" spans="1:21">
      <c r="A3482" t="str">
        <f>"601616"</f>
        <v>601616</v>
      </c>
      <c r="B3482" t="s">
        <v>6768</v>
      </c>
      <c r="C3482">
        <v>2.24</v>
      </c>
      <c r="D3482">
        <v>3.65</v>
      </c>
      <c r="E3482">
        <v>0.08</v>
      </c>
      <c r="F3482">
        <v>3.64</v>
      </c>
      <c r="G3482">
        <v>3.65</v>
      </c>
      <c r="H3482">
        <v>195137</v>
      </c>
      <c r="I3482">
        <v>1728</v>
      </c>
      <c r="J3482">
        <v>0.27</v>
      </c>
      <c r="K3482">
        <v>2.09</v>
      </c>
      <c r="L3482">
        <v>7042.44</v>
      </c>
      <c r="M3482" t="s">
        <v>6769</v>
      </c>
      <c r="N3482" t="s">
        <v>47</v>
      </c>
      <c r="O3482">
        <v>3.54</v>
      </c>
      <c r="P3482">
        <v>3.65</v>
      </c>
      <c r="Q3482">
        <v>3.54</v>
      </c>
      <c r="R3482">
        <v>3.57</v>
      </c>
      <c r="S3482">
        <v>41.54</v>
      </c>
      <c r="T3482">
        <v>0.88</v>
      </c>
      <c r="U3482" t="s">
        <v>848</v>
      </c>
    </row>
    <row r="3483" spans="1:21">
      <c r="A3483" t="str">
        <f>"601618"</f>
        <v>601618</v>
      </c>
      <c r="B3483" t="s">
        <v>6770</v>
      </c>
      <c r="C3483">
        <v>2.7</v>
      </c>
      <c r="D3483">
        <v>3.81</v>
      </c>
      <c r="E3483">
        <v>0.1</v>
      </c>
      <c r="F3483">
        <v>3.8</v>
      </c>
      <c r="G3483">
        <v>3.81</v>
      </c>
      <c r="H3483">
        <v>1387247</v>
      </c>
      <c r="I3483">
        <v>20201</v>
      </c>
      <c r="J3483">
        <v>0</v>
      </c>
      <c r="K3483">
        <v>0.78</v>
      </c>
      <c r="L3483">
        <v>52057.33</v>
      </c>
      <c r="M3483" t="s">
        <v>6771</v>
      </c>
      <c r="N3483" t="s">
        <v>50</v>
      </c>
      <c r="O3483">
        <v>3.75</v>
      </c>
      <c r="P3483">
        <v>3.81</v>
      </c>
      <c r="Q3483">
        <v>3.68</v>
      </c>
      <c r="R3483">
        <v>3.71</v>
      </c>
      <c r="S3483">
        <v>9.66</v>
      </c>
      <c r="T3483">
        <v>1.4</v>
      </c>
      <c r="U3483" t="s">
        <v>44</v>
      </c>
    </row>
    <row r="3484" spans="1:21">
      <c r="A3484" t="str">
        <f>"601619"</f>
        <v>601619</v>
      </c>
      <c r="B3484" t="s">
        <v>6772</v>
      </c>
      <c r="C3484">
        <v>-0.38</v>
      </c>
      <c r="D3484">
        <v>5.24</v>
      </c>
      <c r="E3484">
        <v>-0.02</v>
      </c>
      <c r="F3484">
        <v>5.24</v>
      </c>
      <c r="G3484">
        <v>5.25</v>
      </c>
      <c r="H3484">
        <v>244635</v>
      </c>
      <c r="I3484">
        <v>2278</v>
      </c>
      <c r="J3484">
        <v>0</v>
      </c>
      <c r="K3484">
        <v>1.04</v>
      </c>
      <c r="L3484">
        <v>12750.58</v>
      </c>
      <c r="M3484" t="s">
        <v>4813</v>
      </c>
      <c r="N3484" t="s">
        <v>114</v>
      </c>
      <c r="O3484">
        <v>5.28</v>
      </c>
      <c r="P3484">
        <v>5.29</v>
      </c>
      <c r="Q3484">
        <v>5.16</v>
      </c>
      <c r="R3484">
        <v>5.26</v>
      </c>
      <c r="S3484">
        <v>23.3</v>
      </c>
      <c r="T3484">
        <v>0.68</v>
      </c>
      <c r="U3484" t="s">
        <v>401</v>
      </c>
    </row>
    <row r="3485" spans="1:21">
      <c r="A3485" t="str">
        <f>"601628"</f>
        <v>601628</v>
      </c>
      <c r="B3485" t="s">
        <v>6773</v>
      </c>
      <c r="C3485">
        <v>1.41</v>
      </c>
      <c r="D3485">
        <v>29.51</v>
      </c>
      <c r="E3485">
        <v>0.41</v>
      </c>
      <c r="F3485">
        <v>29.5</v>
      </c>
      <c r="G3485">
        <v>29.51</v>
      </c>
      <c r="H3485">
        <v>88165</v>
      </c>
      <c r="I3485">
        <v>682</v>
      </c>
      <c r="J3485">
        <v>-0.06</v>
      </c>
      <c r="K3485">
        <v>0.04</v>
      </c>
      <c r="L3485">
        <v>25914.78</v>
      </c>
      <c r="M3485" t="s">
        <v>6774</v>
      </c>
      <c r="N3485" t="s">
        <v>517</v>
      </c>
      <c r="O3485">
        <v>29.01</v>
      </c>
      <c r="P3485">
        <v>29.69</v>
      </c>
      <c r="Q3485">
        <v>28.96</v>
      </c>
      <c r="R3485">
        <v>29.1</v>
      </c>
      <c r="S3485">
        <v>12.9</v>
      </c>
      <c r="T3485">
        <v>1.25</v>
      </c>
      <c r="U3485" t="s">
        <v>44</v>
      </c>
    </row>
    <row r="3486" spans="1:21">
      <c r="A3486" t="str">
        <f>"601633"</f>
        <v>601633</v>
      </c>
      <c r="B3486" t="s">
        <v>6775</v>
      </c>
      <c r="C3486">
        <v>0.24</v>
      </c>
      <c r="D3486">
        <v>59.21</v>
      </c>
      <c r="E3486">
        <v>0.14</v>
      </c>
      <c r="F3486">
        <v>59.21</v>
      </c>
      <c r="G3486">
        <v>59.22</v>
      </c>
      <c r="H3486">
        <v>193584</v>
      </c>
      <c r="I3486">
        <v>1901</v>
      </c>
      <c r="J3486">
        <v>0.03</v>
      </c>
      <c r="K3486">
        <v>0.32</v>
      </c>
      <c r="L3486">
        <v>113426.61</v>
      </c>
      <c r="M3486" t="s">
        <v>6776</v>
      </c>
      <c r="N3486" t="s">
        <v>385</v>
      </c>
      <c r="O3486">
        <v>59.55</v>
      </c>
      <c r="P3486">
        <v>59.77</v>
      </c>
      <c r="Q3486">
        <v>57.5</v>
      </c>
      <c r="R3486">
        <v>59.07</v>
      </c>
      <c r="S3486">
        <v>82.94</v>
      </c>
      <c r="T3486">
        <v>1.13</v>
      </c>
      <c r="U3486" t="s">
        <v>207</v>
      </c>
    </row>
    <row r="3487" spans="1:21">
      <c r="A3487" t="str">
        <f>"601636"</f>
        <v>601636</v>
      </c>
      <c r="B3487" t="s">
        <v>6777</v>
      </c>
      <c r="C3487">
        <v>6.4</v>
      </c>
      <c r="D3487">
        <v>15.97</v>
      </c>
      <c r="E3487">
        <v>0.96</v>
      </c>
      <c r="F3487">
        <v>15.97</v>
      </c>
      <c r="G3487">
        <v>15.98</v>
      </c>
      <c r="H3487">
        <v>822431</v>
      </c>
      <c r="I3487">
        <v>16624</v>
      </c>
      <c r="J3487">
        <v>0.13</v>
      </c>
      <c r="K3487">
        <v>3.06</v>
      </c>
      <c r="L3487">
        <v>127496.19</v>
      </c>
      <c r="M3487" t="s">
        <v>6778</v>
      </c>
      <c r="N3487" t="s">
        <v>55</v>
      </c>
      <c r="O3487">
        <v>15.08</v>
      </c>
      <c r="P3487">
        <v>16.02</v>
      </c>
      <c r="Q3487">
        <v>14.9</v>
      </c>
      <c r="R3487">
        <v>15.01</v>
      </c>
      <c r="S3487">
        <v>8.8</v>
      </c>
      <c r="T3487">
        <v>1.36</v>
      </c>
      <c r="U3487" t="s">
        <v>204</v>
      </c>
    </row>
    <row r="3488" spans="1:21">
      <c r="A3488" t="str">
        <f>"601658"</f>
        <v>601658</v>
      </c>
      <c r="B3488" t="s">
        <v>6779</v>
      </c>
      <c r="C3488">
        <v>0.97</v>
      </c>
      <c r="D3488">
        <v>5.22</v>
      </c>
      <c r="E3488">
        <v>0.05</v>
      </c>
      <c r="F3488">
        <v>5.21</v>
      </c>
      <c r="G3488">
        <v>5.22</v>
      </c>
      <c r="H3488">
        <v>1180581</v>
      </c>
      <c r="I3488">
        <v>14007</v>
      </c>
      <c r="J3488">
        <v>-0.18</v>
      </c>
      <c r="K3488">
        <v>1.05</v>
      </c>
      <c r="L3488">
        <v>61174.85</v>
      </c>
      <c r="M3488" t="s">
        <v>6780</v>
      </c>
      <c r="N3488" t="s">
        <v>23</v>
      </c>
      <c r="O3488">
        <v>5.17</v>
      </c>
      <c r="P3488">
        <v>5.23</v>
      </c>
      <c r="Q3488">
        <v>5.13</v>
      </c>
      <c r="R3488">
        <v>5.17</v>
      </c>
      <c r="S3488">
        <v>5.61</v>
      </c>
      <c r="T3488">
        <v>1.38</v>
      </c>
      <c r="U3488" t="s">
        <v>44</v>
      </c>
    </row>
    <row r="3489" spans="1:21">
      <c r="A3489" t="str">
        <f>"601665"</f>
        <v>601665</v>
      </c>
      <c r="B3489" t="s">
        <v>6781</v>
      </c>
      <c r="C3489">
        <v>1.3</v>
      </c>
      <c r="D3489">
        <v>5.46</v>
      </c>
      <c r="E3489">
        <v>0.07</v>
      </c>
      <c r="F3489">
        <v>5.45</v>
      </c>
      <c r="G3489">
        <v>5.46</v>
      </c>
      <c r="H3489">
        <v>118978</v>
      </c>
      <c r="I3489">
        <v>1961</v>
      </c>
      <c r="J3489">
        <v>0</v>
      </c>
      <c r="K3489">
        <v>2.6</v>
      </c>
      <c r="L3489">
        <v>6460.01</v>
      </c>
      <c r="M3489" t="s">
        <v>6782</v>
      </c>
      <c r="N3489" t="s">
        <v>23</v>
      </c>
      <c r="O3489">
        <v>5.39</v>
      </c>
      <c r="P3489">
        <v>5.47</v>
      </c>
      <c r="Q3489">
        <v>5.38</v>
      </c>
      <c r="R3489">
        <v>5.39</v>
      </c>
      <c r="S3489">
        <v>8.9</v>
      </c>
      <c r="T3489">
        <v>1.4</v>
      </c>
      <c r="U3489" t="s">
        <v>221</v>
      </c>
    </row>
    <row r="3490" spans="1:21">
      <c r="A3490" t="str">
        <f>"601666"</f>
        <v>601666</v>
      </c>
      <c r="B3490" t="s">
        <v>6783</v>
      </c>
      <c r="C3490">
        <v>1.07</v>
      </c>
      <c r="D3490">
        <v>7.58</v>
      </c>
      <c r="E3490">
        <v>0.08</v>
      </c>
      <c r="F3490">
        <v>7.58</v>
      </c>
      <c r="G3490">
        <v>7.59</v>
      </c>
      <c r="H3490">
        <v>343810</v>
      </c>
      <c r="I3490">
        <v>5867</v>
      </c>
      <c r="J3490">
        <v>-0.25</v>
      </c>
      <c r="K3490">
        <v>1.48</v>
      </c>
      <c r="L3490">
        <v>25896.02</v>
      </c>
      <c r="M3490" t="s">
        <v>6784</v>
      </c>
      <c r="N3490" t="s">
        <v>390</v>
      </c>
      <c r="O3490">
        <v>7.49</v>
      </c>
      <c r="P3490">
        <v>7.63</v>
      </c>
      <c r="Q3490">
        <v>7.31</v>
      </c>
      <c r="R3490">
        <v>7.5</v>
      </c>
      <c r="S3490">
        <v>7.55</v>
      </c>
      <c r="T3490">
        <v>0.91</v>
      </c>
      <c r="U3490" t="s">
        <v>224</v>
      </c>
    </row>
    <row r="3491" spans="1:21">
      <c r="A3491" t="str">
        <f>"601668"</f>
        <v>601668</v>
      </c>
      <c r="B3491" t="s">
        <v>6785</v>
      </c>
      <c r="C3491">
        <v>1.71</v>
      </c>
      <c r="D3491">
        <v>4.75</v>
      </c>
      <c r="E3491">
        <v>0.08</v>
      </c>
      <c r="F3491">
        <v>4.74</v>
      </c>
      <c r="G3491">
        <v>4.75</v>
      </c>
      <c r="H3491">
        <v>1632610</v>
      </c>
      <c r="I3491">
        <v>17866</v>
      </c>
      <c r="J3491">
        <v>0.21</v>
      </c>
      <c r="K3491">
        <v>0.4</v>
      </c>
      <c r="L3491">
        <v>76628.28</v>
      </c>
      <c r="M3491" t="s">
        <v>6786</v>
      </c>
      <c r="N3491" t="s">
        <v>50</v>
      </c>
      <c r="O3491">
        <v>4.67</v>
      </c>
      <c r="P3491">
        <v>4.76</v>
      </c>
      <c r="Q3491">
        <v>4.65</v>
      </c>
      <c r="R3491">
        <v>4.67</v>
      </c>
      <c r="S3491">
        <v>3.95</v>
      </c>
      <c r="T3491">
        <v>1.43</v>
      </c>
      <c r="U3491" t="s">
        <v>44</v>
      </c>
    </row>
    <row r="3492" spans="1:21">
      <c r="A3492" t="str">
        <f>"601669"</f>
        <v>601669</v>
      </c>
      <c r="B3492" t="s">
        <v>6787</v>
      </c>
      <c r="C3492">
        <v>-1.62</v>
      </c>
      <c r="D3492">
        <v>6.68</v>
      </c>
      <c r="E3492">
        <v>-0.11</v>
      </c>
      <c r="F3492">
        <v>6.67</v>
      </c>
      <c r="G3492">
        <v>6.68</v>
      </c>
      <c r="H3492">
        <v>2402133</v>
      </c>
      <c r="I3492">
        <v>21750</v>
      </c>
      <c r="J3492">
        <v>0.15</v>
      </c>
      <c r="K3492">
        <v>2.16</v>
      </c>
      <c r="L3492">
        <v>159034.74</v>
      </c>
      <c r="M3492" t="s">
        <v>6788</v>
      </c>
      <c r="N3492" t="s">
        <v>50</v>
      </c>
      <c r="O3492">
        <v>6.74</v>
      </c>
      <c r="P3492">
        <v>6.79</v>
      </c>
      <c r="Q3492">
        <v>6.5</v>
      </c>
      <c r="R3492">
        <v>6.79</v>
      </c>
      <c r="S3492">
        <v>12.06</v>
      </c>
      <c r="T3492">
        <v>1.28</v>
      </c>
      <c r="U3492" t="s">
        <v>44</v>
      </c>
    </row>
    <row r="3493" spans="1:21">
      <c r="A3493" t="str">
        <f>"601677"</f>
        <v>601677</v>
      </c>
      <c r="B3493" t="s">
        <v>6789</v>
      </c>
      <c r="C3493">
        <v>6.56</v>
      </c>
      <c r="D3493">
        <v>34.61</v>
      </c>
      <c r="E3493">
        <v>2.13</v>
      </c>
      <c r="F3493">
        <v>34.6</v>
      </c>
      <c r="G3493">
        <v>34.61</v>
      </c>
      <c r="H3493">
        <v>150527</v>
      </c>
      <c r="I3493">
        <v>910</v>
      </c>
      <c r="J3493">
        <v>-0.22</v>
      </c>
      <c r="K3493">
        <v>2.21</v>
      </c>
      <c r="L3493">
        <v>51350.63</v>
      </c>
      <c r="M3493" t="s">
        <v>6790</v>
      </c>
      <c r="N3493" t="s">
        <v>494</v>
      </c>
      <c r="O3493">
        <v>32.62</v>
      </c>
      <c r="P3493">
        <v>34.96</v>
      </c>
      <c r="Q3493">
        <v>32.62</v>
      </c>
      <c r="R3493">
        <v>32.48</v>
      </c>
      <c r="S3493">
        <v>12.64</v>
      </c>
      <c r="T3493">
        <v>2.42</v>
      </c>
      <c r="U3493" t="s">
        <v>224</v>
      </c>
    </row>
    <row r="3494" spans="1:21">
      <c r="A3494" t="str">
        <f>"601678"</f>
        <v>601678</v>
      </c>
      <c r="B3494" t="s">
        <v>6791</v>
      </c>
      <c r="C3494">
        <v>9.39</v>
      </c>
      <c r="D3494">
        <v>8.39</v>
      </c>
      <c r="E3494">
        <v>0.72</v>
      </c>
      <c r="F3494">
        <v>8.38</v>
      </c>
      <c r="G3494">
        <v>8.39</v>
      </c>
      <c r="H3494">
        <v>2091739</v>
      </c>
      <c r="I3494">
        <v>14929</v>
      </c>
      <c r="J3494">
        <v>0.12</v>
      </c>
      <c r="K3494">
        <v>10.68</v>
      </c>
      <c r="L3494">
        <v>170767.13</v>
      </c>
      <c r="M3494" t="s">
        <v>6792</v>
      </c>
      <c r="N3494" t="s">
        <v>309</v>
      </c>
      <c r="O3494">
        <v>7.67</v>
      </c>
      <c r="P3494">
        <v>8.44</v>
      </c>
      <c r="Q3494">
        <v>7.67</v>
      </c>
      <c r="R3494">
        <v>7.67</v>
      </c>
      <c r="S3494">
        <v>8.74</v>
      </c>
      <c r="T3494">
        <v>2.75</v>
      </c>
      <c r="U3494" t="s">
        <v>221</v>
      </c>
    </row>
    <row r="3495" spans="1:21">
      <c r="A3495" t="str">
        <f>"601686"</f>
        <v>601686</v>
      </c>
      <c r="B3495" t="s">
        <v>6793</v>
      </c>
      <c r="C3495">
        <v>0.32</v>
      </c>
      <c r="D3495">
        <v>9.35</v>
      </c>
      <c r="E3495">
        <v>0.03</v>
      </c>
      <c r="F3495">
        <v>9.34</v>
      </c>
      <c r="G3495">
        <v>9.35</v>
      </c>
      <c r="H3495">
        <v>11817</v>
      </c>
      <c r="I3495">
        <v>289</v>
      </c>
      <c r="J3495">
        <v>-0.1</v>
      </c>
      <c r="K3495">
        <v>0.83</v>
      </c>
      <c r="L3495">
        <v>1103.36</v>
      </c>
      <c r="M3495" t="s">
        <v>6794</v>
      </c>
      <c r="N3495" t="s">
        <v>724</v>
      </c>
      <c r="O3495">
        <v>9.32</v>
      </c>
      <c r="P3495">
        <v>9.38</v>
      </c>
      <c r="Q3495">
        <v>9.28</v>
      </c>
      <c r="R3495">
        <v>9.32</v>
      </c>
      <c r="S3495">
        <v>17.52</v>
      </c>
      <c r="T3495">
        <v>0.69</v>
      </c>
      <c r="U3495" t="s">
        <v>360</v>
      </c>
    </row>
    <row r="3496" spans="1:21">
      <c r="A3496" t="str">
        <f>"601688"</f>
        <v>601688</v>
      </c>
      <c r="B3496" t="s">
        <v>6795</v>
      </c>
      <c r="C3496">
        <v>1.82</v>
      </c>
      <c r="D3496">
        <v>15.69</v>
      </c>
      <c r="E3496">
        <v>0.28</v>
      </c>
      <c r="F3496">
        <v>15.69</v>
      </c>
      <c r="G3496">
        <v>15.7</v>
      </c>
      <c r="H3496">
        <v>849745</v>
      </c>
      <c r="I3496">
        <v>10246</v>
      </c>
      <c r="J3496">
        <v>-0.05</v>
      </c>
      <c r="K3496">
        <v>1.16</v>
      </c>
      <c r="L3496">
        <v>132352.47</v>
      </c>
      <c r="M3496" t="s">
        <v>6796</v>
      </c>
      <c r="N3496" t="s">
        <v>213</v>
      </c>
      <c r="O3496">
        <v>15.41</v>
      </c>
      <c r="P3496">
        <v>15.78</v>
      </c>
      <c r="Q3496">
        <v>15.36</v>
      </c>
      <c r="R3496">
        <v>15.41</v>
      </c>
      <c r="S3496">
        <v>9.67</v>
      </c>
      <c r="T3496">
        <v>1.34</v>
      </c>
      <c r="U3496" t="s">
        <v>102</v>
      </c>
    </row>
    <row r="3497" spans="1:21">
      <c r="A3497" t="str">
        <f>"601689"</f>
        <v>601689</v>
      </c>
      <c r="B3497" t="s">
        <v>6797</v>
      </c>
      <c r="C3497">
        <v>0.76</v>
      </c>
      <c r="D3497">
        <v>55.5</v>
      </c>
      <c r="E3497">
        <v>0.42</v>
      </c>
      <c r="F3497">
        <v>55.5</v>
      </c>
      <c r="G3497">
        <v>55.51</v>
      </c>
      <c r="H3497">
        <v>145129</v>
      </c>
      <c r="I3497">
        <v>1033</v>
      </c>
      <c r="J3497">
        <v>0.11</v>
      </c>
      <c r="K3497">
        <v>1.32</v>
      </c>
      <c r="L3497">
        <v>79423</v>
      </c>
      <c r="M3497" t="s">
        <v>6798</v>
      </c>
      <c r="N3497" t="s">
        <v>91</v>
      </c>
      <c r="O3497">
        <v>55.77</v>
      </c>
      <c r="P3497">
        <v>55.98</v>
      </c>
      <c r="Q3497">
        <v>53.59</v>
      </c>
      <c r="R3497">
        <v>55.08</v>
      </c>
      <c r="S3497">
        <v>60.89</v>
      </c>
      <c r="T3497">
        <v>0.89</v>
      </c>
      <c r="U3497" t="s">
        <v>200</v>
      </c>
    </row>
    <row r="3498" spans="1:21">
      <c r="A3498" t="str">
        <f>"601696"</f>
        <v>601696</v>
      </c>
      <c r="B3498" t="s">
        <v>6799</v>
      </c>
      <c r="C3498">
        <v>3.3</v>
      </c>
      <c r="D3498">
        <v>13.45</v>
      </c>
      <c r="E3498">
        <v>0.43</v>
      </c>
      <c r="F3498">
        <v>13.44</v>
      </c>
      <c r="G3498">
        <v>13.45</v>
      </c>
      <c r="H3498">
        <v>227250</v>
      </c>
      <c r="I3498">
        <v>3514</v>
      </c>
      <c r="J3498">
        <v>0.07</v>
      </c>
      <c r="K3498">
        <v>1.57</v>
      </c>
      <c r="L3498">
        <v>30318.83</v>
      </c>
      <c r="M3498" t="s">
        <v>6800</v>
      </c>
      <c r="N3498" t="s">
        <v>213</v>
      </c>
      <c r="O3498">
        <v>13.01</v>
      </c>
      <c r="P3498">
        <v>13.56</v>
      </c>
      <c r="Q3498">
        <v>12.99</v>
      </c>
      <c r="R3498">
        <v>13.02</v>
      </c>
      <c r="S3498">
        <v>29.71</v>
      </c>
      <c r="T3498">
        <v>2.12</v>
      </c>
      <c r="U3498" t="s">
        <v>848</v>
      </c>
    </row>
    <row r="3499" spans="1:21">
      <c r="A3499" t="str">
        <f>"601698"</f>
        <v>601698</v>
      </c>
      <c r="B3499" t="s">
        <v>6801</v>
      </c>
      <c r="C3499">
        <v>-1.12</v>
      </c>
      <c r="D3499">
        <v>15.06</v>
      </c>
      <c r="E3499">
        <v>-0.17</v>
      </c>
      <c r="F3499">
        <v>15.05</v>
      </c>
      <c r="G3499">
        <v>15.06</v>
      </c>
      <c r="H3499">
        <v>100359</v>
      </c>
      <c r="I3499">
        <v>1384</v>
      </c>
      <c r="J3499">
        <v>0.07</v>
      </c>
      <c r="K3499">
        <v>2.46</v>
      </c>
      <c r="L3499">
        <v>15088.44</v>
      </c>
      <c r="M3499" t="s">
        <v>6802</v>
      </c>
      <c r="N3499" t="s">
        <v>1279</v>
      </c>
      <c r="O3499">
        <v>15.19</v>
      </c>
      <c r="P3499">
        <v>15.2</v>
      </c>
      <c r="Q3499">
        <v>14.96</v>
      </c>
      <c r="R3499">
        <v>15.23</v>
      </c>
      <c r="S3499">
        <v>120.89</v>
      </c>
      <c r="T3499">
        <v>0.56</v>
      </c>
      <c r="U3499" t="s">
        <v>44</v>
      </c>
    </row>
    <row r="3500" spans="1:21">
      <c r="A3500" t="str">
        <f>"601699"</f>
        <v>601699</v>
      </c>
      <c r="B3500" t="s">
        <v>6803</v>
      </c>
      <c r="C3500">
        <v>1.93</v>
      </c>
      <c r="D3500">
        <v>11.1</v>
      </c>
      <c r="E3500">
        <v>0.21</v>
      </c>
      <c r="F3500">
        <v>11.1</v>
      </c>
      <c r="G3500">
        <v>11.11</v>
      </c>
      <c r="H3500">
        <v>393944</v>
      </c>
      <c r="I3500">
        <v>4460</v>
      </c>
      <c r="J3500">
        <v>0</v>
      </c>
      <c r="K3500">
        <v>1.32</v>
      </c>
      <c r="L3500">
        <v>43497.8</v>
      </c>
      <c r="M3500" t="s">
        <v>6804</v>
      </c>
      <c r="N3500" t="s">
        <v>390</v>
      </c>
      <c r="O3500">
        <v>10.85</v>
      </c>
      <c r="P3500">
        <v>11.16</v>
      </c>
      <c r="Q3500">
        <v>10.81</v>
      </c>
      <c r="R3500">
        <v>10.89</v>
      </c>
      <c r="S3500">
        <v>4.27</v>
      </c>
      <c r="T3500">
        <v>1.14</v>
      </c>
      <c r="U3500" t="s">
        <v>232</v>
      </c>
    </row>
    <row r="3501" spans="1:21">
      <c r="A3501" t="str">
        <f>"601700"</f>
        <v>601700</v>
      </c>
      <c r="B3501" t="s">
        <v>6805</v>
      </c>
      <c r="C3501">
        <v>-2.58</v>
      </c>
      <c r="D3501">
        <v>4.9</v>
      </c>
      <c r="E3501">
        <v>-0.13</v>
      </c>
      <c r="F3501">
        <v>4.9</v>
      </c>
      <c r="G3501">
        <v>4.91</v>
      </c>
      <c r="H3501">
        <v>695243</v>
      </c>
      <c r="I3501">
        <v>4198</v>
      </c>
      <c r="J3501">
        <v>0</v>
      </c>
      <c r="K3501">
        <v>6.14</v>
      </c>
      <c r="L3501">
        <v>34487.27</v>
      </c>
      <c r="M3501" t="s">
        <v>6806</v>
      </c>
      <c r="N3501" t="s">
        <v>47</v>
      </c>
      <c r="O3501">
        <v>5.17</v>
      </c>
      <c r="P3501">
        <v>5.21</v>
      </c>
      <c r="Q3501">
        <v>4.78</v>
      </c>
      <c r="R3501">
        <v>5.03</v>
      </c>
      <c r="S3501">
        <v>53.5</v>
      </c>
      <c r="T3501">
        <v>2.53</v>
      </c>
      <c r="U3501" t="s">
        <v>102</v>
      </c>
    </row>
    <row r="3502" spans="1:21">
      <c r="A3502" t="str">
        <f>"601702"</f>
        <v>601702</v>
      </c>
      <c r="B3502" t="s">
        <v>6807</v>
      </c>
      <c r="C3502">
        <v>-1.4</v>
      </c>
      <c r="D3502">
        <v>14.8</v>
      </c>
      <c r="E3502">
        <v>-0.21</v>
      </c>
      <c r="F3502">
        <v>14.8</v>
      </c>
      <c r="G3502">
        <v>14.81</v>
      </c>
      <c r="H3502">
        <v>178186</v>
      </c>
      <c r="I3502">
        <v>2632</v>
      </c>
      <c r="J3502">
        <v>0.48</v>
      </c>
      <c r="K3502">
        <v>6.41</v>
      </c>
      <c r="L3502">
        <v>26706.71</v>
      </c>
      <c r="M3502" t="s">
        <v>6808</v>
      </c>
      <c r="N3502" t="s">
        <v>494</v>
      </c>
      <c r="O3502">
        <v>15.07</v>
      </c>
      <c r="P3502">
        <v>15.42</v>
      </c>
      <c r="Q3502">
        <v>14.68</v>
      </c>
      <c r="R3502">
        <v>15.01</v>
      </c>
      <c r="S3502">
        <v>30.45</v>
      </c>
      <c r="T3502">
        <v>0.62</v>
      </c>
      <c r="U3502" t="s">
        <v>848</v>
      </c>
    </row>
    <row r="3503" spans="1:21">
      <c r="A3503" t="str">
        <f>"601717"</f>
        <v>601717</v>
      </c>
      <c r="B3503" t="s">
        <v>6809</v>
      </c>
      <c r="C3503">
        <v>3.13</v>
      </c>
      <c r="D3503">
        <v>12.54</v>
      </c>
      <c r="E3503">
        <v>0.38</v>
      </c>
      <c r="F3503">
        <v>12.53</v>
      </c>
      <c r="G3503">
        <v>12.54</v>
      </c>
      <c r="H3503">
        <v>601811</v>
      </c>
      <c r="I3503">
        <v>5246</v>
      </c>
      <c r="J3503">
        <v>0</v>
      </c>
      <c r="K3503">
        <v>4.04</v>
      </c>
      <c r="L3503">
        <v>75306.98</v>
      </c>
      <c r="M3503" t="s">
        <v>6810</v>
      </c>
      <c r="N3503" t="s">
        <v>91</v>
      </c>
      <c r="O3503">
        <v>12.3</v>
      </c>
      <c r="P3503">
        <v>12.89</v>
      </c>
      <c r="Q3503">
        <v>11.98</v>
      </c>
      <c r="R3503">
        <v>12.16</v>
      </c>
      <c r="S3503">
        <v>10.58</v>
      </c>
      <c r="T3503">
        <v>0.93</v>
      </c>
      <c r="U3503" t="s">
        <v>224</v>
      </c>
    </row>
    <row r="3504" spans="1:21">
      <c r="A3504" t="str">
        <f>"601718"</f>
        <v>601718</v>
      </c>
      <c r="B3504" t="s">
        <v>6811</v>
      </c>
      <c r="C3504">
        <v>1.12</v>
      </c>
      <c r="D3504">
        <v>2.72</v>
      </c>
      <c r="E3504">
        <v>0.03</v>
      </c>
      <c r="F3504">
        <v>2.72</v>
      </c>
      <c r="G3504">
        <v>2.73</v>
      </c>
      <c r="H3504">
        <v>231928</v>
      </c>
      <c r="I3504">
        <v>2703</v>
      </c>
      <c r="J3504">
        <v>-0.36</v>
      </c>
      <c r="K3504">
        <v>0.53</v>
      </c>
      <c r="L3504">
        <v>6289.01</v>
      </c>
      <c r="M3504" t="s">
        <v>6812</v>
      </c>
      <c r="N3504" t="s">
        <v>1061</v>
      </c>
      <c r="O3504">
        <v>2.69</v>
      </c>
      <c r="P3504">
        <v>2.73</v>
      </c>
      <c r="Q3504">
        <v>2.69</v>
      </c>
      <c r="R3504">
        <v>2.69</v>
      </c>
      <c r="S3504">
        <v>2973.82</v>
      </c>
      <c r="T3504">
        <v>1.11</v>
      </c>
      <c r="U3504" t="s">
        <v>44</v>
      </c>
    </row>
    <row r="3505" spans="1:21">
      <c r="A3505" t="str">
        <f>"601727"</f>
        <v>601727</v>
      </c>
      <c r="B3505" t="s">
        <v>6813</v>
      </c>
      <c r="C3505">
        <v>2.51</v>
      </c>
      <c r="D3505">
        <v>4.91</v>
      </c>
      <c r="E3505">
        <v>0.12</v>
      </c>
      <c r="F3505">
        <v>4.91</v>
      </c>
      <c r="G3505">
        <v>4.92</v>
      </c>
      <c r="H3505">
        <v>830615</v>
      </c>
      <c r="I3505">
        <v>15357</v>
      </c>
      <c r="J3505">
        <v>-0.19</v>
      </c>
      <c r="K3505">
        <v>0.66</v>
      </c>
      <c r="L3505">
        <v>40385.4</v>
      </c>
      <c r="M3505" t="s">
        <v>6814</v>
      </c>
      <c r="N3505" t="s">
        <v>47</v>
      </c>
      <c r="O3505">
        <v>4.8</v>
      </c>
      <c r="P3505">
        <v>4.96</v>
      </c>
      <c r="Q3505">
        <v>4.73</v>
      </c>
      <c r="R3505">
        <v>4.79</v>
      </c>
      <c r="S3505" t="s">
        <v>40</v>
      </c>
      <c r="T3505">
        <v>1.61</v>
      </c>
      <c r="U3505" t="s">
        <v>848</v>
      </c>
    </row>
    <row r="3506" spans="1:21">
      <c r="A3506" t="str">
        <f>"601728"</f>
        <v>601728</v>
      </c>
      <c r="B3506" t="s">
        <v>6815</v>
      </c>
      <c r="C3506">
        <v>0.24</v>
      </c>
      <c r="D3506">
        <v>4.19</v>
      </c>
      <c r="E3506">
        <v>0.01</v>
      </c>
      <c r="F3506">
        <v>4.19</v>
      </c>
      <c r="G3506">
        <v>4.2</v>
      </c>
      <c r="H3506">
        <v>575667</v>
      </c>
      <c r="I3506">
        <v>6996</v>
      </c>
      <c r="J3506">
        <v>0</v>
      </c>
      <c r="K3506">
        <v>1.31</v>
      </c>
      <c r="L3506">
        <v>24078.67</v>
      </c>
      <c r="M3506" t="s">
        <v>6816</v>
      </c>
      <c r="N3506" t="s">
        <v>1279</v>
      </c>
      <c r="O3506">
        <v>4.18</v>
      </c>
      <c r="P3506">
        <v>4.2</v>
      </c>
      <c r="Q3506">
        <v>4.17</v>
      </c>
      <c r="R3506">
        <v>4.18</v>
      </c>
      <c r="S3506">
        <v>12.33</v>
      </c>
      <c r="T3506">
        <v>1.01</v>
      </c>
      <c r="U3506" t="s">
        <v>44</v>
      </c>
    </row>
    <row r="3507" spans="1:21">
      <c r="A3507" t="str">
        <f>"601766"</f>
        <v>601766</v>
      </c>
      <c r="B3507" t="s">
        <v>6817</v>
      </c>
      <c r="C3507">
        <v>0.33</v>
      </c>
      <c r="D3507">
        <v>6</v>
      </c>
      <c r="E3507">
        <v>0.02</v>
      </c>
      <c r="F3507">
        <v>5.99</v>
      </c>
      <c r="G3507">
        <v>6</v>
      </c>
      <c r="H3507">
        <v>404366</v>
      </c>
      <c r="I3507">
        <v>5884</v>
      </c>
      <c r="J3507">
        <v>0</v>
      </c>
      <c r="K3507">
        <v>0.17</v>
      </c>
      <c r="L3507">
        <v>24140.62</v>
      </c>
      <c r="M3507" t="s">
        <v>6818</v>
      </c>
      <c r="N3507" t="s">
        <v>43</v>
      </c>
      <c r="O3507">
        <v>5.95</v>
      </c>
      <c r="P3507">
        <v>6.01</v>
      </c>
      <c r="Q3507">
        <v>5.94</v>
      </c>
      <c r="R3507">
        <v>5.98</v>
      </c>
      <c r="S3507">
        <v>19.99</v>
      </c>
      <c r="T3507">
        <v>0.96</v>
      </c>
      <c r="U3507" t="s">
        <v>44</v>
      </c>
    </row>
    <row r="3508" spans="1:21">
      <c r="A3508" t="str">
        <f>"601777"</f>
        <v>601777</v>
      </c>
      <c r="B3508" t="s">
        <v>6819</v>
      </c>
      <c r="C3508">
        <v>-0.42</v>
      </c>
      <c r="D3508">
        <v>7.17</v>
      </c>
      <c r="E3508">
        <v>-0.03</v>
      </c>
      <c r="F3508">
        <v>7.16</v>
      </c>
      <c r="G3508">
        <v>7.17</v>
      </c>
      <c r="H3508">
        <v>205816</v>
      </c>
      <c r="I3508">
        <v>3385</v>
      </c>
      <c r="J3508">
        <v>0.28</v>
      </c>
      <c r="K3508">
        <v>0.91</v>
      </c>
      <c r="L3508">
        <v>14705.66</v>
      </c>
      <c r="M3508" t="s">
        <v>6820</v>
      </c>
      <c r="N3508" t="s">
        <v>917</v>
      </c>
      <c r="O3508">
        <v>7.2</v>
      </c>
      <c r="P3508">
        <v>7.24</v>
      </c>
      <c r="Q3508">
        <v>7.08</v>
      </c>
      <c r="R3508">
        <v>7.2</v>
      </c>
      <c r="S3508">
        <v>487.52</v>
      </c>
      <c r="T3508">
        <v>0.74</v>
      </c>
      <c r="U3508" t="s">
        <v>314</v>
      </c>
    </row>
    <row r="3509" spans="1:21">
      <c r="A3509" t="str">
        <f>"601778"</f>
        <v>601778</v>
      </c>
      <c r="B3509" t="s">
        <v>6821</v>
      </c>
      <c r="C3509">
        <v>1.66</v>
      </c>
      <c r="D3509">
        <v>9.19</v>
      </c>
      <c r="E3509">
        <v>0.15</v>
      </c>
      <c r="F3509">
        <v>9.19</v>
      </c>
      <c r="G3509">
        <v>9.2</v>
      </c>
      <c r="H3509">
        <v>928859</v>
      </c>
      <c r="I3509">
        <v>7396</v>
      </c>
      <c r="J3509">
        <v>-0.1</v>
      </c>
      <c r="K3509">
        <v>4.97</v>
      </c>
      <c r="L3509">
        <v>84470.66</v>
      </c>
      <c r="M3509" t="s">
        <v>6822</v>
      </c>
      <c r="N3509" t="s">
        <v>114</v>
      </c>
      <c r="O3509">
        <v>9.04</v>
      </c>
      <c r="P3509">
        <v>9.35</v>
      </c>
      <c r="Q3509">
        <v>8.82</v>
      </c>
      <c r="R3509">
        <v>9.04</v>
      </c>
      <c r="S3509">
        <v>56.31</v>
      </c>
      <c r="T3509">
        <v>1.11</v>
      </c>
      <c r="U3509" t="s">
        <v>235</v>
      </c>
    </row>
    <row r="3510" spans="1:21">
      <c r="A3510" t="str">
        <f>"601788"</f>
        <v>601788</v>
      </c>
      <c r="B3510" t="s">
        <v>6823</v>
      </c>
      <c r="C3510">
        <v>2.06</v>
      </c>
      <c r="D3510">
        <v>14.89</v>
      </c>
      <c r="E3510">
        <v>0.3</v>
      </c>
      <c r="F3510">
        <v>14.89</v>
      </c>
      <c r="G3510">
        <v>14.9</v>
      </c>
      <c r="H3510">
        <v>211478</v>
      </c>
      <c r="I3510">
        <v>2768</v>
      </c>
      <c r="J3510">
        <v>-0.06</v>
      </c>
      <c r="K3510">
        <v>0.54</v>
      </c>
      <c r="L3510">
        <v>31298.52</v>
      </c>
      <c r="M3510" t="s">
        <v>6824</v>
      </c>
      <c r="N3510" t="s">
        <v>213</v>
      </c>
      <c r="O3510">
        <v>14.59</v>
      </c>
      <c r="P3510">
        <v>14.98</v>
      </c>
      <c r="Q3510">
        <v>14.55</v>
      </c>
      <c r="R3510">
        <v>14.59</v>
      </c>
      <c r="S3510">
        <v>15.81</v>
      </c>
      <c r="T3510">
        <v>1.36</v>
      </c>
      <c r="U3510" t="s">
        <v>848</v>
      </c>
    </row>
    <row r="3511" spans="1:21">
      <c r="A3511" t="str">
        <f>"601789"</f>
        <v>601789</v>
      </c>
      <c r="B3511" t="s">
        <v>6825</v>
      </c>
      <c r="C3511">
        <v>0.85</v>
      </c>
      <c r="D3511">
        <v>3.57</v>
      </c>
      <c r="E3511">
        <v>0.03</v>
      </c>
      <c r="F3511">
        <v>3.56</v>
      </c>
      <c r="G3511">
        <v>3.57</v>
      </c>
      <c r="H3511">
        <v>90626</v>
      </c>
      <c r="I3511">
        <v>1497</v>
      </c>
      <c r="J3511">
        <v>0</v>
      </c>
      <c r="K3511">
        <v>0.93</v>
      </c>
      <c r="L3511">
        <v>3208.01</v>
      </c>
      <c r="M3511" t="s">
        <v>6826</v>
      </c>
      <c r="N3511" t="s">
        <v>50</v>
      </c>
      <c r="O3511">
        <v>3.53</v>
      </c>
      <c r="P3511">
        <v>3.59</v>
      </c>
      <c r="Q3511">
        <v>3.5</v>
      </c>
      <c r="R3511">
        <v>3.54</v>
      </c>
      <c r="S3511">
        <v>9.14</v>
      </c>
      <c r="T3511">
        <v>1.79</v>
      </c>
      <c r="U3511" t="s">
        <v>200</v>
      </c>
    </row>
    <row r="3512" spans="1:21">
      <c r="A3512" t="str">
        <f>"601798"</f>
        <v>601798</v>
      </c>
      <c r="B3512" t="s">
        <v>6827</v>
      </c>
      <c r="C3512">
        <v>0.71</v>
      </c>
      <c r="D3512">
        <v>5.65</v>
      </c>
      <c r="E3512">
        <v>0.04</v>
      </c>
      <c r="F3512">
        <v>5.64</v>
      </c>
      <c r="G3512">
        <v>5.65</v>
      </c>
      <c r="H3512">
        <v>16834</v>
      </c>
      <c r="I3512">
        <v>366</v>
      </c>
      <c r="J3512">
        <v>0.36</v>
      </c>
      <c r="K3512">
        <v>0.47</v>
      </c>
      <c r="L3512">
        <v>948</v>
      </c>
      <c r="M3512" t="s">
        <v>5707</v>
      </c>
      <c r="N3512" t="s">
        <v>832</v>
      </c>
      <c r="O3512">
        <v>5.61</v>
      </c>
      <c r="P3512">
        <v>5.68</v>
      </c>
      <c r="Q3512">
        <v>5.55</v>
      </c>
      <c r="R3512">
        <v>5.61</v>
      </c>
      <c r="S3512" t="s">
        <v>40</v>
      </c>
      <c r="T3512">
        <v>0.96</v>
      </c>
      <c r="U3512" t="s">
        <v>391</v>
      </c>
    </row>
    <row r="3513" spans="1:21">
      <c r="A3513" t="str">
        <f>"601799"</f>
        <v>601799</v>
      </c>
      <c r="B3513" t="s">
        <v>6828</v>
      </c>
      <c r="C3513">
        <v>1.01</v>
      </c>
      <c r="D3513">
        <v>211.12</v>
      </c>
      <c r="E3513">
        <v>2.12</v>
      </c>
      <c r="F3513">
        <v>211.04</v>
      </c>
      <c r="G3513">
        <v>211.17</v>
      </c>
      <c r="H3513">
        <v>8903</v>
      </c>
      <c r="I3513">
        <v>43</v>
      </c>
      <c r="J3513">
        <v>-0.13</v>
      </c>
      <c r="K3513">
        <v>0.31</v>
      </c>
      <c r="L3513">
        <v>18735.99</v>
      </c>
      <c r="M3513" t="s">
        <v>6829</v>
      </c>
      <c r="N3513" t="s">
        <v>91</v>
      </c>
      <c r="O3513">
        <v>208.8</v>
      </c>
      <c r="P3513">
        <v>212.5</v>
      </c>
      <c r="Q3513">
        <v>207.66</v>
      </c>
      <c r="R3513">
        <v>209</v>
      </c>
      <c r="S3513">
        <v>61.25</v>
      </c>
      <c r="T3513">
        <v>1.06</v>
      </c>
      <c r="U3513" t="s">
        <v>102</v>
      </c>
    </row>
    <row r="3514" spans="1:21">
      <c r="A3514" t="str">
        <f>"601800"</f>
        <v>601800</v>
      </c>
      <c r="B3514" t="s">
        <v>6830</v>
      </c>
      <c r="C3514">
        <v>0.71</v>
      </c>
      <c r="D3514">
        <v>7.13</v>
      </c>
      <c r="E3514">
        <v>0.05</v>
      </c>
      <c r="F3514">
        <v>7.13</v>
      </c>
      <c r="G3514">
        <v>7.14</v>
      </c>
      <c r="H3514">
        <v>447625</v>
      </c>
      <c r="I3514">
        <v>6545</v>
      </c>
      <c r="J3514">
        <v>-0.13</v>
      </c>
      <c r="K3514">
        <v>0.38</v>
      </c>
      <c r="L3514">
        <v>31517.79</v>
      </c>
      <c r="M3514" t="s">
        <v>6831</v>
      </c>
      <c r="N3514" t="s">
        <v>50</v>
      </c>
      <c r="O3514">
        <v>7.07</v>
      </c>
      <c r="P3514">
        <v>7.14</v>
      </c>
      <c r="Q3514">
        <v>6.98</v>
      </c>
      <c r="R3514">
        <v>7.08</v>
      </c>
      <c r="S3514">
        <v>5.78</v>
      </c>
      <c r="T3514">
        <v>1.42</v>
      </c>
      <c r="U3514" t="s">
        <v>44</v>
      </c>
    </row>
    <row r="3515" spans="1:21">
      <c r="A3515" t="str">
        <f>"601801"</f>
        <v>601801</v>
      </c>
      <c r="B3515" t="s">
        <v>6832</v>
      </c>
      <c r="C3515">
        <v>0.82</v>
      </c>
      <c r="D3515">
        <v>4.9</v>
      </c>
      <c r="E3515">
        <v>0.04</v>
      </c>
      <c r="F3515">
        <v>4.89</v>
      </c>
      <c r="G3515">
        <v>4.9</v>
      </c>
      <c r="H3515">
        <v>69421</v>
      </c>
      <c r="I3515">
        <v>1139</v>
      </c>
      <c r="J3515">
        <v>0</v>
      </c>
      <c r="K3515">
        <v>0.35</v>
      </c>
      <c r="L3515">
        <v>3405.66</v>
      </c>
      <c r="M3515" t="s">
        <v>6833</v>
      </c>
      <c r="N3515" t="s">
        <v>650</v>
      </c>
      <c r="O3515">
        <v>4.87</v>
      </c>
      <c r="P3515">
        <v>4.94</v>
      </c>
      <c r="Q3515">
        <v>4.84</v>
      </c>
      <c r="R3515">
        <v>4.86</v>
      </c>
      <c r="S3515">
        <v>9.55</v>
      </c>
      <c r="T3515">
        <v>0.59</v>
      </c>
      <c r="U3515" t="s">
        <v>193</v>
      </c>
    </row>
    <row r="3516" spans="1:21">
      <c r="A3516" t="str">
        <f>"601808"</f>
        <v>601808</v>
      </c>
      <c r="B3516" t="s">
        <v>6834</v>
      </c>
      <c r="C3516">
        <v>1.44</v>
      </c>
      <c r="D3516">
        <v>14.1</v>
      </c>
      <c r="E3516">
        <v>0.2</v>
      </c>
      <c r="F3516">
        <v>14.09</v>
      </c>
      <c r="G3516">
        <v>14.1</v>
      </c>
      <c r="H3516">
        <v>56046</v>
      </c>
      <c r="I3516">
        <v>551</v>
      </c>
      <c r="J3516">
        <v>0.14</v>
      </c>
      <c r="K3516">
        <v>0.19</v>
      </c>
      <c r="L3516">
        <v>7868.7</v>
      </c>
      <c r="M3516" t="s">
        <v>6835</v>
      </c>
      <c r="N3516" t="s">
        <v>996</v>
      </c>
      <c r="O3516">
        <v>13.87</v>
      </c>
      <c r="P3516">
        <v>14.17</v>
      </c>
      <c r="Q3516">
        <v>13.83</v>
      </c>
      <c r="R3516">
        <v>13.9</v>
      </c>
      <c r="S3516">
        <v>34.74</v>
      </c>
      <c r="T3516">
        <v>0.8</v>
      </c>
      <c r="U3516" t="s">
        <v>360</v>
      </c>
    </row>
    <row r="3517" spans="1:21">
      <c r="A3517" t="str">
        <f>"601811"</f>
        <v>601811</v>
      </c>
      <c r="B3517" t="s">
        <v>6836</v>
      </c>
      <c r="C3517">
        <v>0.36</v>
      </c>
      <c r="D3517">
        <v>8.44</v>
      </c>
      <c r="E3517">
        <v>0.03</v>
      </c>
      <c r="F3517">
        <v>8.42</v>
      </c>
      <c r="G3517">
        <v>8.44</v>
      </c>
      <c r="H3517">
        <v>7437</v>
      </c>
      <c r="I3517">
        <v>16</v>
      </c>
      <c r="J3517">
        <v>0.12</v>
      </c>
      <c r="K3517">
        <v>0.09</v>
      </c>
      <c r="L3517">
        <v>625.08</v>
      </c>
      <c r="M3517" t="s">
        <v>6837</v>
      </c>
      <c r="N3517" t="s">
        <v>650</v>
      </c>
      <c r="O3517">
        <v>8.33</v>
      </c>
      <c r="P3517">
        <v>8.46</v>
      </c>
      <c r="Q3517">
        <v>8.33</v>
      </c>
      <c r="R3517">
        <v>8.41</v>
      </c>
      <c r="S3517">
        <v>11.04</v>
      </c>
      <c r="T3517">
        <v>0.89</v>
      </c>
      <c r="U3517" t="s">
        <v>196</v>
      </c>
    </row>
    <row r="3518" spans="1:21">
      <c r="A3518" t="str">
        <f>"601816"</f>
        <v>601816</v>
      </c>
      <c r="B3518" t="s">
        <v>6838</v>
      </c>
      <c r="C3518">
        <v>0.22</v>
      </c>
      <c r="D3518">
        <v>4.61</v>
      </c>
      <c r="E3518">
        <v>0.01</v>
      </c>
      <c r="F3518">
        <v>4.61</v>
      </c>
      <c r="G3518">
        <v>4.62</v>
      </c>
      <c r="H3518">
        <v>210757</v>
      </c>
      <c r="I3518">
        <v>6925</v>
      </c>
      <c r="J3518">
        <v>0</v>
      </c>
      <c r="K3518">
        <v>0.08</v>
      </c>
      <c r="L3518">
        <v>9681.7</v>
      </c>
      <c r="M3518" t="s">
        <v>6839</v>
      </c>
      <c r="N3518" t="s">
        <v>400</v>
      </c>
      <c r="O3518">
        <v>4.58</v>
      </c>
      <c r="P3518">
        <v>4.62</v>
      </c>
      <c r="Q3518">
        <v>4.57</v>
      </c>
      <c r="R3518">
        <v>4.6</v>
      </c>
      <c r="S3518">
        <v>39.06</v>
      </c>
      <c r="T3518">
        <v>0.58</v>
      </c>
      <c r="U3518" t="s">
        <v>44</v>
      </c>
    </row>
    <row r="3519" spans="1:21">
      <c r="A3519" t="str">
        <f>"601818"</f>
        <v>601818</v>
      </c>
      <c r="B3519" t="s">
        <v>6840</v>
      </c>
      <c r="C3519">
        <v>0.9</v>
      </c>
      <c r="D3519">
        <v>3.36</v>
      </c>
      <c r="E3519">
        <v>0.03</v>
      </c>
      <c r="F3519">
        <v>3.35</v>
      </c>
      <c r="G3519">
        <v>3.36</v>
      </c>
      <c r="H3519">
        <v>552949</v>
      </c>
      <c r="I3519">
        <v>13489</v>
      </c>
      <c r="J3519">
        <v>0</v>
      </c>
      <c r="K3519">
        <v>0.13</v>
      </c>
      <c r="L3519">
        <v>18519.76</v>
      </c>
      <c r="M3519" t="s">
        <v>6841</v>
      </c>
      <c r="N3519" t="s">
        <v>23</v>
      </c>
      <c r="O3519">
        <v>3.33</v>
      </c>
      <c r="P3519">
        <v>3.37</v>
      </c>
      <c r="Q3519">
        <v>3.32</v>
      </c>
      <c r="R3519">
        <v>3.33</v>
      </c>
      <c r="S3519">
        <v>3.88</v>
      </c>
      <c r="T3519">
        <v>0.98</v>
      </c>
      <c r="U3519" t="s">
        <v>44</v>
      </c>
    </row>
    <row r="3520" spans="1:21">
      <c r="A3520" t="str">
        <f>"601825"</f>
        <v>601825</v>
      </c>
      <c r="B3520" t="s">
        <v>6842</v>
      </c>
      <c r="C3520">
        <v>0.72</v>
      </c>
      <c r="D3520">
        <v>7</v>
      </c>
      <c r="E3520">
        <v>0.05</v>
      </c>
      <c r="F3520">
        <v>6.99</v>
      </c>
      <c r="G3520">
        <v>7</v>
      </c>
      <c r="H3520">
        <v>144774</v>
      </c>
      <c r="I3520">
        <v>1438</v>
      </c>
      <c r="J3520">
        <v>0</v>
      </c>
      <c r="K3520">
        <v>1.5</v>
      </c>
      <c r="L3520">
        <v>10095.25</v>
      </c>
      <c r="M3520" t="s">
        <v>6843</v>
      </c>
      <c r="N3520" t="s">
        <v>23</v>
      </c>
      <c r="O3520">
        <v>6.95</v>
      </c>
      <c r="P3520">
        <v>7.01</v>
      </c>
      <c r="Q3520">
        <v>6.93</v>
      </c>
      <c r="R3520">
        <v>6.95</v>
      </c>
      <c r="S3520">
        <v>6.6</v>
      </c>
      <c r="T3520">
        <v>1.36</v>
      </c>
      <c r="U3520" t="s">
        <v>848</v>
      </c>
    </row>
    <row r="3521" spans="1:21">
      <c r="A3521" t="str">
        <f>"601827"</f>
        <v>601827</v>
      </c>
      <c r="B3521" t="s">
        <v>6844</v>
      </c>
      <c r="C3521">
        <v>-0.23</v>
      </c>
      <c r="D3521">
        <v>8.78</v>
      </c>
      <c r="E3521">
        <v>-0.02</v>
      </c>
      <c r="F3521">
        <v>8.78</v>
      </c>
      <c r="G3521">
        <v>8.79</v>
      </c>
      <c r="H3521">
        <v>88511</v>
      </c>
      <c r="I3521">
        <v>1753</v>
      </c>
      <c r="J3521">
        <v>0.23</v>
      </c>
      <c r="K3521">
        <v>1.11</v>
      </c>
      <c r="L3521">
        <v>7736.01</v>
      </c>
      <c r="M3521" t="s">
        <v>6845</v>
      </c>
      <c r="N3521" t="s">
        <v>33</v>
      </c>
      <c r="O3521">
        <v>8.77</v>
      </c>
      <c r="P3521">
        <v>8.8</v>
      </c>
      <c r="Q3521">
        <v>8.69</v>
      </c>
      <c r="R3521">
        <v>8.8</v>
      </c>
      <c r="S3521">
        <v>10.09</v>
      </c>
      <c r="T3521">
        <v>0.84</v>
      </c>
      <c r="U3521" t="s">
        <v>314</v>
      </c>
    </row>
    <row r="3522" spans="1:21">
      <c r="A3522" t="str">
        <f>"601828"</f>
        <v>601828</v>
      </c>
      <c r="B3522" t="s">
        <v>6846</v>
      </c>
      <c r="C3522">
        <v>0.11</v>
      </c>
      <c r="D3522">
        <v>8.82</v>
      </c>
      <c r="E3522">
        <v>0.01</v>
      </c>
      <c r="F3522">
        <v>8.81</v>
      </c>
      <c r="G3522">
        <v>8.82</v>
      </c>
      <c r="H3522">
        <v>54025</v>
      </c>
      <c r="I3522">
        <v>1083</v>
      </c>
      <c r="J3522">
        <v>0</v>
      </c>
      <c r="K3522">
        <v>0.17</v>
      </c>
      <c r="L3522">
        <v>4754.2</v>
      </c>
      <c r="M3522" t="s">
        <v>6847</v>
      </c>
      <c r="N3522" t="s">
        <v>66</v>
      </c>
      <c r="O3522">
        <v>8.82</v>
      </c>
      <c r="P3522">
        <v>8.85</v>
      </c>
      <c r="Q3522">
        <v>8.75</v>
      </c>
      <c r="R3522">
        <v>8.81</v>
      </c>
      <c r="S3522">
        <v>12.6</v>
      </c>
      <c r="T3522">
        <v>0.92</v>
      </c>
      <c r="U3522" t="s">
        <v>848</v>
      </c>
    </row>
    <row r="3523" spans="1:21">
      <c r="A3523" t="str">
        <f>"601838"</f>
        <v>601838</v>
      </c>
      <c r="B3523" t="s">
        <v>6848</v>
      </c>
      <c r="C3523">
        <v>2.01</v>
      </c>
      <c r="D3523">
        <v>11.66</v>
      </c>
      <c r="E3523">
        <v>0.23</v>
      </c>
      <c r="F3523">
        <v>11.65</v>
      </c>
      <c r="G3523">
        <v>11.66</v>
      </c>
      <c r="H3523">
        <v>119845</v>
      </c>
      <c r="I3523">
        <v>1105</v>
      </c>
      <c r="J3523">
        <v>0.09</v>
      </c>
      <c r="K3523">
        <v>0.33</v>
      </c>
      <c r="L3523">
        <v>13858.58</v>
      </c>
      <c r="M3523" t="s">
        <v>6849</v>
      </c>
      <c r="N3523" t="s">
        <v>23</v>
      </c>
      <c r="O3523">
        <v>11.45</v>
      </c>
      <c r="P3523">
        <v>11.7</v>
      </c>
      <c r="Q3523">
        <v>11.42</v>
      </c>
      <c r="R3523">
        <v>11.43</v>
      </c>
      <c r="S3523">
        <v>6.16</v>
      </c>
      <c r="T3523">
        <v>0.81</v>
      </c>
      <c r="U3523" t="s">
        <v>196</v>
      </c>
    </row>
    <row r="3524" spans="1:21">
      <c r="A3524" t="str">
        <f>"601857"</f>
        <v>601857</v>
      </c>
      <c r="B3524" t="s">
        <v>6850</v>
      </c>
      <c r="C3524">
        <v>1.26</v>
      </c>
      <c r="D3524">
        <v>4.83</v>
      </c>
      <c r="E3524">
        <v>0.06</v>
      </c>
      <c r="F3524">
        <v>4.83</v>
      </c>
      <c r="G3524">
        <v>4.84</v>
      </c>
      <c r="H3524">
        <v>1502051</v>
      </c>
      <c r="I3524">
        <v>14341</v>
      </c>
      <c r="J3524">
        <v>-0.2</v>
      </c>
      <c r="K3524">
        <v>0.09</v>
      </c>
      <c r="L3524">
        <v>72149.68</v>
      </c>
      <c r="M3524" t="s">
        <v>6851</v>
      </c>
      <c r="N3524" t="s">
        <v>996</v>
      </c>
      <c r="O3524">
        <v>4.77</v>
      </c>
      <c r="P3524">
        <v>4.85</v>
      </c>
      <c r="Q3524">
        <v>4.74</v>
      </c>
      <c r="R3524">
        <v>4.77</v>
      </c>
      <c r="S3524">
        <v>8.83</v>
      </c>
      <c r="T3524">
        <v>1.07</v>
      </c>
      <c r="U3524" t="s">
        <v>44</v>
      </c>
    </row>
    <row r="3525" spans="1:21">
      <c r="A3525" t="str">
        <f>"601858"</f>
        <v>601858</v>
      </c>
      <c r="B3525" t="s">
        <v>6852</v>
      </c>
      <c r="C3525">
        <v>1.72</v>
      </c>
      <c r="D3525">
        <v>8.26</v>
      </c>
      <c r="E3525">
        <v>0.14</v>
      </c>
      <c r="F3525">
        <v>8.26</v>
      </c>
      <c r="G3525">
        <v>8.27</v>
      </c>
      <c r="H3525">
        <v>18759</v>
      </c>
      <c r="I3525">
        <v>232</v>
      </c>
      <c r="J3525">
        <v>0</v>
      </c>
      <c r="K3525">
        <v>0.24</v>
      </c>
      <c r="L3525">
        <v>1538.06</v>
      </c>
      <c r="M3525" t="s">
        <v>6853</v>
      </c>
      <c r="N3525" t="s">
        <v>650</v>
      </c>
      <c r="O3525">
        <v>8.07</v>
      </c>
      <c r="P3525">
        <v>8.29</v>
      </c>
      <c r="Q3525">
        <v>8.07</v>
      </c>
      <c r="R3525">
        <v>8.12</v>
      </c>
      <c r="S3525">
        <v>16.57</v>
      </c>
      <c r="T3525">
        <v>0.66</v>
      </c>
      <c r="U3525" t="s">
        <v>44</v>
      </c>
    </row>
    <row r="3526" spans="1:21">
      <c r="A3526" t="str">
        <f>"601860"</f>
        <v>601860</v>
      </c>
      <c r="B3526" t="s">
        <v>6854</v>
      </c>
      <c r="C3526">
        <v>0.95</v>
      </c>
      <c r="D3526">
        <v>3.19</v>
      </c>
      <c r="E3526">
        <v>0.03</v>
      </c>
      <c r="F3526">
        <v>3.18</v>
      </c>
      <c r="G3526">
        <v>3.19</v>
      </c>
      <c r="H3526">
        <v>169060</v>
      </c>
      <c r="I3526">
        <v>1705</v>
      </c>
      <c r="J3526">
        <v>-0.3</v>
      </c>
      <c r="K3526">
        <v>0.96</v>
      </c>
      <c r="L3526">
        <v>5361.87</v>
      </c>
      <c r="M3526" t="s">
        <v>6855</v>
      </c>
      <c r="N3526" t="s">
        <v>23</v>
      </c>
      <c r="O3526">
        <v>3.17</v>
      </c>
      <c r="P3526">
        <v>3.2</v>
      </c>
      <c r="Q3526">
        <v>3.15</v>
      </c>
      <c r="R3526">
        <v>3.16</v>
      </c>
      <c r="S3526">
        <v>7.37</v>
      </c>
      <c r="T3526">
        <v>1.78</v>
      </c>
      <c r="U3526" t="s">
        <v>102</v>
      </c>
    </row>
    <row r="3527" spans="1:21">
      <c r="A3527" t="str">
        <f>"601865"</f>
        <v>601865</v>
      </c>
      <c r="B3527" t="s">
        <v>6856</v>
      </c>
      <c r="C3527">
        <v>1.93</v>
      </c>
      <c r="D3527">
        <v>47.45</v>
      </c>
      <c r="E3527">
        <v>0.9</v>
      </c>
      <c r="F3527">
        <v>47.44</v>
      </c>
      <c r="G3527">
        <v>47.45</v>
      </c>
      <c r="H3527">
        <v>111035</v>
      </c>
      <c r="I3527">
        <v>1072</v>
      </c>
      <c r="J3527">
        <v>0.13</v>
      </c>
      <c r="K3527">
        <v>2.08</v>
      </c>
      <c r="L3527">
        <v>52413.68</v>
      </c>
      <c r="M3527" t="s">
        <v>6857</v>
      </c>
      <c r="N3527" t="s">
        <v>55</v>
      </c>
      <c r="O3527">
        <v>46.1</v>
      </c>
      <c r="P3527">
        <v>48.01</v>
      </c>
      <c r="Q3527">
        <v>46.07</v>
      </c>
      <c r="R3527">
        <v>46.55</v>
      </c>
      <c r="S3527">
        <v>44.5</v>
      </c>
      <c r="T3527">
        <v>0.95</v>
      </c>
      <c r="U3527" t="s">
        <v>200</v>
      </c>
    </row>
    <row r="3528" spans="1:21">
      <c r="A3528" t="str">
        <f>"601866"</f>
        <v>601866</v>
      </c>
      <c r="B3528" t="s">
        <v>6858</v>
      </c>
      <c r="C3528">
        <v>1.31</v>
      </c>
      <c r="D3528">
        <v>3.09</v>
      </c>
      <c r="E3528">
        <v>0.04</v>
      </c>
      <c r="F3528">
        <v>3.09</v>
      </c>
      <c r="G3528">
        <v>3.1</v>
      </c>
      <c r="H3528">
        <v>625576</v>
      </c>
      <c r="I3528">
        <v>16534</v>
      </c>
      <c r="J3528">
        <v>-0.31</v>
      </c>
      <c r="K3528">
        <v>0.79</v>
      </c>
      <c r="L3528">
        <v>19162.39</v>
      </c>
      <c r="M3528" t="s">
        <v>6859</v>
      </c>
      <c r="N3528" t="s">
        <v>327</v>
      </c>
      <c r="O3528">
        <v>3.05</v>
      </c>
      <c r="P3528">
        <v>3.11</v>
      </c>
      <c r="Q3528">
        <v>3.01</v>
      </c>
      <c r="R3528">
        <v>3.05</v>
      </c>
      <c r="S3528">
        <v>6.75</v>
      </c>
      <c r="T3528">
        <v>1</v>
      </c>
      <c r="U3528" t="s">
        <v>848</v>
      </c>
    </row>
    <row r="3529" spans="1:21">
      <c r="A3529" t="str">
        <f>"601868"</f>
        <v>601868</v>
      </c>
      <c r="B3529" t="s">
        <v>6860</v>
      </c>
      <c r="C3529">
        <v>0</v>
      </c>
      <c r="D3529">
        <v>2.14</v>
      </c>
      <c r="E3529">
        <v>0</v>
      </c>
      <c r="F3529">
        <v>2.13</v>
      </c>
      <c r="G3529">
        <v>2.14</v>
      </c>
      <c r="H3529">
        <v>2435863</v>
      </c>
      <c r="I3529">
        <v>25183</v>
      </c>
      <c r="J3529">
        <v>0</v>
      </c>
      <c r="K3529">
        <v>2.09</v>
      </c>
      <c r="L3529">
        <v>51697.91</v>
      </c>
      <c r="M3529" t="s">
        <v>6861</v>
      </c>
      <c r="N3529" t="s">
        <v>50</v>
      </c>
      <c r="O3529">
        <v>2.13</v>
      </c>
      <c r="P3529">
        <v>2.14</v>
      </c>
      <c r="Q3529">
        <v>2.11</v>
      </c>
      <c r="R3529">
        <v>2.14</v>
      </c>
      <c r="S3529">
        <v>19.91</v>
      </c>
      <c r="T3529">
        <v>0.72</v>
      </c>
      <c r="U3529" t="s">
        <v>44</v>
      </c>
    </row>
    <row r="3530" spans="1:21">
      <c r="A3530" t="str">
        <f>"601869"</f>
        <v>601869</v>
      </c>
      <c r="B3530" t="s">
        <v>6862</v>
      </c>
      <c r="C3530">
        <v>-1.52</v>
      </c>
      <c r="D3530">
        <v>31.8</v>
      </c>
      <c r="E3530">
        <v>-0.49</v>
      </c>
      <c r="F3530">
        <v>31.79</v>
      </c>
      <c r="G3530">
        <v>31.8</v>
      </c>
      <c r="H3530">
        <v>39230</v>
      </c>
      <c r="I3530">
        <v>699</v>
      </c>
      <c r="J3530">
        <v>0.13</v>
      </c>
      <c r="K3530">
        <v>0.97</v>
      </c>
      <c r="L3530">
        <v>12484.27</v>
      </c>
      <c r="M3530" t="s">
        <v>6863</v>
      </c>
      <c r="N3530" t="s">
        <v>153</v>
      </c>
      <c r="O3530">
        <v>31.67</v>
      </c>
      <c r="P3530">
        <v>32.23</v>
      </c>
      <c r="Q3530">
        <v>31.49</v>
      </c>
      <c r="R3530">
        <v>32.29</v>
      </c>
      <c r="S3530">
        <v>32.04</v>
      </c>
      <c r="T3530">
        <v>0.64</v>
      </c>
      <c r="U3530" t="s">
        <v>267</v>
      </c>
    </row>
    <row r="3531" spans="1:21">
      <c r="A3531" t="str">
        <f>"601872"</f>
        <v>601872</v>
      </c>
      <c r="B3531" t="s">
        <v>6864</v>
      </c>
      <c r="C3531">
        <v>0.7</v>
      </c>
      <c r="D3531">
        <v>4.32</v>
      </c>
      <c r="E3531">
        <v>0.03</v>
      </c>
      <c r="F3531">
        <v>4.32</v>
      </c>
      <c r="G3531">
        <v>4.33</v>
      </c>
      <c r="H3531">
        <v>227877</v>
      </c>
      <c r="I3531">
        <v>7223</v>
      </c>
      <c r="J3531">
        <v>0</v>
      </c>
      <c r="K3531">
        <v>0.34</v>
      </c>
      <c r="L3531">
        <v>9770.89</v>
      </c>
      <c r="M3531" t="s">
        <v>6865</v>
      </c>
      <c r="N3531" t="s">
        <v>327</v>
      </c>
      <c r="O3531">
        <v>4.26</v>
      </c>
      <c r="P3531">
        <v>4.33</v>
      </c>
      <c r="Q3531">
        <v>4.23</v>
      </c>
      <c r="R3531">
        <v>4.29</v>
      </c>
      <c r="S3531">
        <v>16.59</v>
      </c>
      <c r="T3531">
        <v>0.69</v>
      </c>
      <c r="U3531" t="s">
        <v>848</v>
      </c>
    </row>
    <row r="3532" spans="1:21">
      <c r="A3532" t="str">
        <f>"601877"</f>
        <v>601877</v>
      </c>
      <c r="B3532" t="s">
        <v>6866</v>
      </c>
      <c r="C3532">
        <v>3.35</v>
      </c>
      <c r="D3532">
        <v>54.55</v>
      </c>
      <c r="E3532">
        <v>1.77</v>
      </c>
      <c r="F3532">
        <v>54.55</v>
      </c>
      <c r="G3532">
        <v>54.56</v>
      </c>
      <c r="H3532">
        <v>212235</v>
      </c>
      <c r="I3532">
        <v>4983</v>
      </c>
      <c r="J3532">
        <v>0.48</v>
      </c>
      <c r="K3532">
        <v>0.99</v>
      </c>
      <c r="L3532">
        <v>114350.2</v>
      </c>
      <c r="M3532" t="s">
        <v>6867</v>
      </c>
      <c r="N3532" t="s">
        <v>47</v>
      </c>
      <c r="O3532">
        <v>52.5</v>
      </c>
      <c r="P3532">
        <v>55</v>
      </c>
      <c r="Q3532">
        <v>52.19</v>
      </c>
      <c r="R3532">
        <v>52.78</v>
      </c>
      <c r="S3532">
        <v>31.66</v>
      </c>
      <c r="T3532">
        <v>0.97</v>
      </c>
      <c r="U3532" t="s">
        <v>200</v>
      </c>
    </row>
    <row r="3533" spans="1:21">
      <c r="A3533" t="str">
        <f>"601878"</f>
        <v>601878</v>
      </c>
      <c r="B3533" t="s">
        <v>6868</v>
      </c>
      <c r="C3533">
        <v>2.35</v>
      </c>
      <c r="D3533">
        <v>12.19</v>
      </c>
      <c r="E3533">
        <v>0.28</v>
      </c>
      <c r="F3533">
        <v>12.19</v>
      </c>
      <c r="G3533">
        <v>12.2</v>
      </c>
      <c r="H3533">
        <v>462234</v>
      </c>
      <c r="I3533">
        <v>6619</v>
      </c>
      <c r="J3533">
        <v>0</v>
      </c>
      <c r="K3533">
        <v>1.19</v>
      </c>
      <c r="L3533">
        <v>56131.08</v>
      </c>
      <c r="M3533" t="s">
        <v>6869</v>
      </c>
      <c r="N3533" t="s">
        <v>213</v>
      </c>
      <c r="O3533">
        <v>11.9</v>
      </c>
      <c r="P3533">
        <v>12.35</v>
      </c>
      <c r="Q3533">
        <v>11.88</v>
      </c>
      <c r="R3533">
        <v>11.91</v>
      </c>
      <c r="S3533">
        <v>22.32</v>
      </c>
      <c r="T3533">
        <v>1.27</v>
      </c>
      <c r="U3533" t="s">
        <v>200</v>
      </c>
    </row>
    <row r="3534" spans="1:21">
      <c r="A3534" t="str">
        <f>"601880"</f>
        <v>601880</v>
      </c>
      <c r="B3534" t="s">
        <v>6870</v>
      </c>
      <c r="C3534">
        <v>0</v>
      </c>
      <c r="D3534">
        <v>1.67</v>
      </c>
      <c r="E3534">
        <v>0</v>
      </c>
      <c r="F3534">
        <v>1.67</v>
      </c>
      <c r="G3534">
        <v>1.68</v>
      </c>
      <c r="H3534">
        <v>422486</v>
      </c>
      <c r="I3534">
        <v>8916</v>
      </c>
      <c r="J3534">
        <v>0</v>
      </c>
      <c r="K3534">
        <v>0.24</v>
      </c>
      <c r="L3534">
        <v>7064.18</v>
      </c>
      <c r="M3534" t="s">
        <v>6871</v>
      </c>
      <c r="N3534" t="s">
        <v>169</v>
      </c>
      <c r="O3534">
        <v>1.67</v>
      </c>
      <c r="P3534">
        <v>1.68</v>
      </c>
      <c r="Q3534">
        <v>1.66</v>
      </c>
      <c r="R3534">
        <v>1.67</v>
      </c>
      <c r="S3534">
        <v>20.06</v>
      </c>
      <c r="T3534">
        <v>1.31</v>
      </c>
      <c r="U3534" t="s">
        <v>141</v>
      </c>
    </row>
    <row r="3535" spans="1:21">
      <c r="A3535" t="str">
        <f>"601881"</f>
        <v>601881</v>
      </c>
      <c r="B3535" t="s">
        <v>6872</v>
      </c>
      <c r="C3535">
        <v>1.7</v>
      </c>
      <c r="D3535">
        <v>10.77</v>
      </c>
      <c r="E3535">
        <v>0.18</v>
      </c>
      <c r="F3535">
        <v>10.77</v>
      </c>
      <c r="G3535">
        <v>10.78</v>
      </c>
      <c r="H3535">
        <v>336955</v>
      </c>
      <c r="I3535">
        <v>3404</v>
      </c>
      <c r="J3535">
        <v>-0.08</v>
      </c>
      <c r="K3535">
        <v>0.52</v>
      </c>
      <c r="L3535">
        <v>35900.32</v>
      </c>
      <c r="M3535" t="s">
        <v>6873</v>
      </c>
      <c r="N3535" t="s">
        <v>213</v>
      </c>
      <c r="O3535">
        <v>10.65</v>
      </c>
      <c r="P3535">
        <v>10.85</v>
      </c>
      <c r="Q3535">
        <v>10.42</v>
      </c>
      <c r="R3535">
        <v>10.59</v>
      </c>
      <c r="S3535">
        <v>11.06</v>
      </c>
      <c r="T3535">
        <v>1.13</v>
      </c>
      <c r="U3535" t="s">
        <v>44</v>
      </c>
    </row>
    <row r="3536" spans="1:21">
      <c r="A3536" t="str">
        <f>"601882"</f>
        <v>601882</v>
      </c>
      <c r="B3536" t="s">
        <v>6874</v>
      </c>
      <c r="C3536">
        <v>0.3</v>
      </c>
      <c r="D3536">
        <v>26.81</v>
      </c>
      <c r="E3536">
        <v>0.08</v>
      </c>
      <c r="F3536">
        <v>26.8</v>
      </c>
      <c r="G3536">
        <v>26.81</v>
      </c>
      <c r="H3536">
        <v>60069</v>
      </c>
      <c r="I3536">
        <v>750</v>
      </c>
      <c r="J3536">
        <v>-0.1</v>
      </c>
      <c r="K3536">
        <v>1.15</v>
      </c>
      <c r="L3536">
        <v>15960.35</v>
      </c>
      <c r="M3536" t="s">
        <v>6875</v>
      </c>
      <c r="N3536" t="s">
        <v>247</v>
      </c>
      <c r="O3536">
        <v>26.7</v>
      </c>
      <c r="P3536">
        <v>27.1</v>
      </c>
      <c r="Q3536">
        <v>25.9</v>
      </c>
      <c r="R3536">
        <v>26.73</v>
      </c>
      <c r="S3536">
        <v>39.94</v>
      </c>
      <c r="T3536">
        <v>0.82</v>
      </c>
      <c r="U3536" t="s">
        <v>200</v>
      </c>
    </row>
    <row r="3537" spans="1:21">
      <c r="A3537" t="str">
        <f>"601886"</f>
        <v>601886</v>
      </c>
      <c r="B3537" t="s">
        <v>6876</v>
      </c>
      <c r="C3537">
        <v>1.1</v>
      </c>
      <c r="D3537">
        <v>6.42</v>
      </c>
      <c r="E3537">
        <v>0.07</v>
      </c>
      <c r="F3537">
        <v>6.42</v>
      </c>
      <c r="G3537">
        <v>6.43</v>
      </c>
      <c r="H3537">
        <v>57806</v>
      </c>
      <c r="I3537">
        <v>629</v>
      </c>
      <c r="J3537">
        <v>0.16</v>
      </c>
      <c r="K3537">
        <v>0.5</v>
      </c>
      <c r="L3537">
        <v>3675.62</v>
      </c>
      <c r="M3537" t="s">
        <v>6877</v>
      </c>
      <c r="N3537" t="s">
        <v>1189</v>
      </c>
      <c r="O3537">
        <v>6.35</v>
      </c>
      <c r="P3537">
        <v>6.45</v>
      </c>
      <c r="Q3537">
        <v>6.23</v>
      </c>
      <c r="R3537">
        <v>6.35</v>
      </c>
      <c r="S3537">
        <v>10.63</v>
      </c>
      <c r="T3537">
        <v>1.38</v>
      </c>
      <c r="U3537" t="s">
        <v>44</v>
      </c>
    </row>
    <row r="3538" spans="1:21">
      <c r="A3538" t="str">
        <f>"601888"</f>
        <v>601888</v>
      </c>
      <c r="B3538" t="s">
        <v>6878</v>
      </c>
      <c r="C3538">
        <v>0.54</v>
      </c>
      <c r="D3538">
        <v>225.3</v>
      </c>
      <c r="E3538">
        <v>1.2</v>
      </c>
      <c r="F3538">
        <v>225.3</v>
      </c>
      <c r="G3538">
        <v>225.35</v>
      </c>
      <c r="H3538">
        <v>51376</v>
      </c>
      <c r="I3538">
        <v>592</v>
      </c>
      <c r="J3538">
        <v>-0.11</v>
      </c>
      <c r="K3538">
        <v>0.26</v>
      </c>
      <c r="L3538">
        <v>115664.47</v>
      </c>
      <c r="M3538" t="s">
        <v>6879</v>
      </c>
      <c r="N3538" t="s">
        <v>489</v>
      </c>
      <c r="O3538">
        <v>224</v>
      </c>
      <c r="P3538">
        <v>226.68</v>
      </c>
      <c r="Q3538">
        <v>223.38</v>
      </c>
      <c r="R3538">
        <v>224.1</v>
      </c>
      <c r="S3538">
        <v>38.86</v>
      </c>
      <c r="T3538">
        <v>0.59</v>
      </c>
      <c r="U3538" t="s">
        <v>44</v>
      </c>
    </row>
    <row r="3539" spans="1:21">
      <c r="A3539" t="str">
        <f>"601890"</f>
        <v>601890</v>
      </c>
      <c r="B3539" t="s">
        <v>6880</v>
      </c>
      <c r="C3539">
        <v>0.99</v>
      </c>
      <c r="D3539">
        <v>9.19</v>
      </c>
      <c r="E3539">
        <v>0.09</v>
      </c>
      <c r="F3539">
        <v>9.19</v>
      </c>
      <c r="G3539">
        <v>9.2</v>
      </c>
      <c r="H3539">
        <v>1657999</v>
      </c>
      <c r="I3539">
        <v>11833</v>
      </c>
      <c r="J3539">
        <v>0</v>
      </c>
      <c r="K3539">
        <v>17.28</v>
      </c>
      <c r="L3539">
        <v>152465.75</v>
      </c>
      <c r="M3539" t="s">
        <v>6881</v>
      </c>
      <c r="N3539" t="s">
        <v>3063</v>
      </c>
      <c r="O3539">
        <v>9.08</v>
      </c>
      <c r="P3539">
        <v>9.52</v>
      </c>
      <c r="Q3539">
        <v>8.87</v>
      </c>
      <c r="R3539">
        <v>9.1</v>
      </c>
      <c r="S3539">
        <v>67.76</v>
      </c>
      <c r="T3539">
        <v>2.1</v>
      </c>
      <c r="U3539" t="s">
        <v>102</v>
      </c>
    </row>
    <row r="3540" spans="1:21">
      <c r="A3540" t="str">
        <f>"601898"</f>
        <v>601898</v>
      </c>
      <c r="B3540" t="s">
        <v>6882</v>
      </c>
      <c r="C3540">
        <v>1.65</v>
      </c>
      <c r="D3540">
        <v>6.15</v>
      </c>
      <c r="E3540">
        <v>0.1</v>
      </c>
      <c r="F3540">
        <v>6.15</v>
      </c>
      <c r="G3540">
        <v>6.16</v>
      </c>
      <c r="H3540">
        <v>343443</v>
      </c>
      <c r="I3540">
        <v>3786</v>
      </c>
      <c r="J3540">
        <v>0</v>
      </c>
      <c r="K3540">
        <v>0.38</v>
      </c>
      <c r="L3540">
        <v>20950.51</v>
      </c>
      <c r="M3540" t="s">
        <v>6883</v>
      </c>
      <c r="N3540" t="s">
        <v>390</v>
      </c>
      <c r="O3540">
        <v>6.04</v>
      </c>
      <c r="P3540">
        <v>6.18</v>
      </c>
      <c r="Q3540">
        <v>6</v>
      </c>
      <c r="R3540">
        <v>6.05</v>
      </c>
      <c r="S3540">
        <v>5.16</v>
      </c>
      <c r="T3540">
        <v>1.11</v>
      </c>
      <c r="U3540" t="s">
        <v>44</v>
      </c>
    </row>
    <row r="3541" spans="1:21">
      <c r="A3541" t="str">
        <f>"601899"</f>
        <v>601899</v>
      </c>
      <c r="B3541" t="s">
        <v>6884</v>
      </c>
      <c r="C3541">
        <v>0.68</v>
      </c>
      <c r="D3541">
        <v>10.43</v>
      </c>
      <c r="E3541">
        <v>0.07</v>
      </c>
      <c r="F3541">
        <v>10.43</v>
      </c>
      <c r="G3541">
        <v>10.44</v>
      </c>
      <c r="H3541">
        <v>1658843</v>
      </c>
      <c r="I3541">
        <v>15995</v>
      </c>
      <c r="J3541">
        <v>0.1</v>
      </c>
      <c r="K3541">
        <v>0.81</v>
      </c>
      <c r="L3541">
        <v>171572.88</v>
      </c>
      <c r="M3541" t="s">
        <v>6885</v>
      </c>
      <c r="N3541" t="s">
        <v>302</v>
      </c>
      <c r="O3541">
        <v>10.36</v>
      </c>
      <c r="P3541">
        <v>10.45</v>
      </c>
      <c r="Q3541">
        <v>10.24</v>
      </c>
      <c r="R3541">
        <v>10.36</v>
      </c>
      <c r="S3541">
        <v>18.22</v>
      </c>
      <c r="T3541">
        <v>1.12</v>
      </c>
      <c r="U3541" t="s">
        <v>339</v>
      </c>
    </row>
    <row r="3542" spans="1:21">
      <c r="A3542" t="str">
        <f>"601900"</f>
        <v>601900</v>
      </c>
      <c r="B3542" t="s">
        <v>6886</v>
      </c>
      <c r="C3542">
        <v>0.53</v>
      </c>
      <c r="D3542">
        <v>7.59</v>
      </c>
      <c r="E3542">
        <v>0.04</v>
      </c>
      <c r="F3542">
        <v>7.58</v>
      </c>
      <c r="G3542">
        <v>7.59</v>
      </c>
      <c r="H3542">
        <v>20234</v>
      </c>
      <c r="I3542">
        <v>181</v>
      </c>
      <c r="J3542">
        <v>0.13</v>
      </c>
      <c r="K3542">
        <v>0.23</v>
      </c>
      <c r="L3542">
        <v>1530.44</v>
      </c>
      <c r="M3542" t="s">
        <v>6887</v>
      </c>
      <c r="N3542" t="s">
        <v>650</v>
      </c>
      <c r="O3542">
        <v>7.6</v>
      </c>
      <c r="P3542">
        <v>7.62</v>
      </c>
      <c r="Q3542">
        <v>7.49</v>
      </c>
      <c r="R3542">
        <v>7.55</v>
      </c>
      <c r="S3542">
        <v>7.3</v>
      </c>
      <c r="T3542">
        <v>0.65</v>
      </c>
      <c r="U3542" t="s">
        <v>183</v>
      </c>
    </row>
    <row r="3543" spans="1:21">
      <c r="A3543" t="str">
        <f>"601901"</f>
        <v>601901</v>
      </c>
      <c r="B3543" t="s">
        <v>6888</v>
      </c>
      <c r="C3543">
        <v>1.28</v>
      </c>
      <c r="D3543">
        <v>7.91</v>
      </c>
      <c r="E3543">
        <v>0.1</v>
      </c>
      <c r="F3543">
        <v>7.9</v>
      </c>
      <c r="G3543">
        <v>7.91</v>
      </c>
      <c r="H3543">
        <v>207396</v>
      </c>
      <c r="I3543">
        <v>2194</v>
      </c>
      <c r="J3543">
        <v>0</v>
      </c>
      <c r="K3543">
        <v>0.25</v>
      </c>
      <c r="L3543">
        <v>16330.9</v>
      </c>
      <c r="M3543" t="s">
        <v>6889</v>
      </c>
      <c r="N3543" t="s">
        <v>213</v>
      </c>
      <c r="O3543">
        <v>7.81</v>
      </c>
      <c r="P3543">
        <v>7.93</v>
      </c>
      <c r="Q3543">
        <v>7.8</v>
      </c>
      <c r="R3543">
        <v>7.81</v>
      </c>
      <c r="S3543">
        <v>25.33</v>
      </c>
      <c r="T3543">
        <v>1.41</v>
      </c>
      <c r="U3543" t="s">
        <v>204</v>
      </c>
    </row>
    <row r="3544" spans="1:21">
      <c r="A3544" t="str">
        <f>"601908"</f>
        <v>601908</v>
      </c>
      <c r="B3544" t="s">
        <v>6890</v>
      </c>
      <c r="C3544">
        <v>1.63</v>
      </c>
      <c r="D3544">
        <v>11.2</v>
      </c>
      <c r="E3544">
        <v>0.18</v>
      </c>
      <c r="F3544">
        <v>11.19</v>
      </c>
      <c r="G3544">
        <v>11.2</v>
      </c>
      <c r="H3544">
        <v>717806</v>
      </c>
      <c r="I3544">
        <v>15892</v>
      </c>
      <c r="J3544">
        <v>0.09</v>
      </c>
      <c r="K3544">
        <v>2.97</v>
      </c>
      <c r="L3544">
        <v>79298.24</v>
      </c>
      <c r="M3544" t="s">
        <v>6891</v>
      </c>
      <c r="N3544" t="s">
        <v>114</v>
      </c>
      <c r="O3544">
        <v>11.06</v>
      </c>
      <c r="P3544">
        <v>11.24</v>
      </c>
      <c r="Q3544">
        <v>10.83</v>
      </c>
      <c r="R3544">
        <v>11.02</v>
      </c>
      <c r="S3544">
        <v>28.69</v>
      </c>
      <c r="T3544">
        <v>1.33</v>
      </c>
      <c r="U3544" t="s">
        <v>44</v>
      </c>
    </row>
    <row r="3545" spans="1:21">
      <c r="A3545" t="str">
        <f>"601916"</f>
        <v>601916</v>
      </c>
      <c r="B3545" t="s">
        <v>6892</v>
      </c>
      <c r="C3545">
        <v>0.58</v>
      </c>
      <c r="D3545">
        <v>3.44</v>
      </c>
      <c r="E3545">
        <v>0.02</v>
      </c>
      <c r="F3545">
        <v>3.44</v>
      </c>
      <c r="G3545">
        <v>3.45</v>
      </c>
      <c r="H3545">
        <v>150633</v>
      </c>
      <c r="I3545">
        <v>958</v>
      </c>
      <c r="J3545">
        <v>-0.28</v>
      </c>
      <c r="K3545">
        <v>0.21</v>
      </c>
      <c r="L3545">
        <v>5168.53</v>
      </c>
      <c r="M3545" t="s">
        <v>6893</v>
      </c>
      <c r="N3545" t="s">
        <v>23</v>
      </c>
      <c r="O3545">
        <v>3.42</v>
      </c>
      <c r="P3545">
        <v>3.45</v>
      </c>
      <c r="Q3545">
        <v>3.41</v>
      </c>
      <c r="R3545">
        <v>3.42</v>
      </c>
      <c r="S3545">
        <v>5.19</v>
      </c>
      <c r="T3545">
        <v>1.38</v>
      </c>
      <c r="U3545" t="s">
        <v>200</v>
      </c>
    </row>
    <row r="3546" spans="1:21">
      <c r="A3546" t="str">
        <f>"601918"</f>
        <v>601918</v>
      </c>
      <c r="B3546" t="s">
        <v>6894</v>
      </c>
      <c r="C3546">
        <v>2.43</v>
      </c>
      <c r="D3546">
        <v>4.22</v>
      </c>
      <c r="E3546">
        <v>0.1</v>
      </c>
      <c r="F3546">
        <v>4.22</v>
      </c>
      <c r="G3546">
        <v>4.23</v>
      </c>
      <c r="H3546">
        <v>559190</v>
      </c>
      <c r="I3546">
        <v>5943</v>
      </c>
      <c r="J3546">
        <v>0</v>
      </c>
      <c r="K3546">
        <v>2.16</v>
      </c>
      <c r="L3546">
        <v>23203.33</v>
      </c>
      <c r="M3546" t="s">
        <v>6895</v>
      </c>
      <c r="N3546" t="s">
        <v>390</v>
      </c>
      <c r="O3546">
        <v>4.12</v>
      </c>
      <c r="P3546">
        <v>4.24</v>
      </c>
      <c r="Q3546">
        <v>4.06</v>
      </c>
      <c r="R3546">
        <v>4.12</v>
      </c>
      <c r="S3546">
        <v>4.51</v>
      </c>
      <c r="T3546">
        <v>1.08</v>
      </c>
      <c r="U3546" t="s">
        <v>193</v>
      </c>
    </row>
    <row r="3547" spans="1:21">
      <c r="A3547" t="str">
        <f>"601919"</f>
        <v>601919</v>
      </c>
      <c r="B3547" t="s">
        <v>6896</v>
      </c>
      <c r="C3547">
        <v>0.8</v>
      </c>
      <c r="D3547">
        <v>15.19</v>
      </c>
      <c r="E3547">
        <v>0.12</v>
      </c>
      <c r="F3547">
        <v>15.18</v>
      </c>
      <c r="G3547">
        <v>15.19</v>
      </c>
      <c r="H3547">
        <v>1349664</v>
      </c>
      <c r="I3547">
        <v>15905</v>
      </c>
      <c r="J3547">
        <v>0</v>
      </c>
      <c r="K3547">
        <v>1.19</v>
      </c>
      <c r="L3547">
        <v>202605.02</v>
      </c>
      <c r="M3547" t="s">
        <v>6897</v>
      </c>
      <c r="N3547" t="s">
        <v>327</v>
      </c>
      <c r="O3547">
        <v>15.07</v>
      </c>
      <c r="P3547">
        <v>15.23</v>
      </c>
      <c r="Q3547">
        <v>14.82</v>
      </c>
      <c r="R3547">
        <v>15.07</v>
      </c>
      <c r="S3547">
        <v>2.7</v>
      </c>
      <c r="T3547">
        <v>0.79</v>
      </c>
      <c r="U3547" t="s">
        <v>360</v>
      </c>
    </row>
    <row r="3548" spans="1:21">
      <c r="A3548" t="str">
        <f>"601921"</f>
        <v>601921</v>
      </c>
      <c r="B3548" t="s">
        <v>6898</v>
      </c>
      <c r="C3548">
        <v>0.57</v>
      </c>
      <c r="D3548">
        <v>8.79</v>
      </c>
      <c r="E3548">
        <v>0.05</v>
      </c>
      <c r="F3548">
        <v>8.79</v>
      </c>
      <c r="G3548">
        <v>8.8</v>
      </c>
      <c r="H3548">
        <v>20757</v>
      </c>
      <c r="I3548">
        <v>521</v>
      </c>
      <c r="J3548">
        <v>0</v>
      </c>
      <c r="K3548">
        <v>0.93</v>
      </c>
      <c r="L3548">
        <v>1821.17</v>
      </c>
      <c r="M3548" t="s">
        <v>6899</v>
      </c>
      <c r="N3548" t="s">
        <v>650</v>
      </c>
      <c r="O3548">
        <v>8.79</v>
      </c>
      <c r="P3548">
        <v>8.8</v>
      </c>
      <c r="Q3548">
        <v>8.73</v>
      </c>
      <c r="R3548">
        <v>8.74</v>
      </c>
      <c r="S3548">
        <v>21.13</v>
      </c>
      <c r="T3548">
        <v>0.53</v>
      </c>
      <c r="U3548" t="s">
        <v>200</v>
      </c>
    </row>
    <row r="3549" spans="1:21">
      <c r="A3549" t="str">
        <f>"601928"</f>
        <v>601928</v>
      </c>
      <c r="B3549" t="s">
        <v>6900</v>
      </c>
      <c r="C3549">
        <v>0.45</v>
      </c>
      <c r="D3549">
        <v>6.77</v>
      </c>
      <c r="E3549">
        <v>0.03</v>
      </c>
      <c r="F3549">
        <v>6.77</v>
      </c>
      <c r="G3549">
        <v>6.79</v>
      </c>
      <c r="H3549">
        <v>70940</v>
      </c>
      <c r="I3549">
        <v>1132</v>
      </c>
      <c r="J3549">
        <v>-0.14</v>
      </c>
      <c r="K3549">
        <v>0.28</v>
      </c>
      <c r="L3549">
        <v>4792.62</v>
      </c>
      <c r="M3549" t="s">
        <v>6901</v>
      </c>
      <c r="N3549" t="s">
        <v>650</v>
      </c>
      <c r="O3549">
        <v>6.75</v>
      </c>
      <c r="P3549">
        <v>6.81</v>
      </c>
      <c r="Q3549">
        <v>6.7</v>
      </c>
      <c r="R3549">
        <v>6.74</v>
      </c>
      <c r="S3549">
        <v>7.27</v>
      </c>
      <c r="T3549">
        <v>0.78</v>
      </c>
      <c r="U3549" t="s">
        <v>102</v>
      </c>
    </row>
    <row r="3550" spans="1:21">
      <c r="A3550" t="str">
        <f>"601929"</f>
        <v>601929</v>
      </c>
      <c r="B3550" t="s">
        <v>6902</v>
      </c>
      <c r="C3550">
        <v>2.07</v>
      </c>
      <c r="D3550">
        <v>1.97</v>
      </c>
      <c r="E3550">
        <v>0.04</v>
      </c>
      <c r="F3550">
        <v>1.96</v>
      </c>
      <c r="G3550">
        <v>1.97</v>
      </c>
      <c r="H3550">
        <v>411194</v>
      </c>
      <c r="I3550">
        <v>3606</v>
      </c>
      <c r="J3550">
        <v>0.51</v>
      </c>
      <c r="K3550">
        <v>1.32</v>
      </c>
      <c r="L3550">
        <v>8152.75</v>
      </c>
      <c r="M3550" t="s">
        <v>6903</v>
      </c>
      <c r="N3550" t="s">
        <v>199</v>
      </c>
      <c r="O3550">
        <v>1.95</v>
      </c>
      <c r="P3550">
        <v>2.04</v>
      </c>
      <c r="Q3550">
        <v>1.95</v>
      </c>
      <c r="R3550">
        <v>1.93</v>
      </c>
      <c r="S3550">
        <v>79.25</v>
      </c>
      <c r="T3550">
        <v>1.99</v>
      </c>
      <c r="U3550" t="s">
        <v>92</v>
      </c>
    </row>
    <row r="3551" spans="1:21">
      <c r="A3551" t="str">
        <f>"601933"</f>
        <v>601933</v>
      </c>
      <c r="B3551" t="s">
        <v>6904</v>
      </c>
      <c r="C3551">
        <v>0.74</v>
      </c>
      <c r="D3551">
        <v>4.06</v>
      </c>
      <c r="E3551">
        <v>0.03</v>
      </c>
      <c r="F3551">
        <v>4.06</v>
      </c>
      <c r="G3551">
        <v>4.07</v>
      </c>
      <c r="H3551">
        <v>212554</v>
      </c>
      <c r="I3551">
        <v>6520</v>
      </c>
      <c r="J3551">
        <v>-0.24</v>
      </c>
      <c r="K3551">
        <v>0.23</v>
      </c>
      <c r="L3551">
        <v>8616.89</v>
      </c>
      <c r="M3551" t="s">
        <v>6905</v>
      </c>
      <c r="N3551" t="s">
        <v>707</v>
      </c>
      <c r="O3551">
        <v>4.03</v>
      </c>
      <c r="P3551">
        <v>4.07</v>
      </c>
      <c r="Q3551">
        <v>4.03</v>
      </c>
      <c r="R3551">
        <v>4.03</v>
      </c>
      <c r="S3551" t="s">
        <v>40</v>
      </c>
      <c r="T3551">
        <v>0.53</v>
      </c>
      <c r="U3551" t="s">
        <v>339</v>
      </c>
    </row>
    <row r="3552" spans="1:21">
      <c r="A3552" t="str">
        <f>"601939"</f>
        <v>601939</v>
      </c>
      <c r="B3552" t="s">
        <v>6906</v>
      </c>
      <c r="C3552">
        <v>0.17</v>
      </c>
      <c r="D3552">
        <v>5.84</v>
      </c>
      <c r="E3552">
        <v>0.01</v>
      </c>
      <c r="F3552">
        <v>5.84</v>
      </c>
      <c r="G3552">
        <v>5.85</v>
      </c>
      <c r="H3552">
        <v>674397</v>
      </c>
      <c r="I3552">
        <v>5560</v>
      </c>
      <c r="J3552">
        <v>-0.16</v>
      </c>
      <c r="K3552">
        <v>0.7</v>
      </c>
      <c r="L3552">
        <v>39302.87</v>
      </c>
      <c r="M3552" t="s">
        <v>6907</v>
      </c>
      <c r="N3552" t="s">
        <v>23</v>
      </c>
      <c r="O3552">
        <v>5.82</v>
      </c>
      <c r="P3552">
        <v>5.86</v>
      </c>
      <c r="Q3552">
        <v>5.8</v>
      </c>
      <c r="R3552">
        <v>5.83</v>
      </c>
      <c r="S3552">
        <v>4.72</v>
      </c>
      <c r="T3552">
        <v>1.17</v>
      </c>
      <c r="U3552" t="s">
        <v>44</v>
      </c>
    </row>
    <row r="3553" spans="1:21">
      <c r="A3553" t="str">
        <f>"601949"</f>
        <v>601949</v>
      </c>
      <c r="B3553" t="s">
        <v>6908</v>
      </c>
      <c r="C3553">
        <v>0.91</v>
      </c>
      <c r="D3553">
        <v>5.57</v>
      </c>
      <c r="E3553">
        <v>0.05</v>
      </c>
      <c r="F3553">
        <v>5.57</v>
      </c>
      <c r="G3553">
        <v>5.58</v>
      </c>
      <c r="H3553">
        <v>44489</v>
      </c>
      <c r="I3553">
        <v>871</v>
      </c>
      <c r="J3553">
        <v>0.18</v>
      </c>
      <c r="K3553">
        <v>0.24</v>
      </c>
      <c r="L3553">
        <v>2463.49</v>
      </c>
      <c r="M3553" t="s">
        <v>777</v>
      </c>
      <c r="N3553" t="s">
        <v>650</v>
      </c>
      <c r="O3553">
        <v>5.54</v>
      </c>
      <c r="P3553">
        <v>5.58</v>
      </c>
      <c r="Q3553">
        <v>5.49</v>
      </c>
      <c r="R3553">
        <v>5.52</v>
      </c>
      <c r="S3553">
        <v>18.31</v>
      </c>
      <c r="T3553">
        <v>0.66</v>
      </c>
      <c r="U3553" t="s">
        <v>44</v>
      </c>
    </row>
    <row r="3554" spans="1:21">
      <c r="A3554" t="str">
        <f>"601952"</f>
        <v>601952</v>
      </c>
      <c r="B3554" t="s">
        <v>6909</v>
      </c>
      <c r="C3554">
        <v>1.54</v>
      </c>
      <c r="D3554">
        <v>11.87</v>
      </c>
      <c r="E3554">
        <v>0.18</v>
      </c>
      <c r="F3554">
        <v>11.87</v>
      </c>
      <c r="G3554">
        <v>11.88</v>
      </c>
      <c r="H3554">
        <v>156920</v>
      </c>
      <c r="I3554">
        <v>2610</v>
      </c>
      <c r="J3554">
        <v>-0.16</v>
      </c>
      <c r="K3554">
        <v>1.14</v>
      </c>
      <c r="L3554">
        <v>18444.16</v>
      </c>
      <c r="M3554" t="s">
        <v>6910</v>
      </c>
      <c r="N3554" t="s">
        <v>639</v>
      </c>
      <c r="O3554">
        <v>11.66</v>
      </c>
      <c r="P3554">
        <v>11.9</v>
      </c>
      <c r="Q3554">
        <v>11.59</v>
      </c>
      <c r="R3554">
        <v>11.69</v>
      </c>
      <c r="S3554">
        <v>22.62</v>
      </c>
      <c r="T3554">
        <v>0.58</v>
      </c>
      <c r="U3554" t="s">
        <v>102</v>
      </c>
    </row>
    <row r="3555" spans="1:21">
      <c r="A3555" t="str">
        <f>"601956"</f>
        <v>601956</v>
      </c>
      <c r="B3555" t="s">
        <v>6911</v>
      </c>
      <c r="C3555">
        <v>0.47</v>
      </c>
      <c r="D3555">
        <v>6.44</v>
      </c>
      <c r="E3555">
        <v>0.03</v>
      </c>
      <c r="F3555">
        <v>6.44</v>
      </c>
      <c r="G3555">
        <v>6.45</v>
      </c>
      <c r="H3555">
        <v>25446</v>
      </c>
      <c r="I3555">
        <v>302</v>
      </c>
      <c r="J3555">
        <v>0.16</v>
      </c>
      <c r="K3555">
        <v>1.23</v>
      </c>
      <c r="L3555">
        <v>1631.25</v>
      </c>
      <c r="M3555" t="s">
        <v>6912</v>
      </c>
      <c r="N3555" t="s">
        <v>60</v>
      </c>
      <c r="O3555">
        <v>6.4</v>
      </c>
      <c r="P3555">
        <v>6.48</v>
      </c>
      <c r="Q3555">
        <v>6.34</v>
      </c>
      <c r="R3555">
        <v>6.41</v>
      </c>
      <c r="S3555">
        <v>107.46</v>
      </c>
      <c r="T3555">
        <v>0.88</v>
      </c>
      <c r="U3555" t="s">
        <v>267</v>
      </c>
    </row>
    <row r="3556" spans="1:21">
      <c r="A3556" t="str">
        <f>"601958"</f>
        <v>601958</v>
      </c>
      <c r="B3556" t="s">
        <v>6913</v>
      </c>
      <c r="C3556">
        <v>1</v>
      </c>
      <c r="D3556">
        <v>7.1</v>
      </c>
      <c r="E3556">
        <v>0.07</v>
      </c>
      <c r="F3556">
        <v>7.1</v>
      </c>
      <c r="G3556">
        <v>7.11</v>
      </c>
      <c r="H3556">
        <v>147149</v>
      </c>
      <c r="I3556">
        <v>1912</v>
      </c>
      <c r="J3556">
        <v>-0.13</v>
      </c>
      <c r="K3556">
        <v>0.46</v>
      </c>
      <c r="L3556">
        <v>10404.68</v>
      </c>
      <c r="M3556" t="s">
        <v>6914</v>
      </c>
      <c r="N3556" t="s">
        <v>523</v>
      </c>
      <c r="O3556">
        <v>7.01</v>
      </c>
      <c r="P3556">
        <v>7.12</v>
      </c>
      <c r="Q3556">
        <v>6.99</v>
      </c>
      <c r="R3556">
        <v>7.03</v>
      </c>
      <c r="S3556">
        <v>40.81</v>
      </c>
      <c r="T3556">
        <v>0.88</v>
      </c>
      <c r="U3556" t="s">
        <v>317</v>
      </c>
    </row>
    <row r="3557" spans="1:21">
      <c r="A3557" t="str">
        <f>"601963"</f>
        <v>601963</v>
      </c>
      <c r="B3557" t="s">
        <v>6915</v>
      </c>
      <c r="C3557">
        <v>0.58</v>
      </c>
      <c r="D3557">
        <v>8.65</v>
      </c>
      <c r="E3557">
        <v>0.05</v>
      </c>
      <c r="F3557">
        <v>8.65</v>
      </c>
      <c r="G3557">
        <v>8.66</v>
      </c>
      <c r="H3557">
        <v>39966</v>
      </c>
      <c r="I3557">
        <v>438</v>
      </c>
      <c r="J3557">
        <v>0.12</v>
      </c>
      <c r="K3557">
        <v>1.15</v>
      </c>
      <c r="L3557">
        <v>3445.5</v>
      </c>
      <c r="M3557" t="s">
        <v>6916</v>
      </c>
      <c r="N3557" t="s">
        <v>23</v>
      </c>
      <c r="O3557">
        <v>8.6</v>
      </c>
      <c r="P3557">
        <v>8.66</v>
      </c>
      <c r="Q3557">
        <v>8.58</v>
      </c>
      <c r="R3557">
        <v>8.6</v>
      </c>
      <c r="S3557">
        <v>5.54</v>
      </c>
      <c r="T3557">
        <v>1.13</v>
      </c>
      <c r="U3557" t="s">
        <v>314</v>
      </c>
    </row>
    <row r="3558" spans="1:21">
      <c r="A3558" t="str">
        <f>"601965"</f>
        <v>601965</v>
      </c>
      <c r="B3558" t="s">
        <v>6917</v>
      </c>
      <c r="C3558">
        <v>0.05</v>
      </c>
      <c r="D3558">
        <v>19.49</v>
      </c>
      <c r="E3558">
        <v>0.01</v>
      </c>
      <c r="F3558">
        <v>19.47</v>
      </c>
      <c r="G3558">
        <v>19.49</v>
      </c>
      <c r="H3558">
        <v>56756</v>
      </c>
      <c r="I3558">
        <v>419</v>
      </c>
      <c r="J3558">
        <v>0.1</v>
      </c>
      <c r="K3558">
        <v>0.59</v>
      </c>
      <c r="L3558">
        <v>10997.14</v>
      </c>
      <c r="M3558" t="s">
        <v>6918</v>
      </c>
      <c r="N3558" t="s">
        <v>78</v>
      </c>
      <c r="O3558">
        <v>19.57</v>
      </c>
      <c r="P3558">
        <v>19.75</v>
      </c>
      <c r="Q3558">
        <v>18.85</v>
      </c>
      <c r="R3558">
        <v>19.48</v>
      </c>
      <c r="S3558">
        <v>29.16</v>
      </c>
      <c r="T3558">
        <v>0.88</v>
      </c>
      <c r="U3558" t="s">
        <v>314</v>
      </c>
    </row>
    <row r="3559" spans="1:21">
      <c r="A3559" t="str">
        <f>"601966"</f>
        <v>601966</v>
      </c>
      <c r="B3559" t="s">
        <v>6919</v>
      </c>
      <c r="C3559">
        <v>-2.59</v>
      </c>
      <c r="D3559">
        <v>36.85</v>
      </c>
      <c r="E3559">
        <v>-0.98</v>
      </c>
      <c r="F3559">
        <v>36.84</v>
      </c>
      <c r="G3559">
        <v>36.85</v>
      </c>
      <c r="H3559">
        <v>164847</v>
      </c>
      <c r="I3559">
        <v>1090</v>
      </c>
      <c r="J3559">
        <v>-0.1</v>
      </c>
      <c r="K3559">
        <v>1.22</v>
      </c>
      <c r="L3559">
        <v>60246.5</v>
      </c>
      <c r="M3559" t="s">
        <v>6920</v>
      </c>
      <c r="N3559" t="s">
        <v>91</v>
      </c>
      <c r="O3559">
        <v>37.83</v>
      </c>
      <c r="P3559">
        <v>37.83</v>
      </c>
      <c r="Q3559">
        <v>36</v>
      </c>
      <c r="R3559">
        <v>37.83</v>
      </c>
      <c r="S3559">
        <v>40.84</v>
      </c>
      <c r="T3559">
        <v>1.34</v>
      </c>
      <c r="U3559" t="s">
        <v>221</v>
      </c>
    </row>
    <row r="3560" spans="1:21">
      <c r="A3560" t="str">
        <f>"601968"</f>
        <v>601968</v>
      </c>
      <c r="B3560" t="s">
        <v>6921</v>
      </c>
      <c r="C3560">
        <v>-0.61</v>
      </c>
      <c r="D3560">
        <v>9.71</v>
      </c>
      <c r="E3560">
        <v>-0.06</v>
      </c>
      <c r="F3560">
        <v>9.7</v>
      </c>
      <c r="G3560">
        <v>9.71</v>
      </c>
      <c r="H3560">
        <v>17304</v>
      </c>
      <c r="I3560">
        <v>176</v>
      </c>
      <c r="J3560">
        <v>0.21</v>
      </c>
      <c r="K3560">
        <v>0.21</v>
      </c>
      <c r="L3560">
        <v>1678.19</v>
      </c>
      <c r="M3560" t="s">
        <v>6922</v>
      </c>
      <c r="N3560" t="s">
        <v>482</v>
      </c>
      <c r="O3560">
        <v>9.77</v>
      </c>
      <c r="P3560">
        <v>9.8</v>
      </c>
      <c r="Q3560">
        <v>9.6</v>
      </c>
      <c r="R3560">
        <v>9.77</v>
      </c>
      <c r="S3560">
        <v>40.46</v>
      </c>
      <c r="T3560">
        <v>0.68</v>
      </c>
      <c r="U3560" t="s">
        <v>848</v>
      </c>
    </row>
    <row r="3561" spans="1:21">
      <c r="A3561" t="str">
        <f>"601969"</f>
        <v>601969</v>
      </c>
      <c r="B3561" t="s">
        <v>6923</v>
      </c>
      <c r="C3561">
        <v>-1.68</v>
      </c>
      <c r="D3561">
        <v>12.9</v>
      </c>
      <c r="E3561">
        <v>-0.22</v>
      </c>
      <c r="F3561">
        <v>12.89</v>
      </c>
      <c r="G3561">
        <v>12.9</v>
      </c>
      <c r="H3561">
        <v>329923</v>
      </c>
      <c r="I3561">
        <v>6037</v>
      </c>
      <c r="J3561">
        <v>0.23</v>
      </c>
      <c r="K3561">
        <v>1.69</v>
      </c>
      <c r="L3561">
        <v>42213.27</v>
      </c>
      <c r="M3561" t="s">
        <v>6924</v>
      </c>
      <c r="N3561" t="s">
        <v>551</v>
      </c>
      <c r="O3561">
        <v>12.8</v>
      </c>
      <c r="P3561">
        <v>13.09</v>
      </c>
      <c r="Q3561">
        <v>12.58</v>
      </c>
      <c r="R3561">
        <v>13.12</v>
      </c>
      <c r="S3561">
        <v>20.01</v>
      </c>
      <c r="T3561">
        <v>1.22</v>
      </c>
      <c r="U3561" t="s">
        <v>294</v>
      </c>
    </row>
    <row r="3562" spans="1:21">
      <c r="A3562" t="str">
        <f>"601975"</f>
        <v>601975</v>
      </c>
      <c r="B3562" t="s">
        <v>6925</v>
      </c>
      <c r="C3562">
        <v>1.03</v>
      </c>
      <c r="D3562">
        <v>1.96</v>
      </c>
      <c r="E3562">
        <v>0.02</v>
      </c>
      <c r="F3562">
        <v>1.95</v>
      </c>
      <c r="G3562">
        <v>1.96</v>
      </c>
      <c r="H3562">
        <v>163281</v>
      </c>
      <c r="I3562">
        <v>5455</v>
      </c>
      <c r="J3562">
        <v>0</v>
      </c>
      <c r="K3562">
        <v>0.47</v>
      </c>
      <c r="L3562">
        <v>3184.55</v>
      </c>
      <c r="M3562" t="s">
        <v>174</v>
      </c>
      <c r="N3562" t="s">
        <v>327</v>
      </c>
      <c r="O3562">
        <v>1.94</v>
      </c>
      <c r="P3562">
        <v>1.96</v>
      </c>
      <c r="Q3562">
        <v>1.94</v>
      </c>
      <c r="R3562">
        <v>1.94</v>
      </c>
      <c r="S3562">
        <v>27.21</v>
      </c>
      <c r="T3562">
        <v>0.7</v>
      </c>
      <c r="U3562" t="s">
        <v>102</v>
      </c>
    </row>
    <row r="3563" spans="1:21">
      <c r="A3563" t="str">
        <f>"601985"</f>
        <v>601985</v>
      </c>
      <c r="B3563" t="s">
        <v>6926</v>
      </c>
      <c r="C3563">
        <v>4.49</v>
      </c>
      <c r="D3563">
        <v>6.51</v>
      </c>
      <c r="E3563">
        <v>0.28</v>
      </c>
      <c r="F3563">
        <v>6.51</v>
      </c>
      <c r="G3563">
        <v>6.52</v>
      </c>
      <c r="H3563">
        <v>1684527</v>
      </c>
      <c r="I3563">
        <v>18456</v>
      </c>
      <c r="J3563">
        <v>0</v>
      </c>
      <c r="K3563">
        <v>0.99</v>
      </c>
      <c r="L3563">
        <v>107546.12</v>
      </c>
      <c r="M3563" t="s">
        <v>6927</v>
      </c>
      <c r="N3563" t="s">
        <v>114</v>
      </c>
      <c r="O3563">
        <v>6.22</v>
      </c>
      <c r="P3563">
        <v>6.53</v>
      </c>
      <c r="Q3563">
        <v>6.16</v>
      </c>
      <c r="R3563">
        <v>6.23</v>
      </c>
      <c r="S3563">
        <v>13.14</v>
      </c>
      <c r="T3563">
        <v>1.45</v>
      </c>
      <c r="U3563" t="s">
        <v>44</v>
      </c>
    </row>
    <row r="3564" spans="1:21">
      <c r="A3564" t="str">
        <f>"601988"</f>
        <v>601988</v>
      </c>
      <c r="B3564" t="s">
        <v>6928</v>
      </c>
      <c r="C3564">
        <v>0</v>
      </c>
      <c r="D3564">
        <v>3.06</v>
      </c>
      <c r="E3564">
        <v>0</v>
      </c>
      <c r="F3564">
        <v>3.06</v>
      </c>
      <c r="G3564">
        <v>3.07</v>
      </c>
      <c r="H3564">
        <v>637890</v>
      </c>
      <c r="I3564">
        <v>19044</v>
      </c>
      <c r="J3564">
        <v>-0.32</v>
      </c>
      <c r="K3564">
        <v>0.03</v>
      </c>
      <c r="L3564">
        <v>19532.78</v>
      </c>
      <c r="M3564" t="s">
        <v>6929</v>
      </c>
      <c r="N3564" t="s">
        <v>23</v>
      </c>
      <c r="O3564">
        <v>3.06</v>
      </c>
      <c r="P3564">
        <v>3.07</v>
      </c>
      <c r="Q3564">
        <v>3.05</v>
      </c>
      <c r="R3564">
        <v>3.06</v>
      </c>
      <c r="S3564">
        <v>4.13</v>
      </c>
      <c r="T3564">
        <v>0.83</v>
      </c>
      <c r="U3564" t="s">
        <v>44</v>
      </c>
    </row>
    <row r="3565" spans="1:21">
      <c r="A3565" t="str">
        <f>"601989"</f>
        <v>601989</v>
      </c>
      <c r="B3565" t="s">
        <v>6930</v>
      </c>
      <c r="C3565">
        <v>0.24</v>
      </c>
      <c r="D3565">
        <v>4.19</v>
      </c>
      <c r="E3565">
        <v>0.01</v>
      </c>
      <c r="F3565">
        <v>4.18</v>
      </c>
      <c r="G3565">
        <v>4.19</v>
      </c>
      <c r="H3565">
        <v>698157</v>
      </c>
      <c r="I3565">
        <v>3817</v>
      </c>
      <c r="J3565">
        <v>0</v>
      </c>
      <c r="K3565">
        <v>0.32</v>
      </c>
      <c r="L3565">
        <v>29152.27</v>
      </c>
      <c r="M3565" t="s">
        <v>6931</v>
      </c>
      <c r="N3565" t="s">
        <v>3063</v>
      </c>
      <c r="O3565">
        <v>4.17</v>
      </c>
      <c r="P3565">
        <v>4.21</v>
      </c>
      <c r="Q3565">
        <v>4.14</v>
      </c>
      <c r="R3565">
        <v>4.18</v>
      </c>
      <c r="S3565">
        <v>1295.23</v>
      </c>
      <c r="T3565">
        <v>0.73</v>
      </c>
      <c r="U3565" t="s">
        <v>44</v>
      </c>
    </row>
    <row r="3566" spans="1:21">
      <c r="A3566" t="str">
        <f>"601990"</f>
        <v>601990</v>
      </c>
      <c r="B3566" t="s">
        <v>6932</v>
      </c>
      <c r="C3566">
        <v>1.57</v>
      </c>
      <c r="D3566">
        <v>9.71</v>
      </c>
      <c r="E3566">
        <v>0.15</v>
      </c>
      <c r="F3566">
        <v>9.7</v>
      </c>
      <c r="G3566">
        <v>9.71</v>
      </c>
      <c r="H3566">
        <v>209529</v>
      </c>
      <c r="I3566">
        <v>2014</v>
      </c>
      <c r="J3566">
        <v>0</v>
      </c>
      <c r="K3566">
        <v>0.58</v>
      </c>
      <c r="L3566">
        <v>20223.24</v>
      </c>
      <c r="M3566" t="s">
        <v>6933</v>
      </c>
      <c r="N3566" t="s">
        <v>213</v>
      </c>
      <c r="O3566">
        <v>9.59</v>
      </c>
      <c r="P3566">
        <v>9.76</v>
      </c>
      <c r="Q3566">
        <v>9.5</v>
      </c>
      <c r="R3566">
        <v>9.56</v>
      </c>
      <c r="S3566">
        <v>30.4</v>
      </c>
      <c r="T3566">
        <v>1.6</v>
      </c>
      <c r="U3566" t="s">
        <v>102</v>
      </c>
    </row>
    <row r="3567" spans="1:21">
      <c r="A3567" t="str">
        <f>"601991"</f>
        <v>601991</v>
      </c>
      <c r="B3567" t="s">
        <v>6934</v>
      </c>
      <c r="C3567">
        <v>0</v>
      </c>
      <c r="D3567">
        <v>2.53</v>
      </c>
      <c r="E3567">
        <v>0</v>
      </c>
      <c r="F3567">
        <v>2.53</v>
      </c>
      <c r="G3567">
        <v>2.54</v>
      </c>
      <c r="H3567">
        <v>557524</v>
      </c>
      <c r="I3567">
        <v>8103</v>
      </c>
      <c r="J3567">
        <v>-0.38</v>
      </c>
      <c r="K3567">
        <v>0.45</v>
      </c>
      <c r="L3567">
        <v>14053.51</v>
      </c>
      <c r="M3567" t="s">
        <v>6935</v>
      </c>
      <c r="N3567" t="s">
        <v>83</v>
      </c>
      <c r="O3567">
        <v>2.52</v>
      </c>
      <c r="P3567">
        <v>2.54</v>
      </c>
      <c r="Q3567">
        <v>2.5</v>
      </c>
      <c r="R3567">
        <v>2.53</v>
      </c>
      <c r="S3567">
        <v>2609.92</v>
      </c>
      <c r="T3567">
        <v>1.13</v>
      </c>
      <c r="U3567" t="s">
        <v>44</v>
      </c>
    </row>
    <row r="3568" spans="1:21">
      <c r="A3568" t="str">
        <f>"601992"</f>
        <v>601992</v>
      </c>
      <c r="B3568" t="s">
        <v>6936</v>
      </c>
      <c r="C3568">
        <v>1.5</v>
      </c>
      <c r="D3568">
        <v>2.71</v>
      </c>
      <c r="E3568">
        <v>0.04</v>
      </c>
      <c r="F3568">
        <v>2.71</v>
      </c>
      <c r="G3568">
        <v>2.72</v>
      </c>
      <c r="H3568">
        <v>181256</v>
      </c>
      <c r="I3568">
        <v>1930</v>
      </c>
      <c r="J3568">
        <v>0</v>
      </c>
      <c r="K3568">
        <v>0.22</v>
      </c>
      <c r="L3568">
        <v>4862.49</v>
      </c>
      <c r="M3568" t="s">
        <v>6937</v>
      </c>
      <c r="N3568" t="s">
        <v>75</v>
      </c>
      <c r="O3568">
        <v>2.67</v>
      </c>
      <c r="P3568">
        <v>2.72</v>
      </c>
      <c r="Q3568">
        <v>2.65</v>
      </c>
      <c r="R3568">
        <v>2.67</v>
      </c>
      <c r="S3568">
        <v>7.99</v>
      </c>
      <c r="T3568">
        <v>1.25</v>
      </c>
      <c r="U3568" t="s">
        <v>44</v>
      </c>
    </row>
    <row r="3569" spans="1:21">
      <c r="A3569" t="str">
        <f>"601995"</f>
        <v>601995</v>
      </c>
      <c r="B3569" t="s">
        <v>6938</v>
      </c>
      <c r="C3569">
        <v>2.6</v>
      </c>
      <c r="D3569">
        <v>48.22</v>
      </c>
      <c r="E3569">
        <v>1.22</v>
      </c>
      <c r="F3569">
        <v>48.22</v>
      </c>
      <c r="G3569">
        <v>48.23</v>
      </c>
      <c r="H3569">
        <v>189835</v>
      </c>
      <c r="I3569">
        <v>2460</v>
      </c>
      <c r="J3569">
        <v>-0.05</v>
      </c>
      <c r="K3569">
        <v>3.57</v>
      </c>
      <c r="L3569">
        <v>90779.4</v>
      </c>
      <c r="M3569" t="s">
        <v>6939</v>
      </c>
      <c r="N3569" t="s">
        <v>213</v>
      </c>
      <c r="O3569">
        <v>46.95</v>
      </c>
      <c r="P3569">
        <v>48.5</v>
      </c>
      <c r="Q3569">
        <v>46.86</v>
      </c>
      <c r="R3569">
        <v>47</v>
      </c>
      <c r="S3569">
        <v>23.42</v>
      </c>
      <c r="T3569">
        <v>1.62</v>
      </c>
      <c r="U3569" t="s">
        <v>44</v>
      </c>
    </row>
    <row r="3570" spans="1:21">
      <c r="A3570" t="str">
        <f>"601996"</f>
        <v>601996</v>
      </c>
      <c r="B3570" t="s">
        <v>6940</v>
      </c>
      <c r="C3570">
        <v>0.33</v>
      </c>
      <c r="D3570">
        <v>3.03</v>
      </c>
      <c r="E3570">
        <v>0.01</v>
      </c>
      <c r="F3570">
        <v>3.02</v>
      </c>
      <c r="G3570">
        <v>3.03</v>
      </c>
      <c r="H3570">
        <v>89204</v>
      </c>
      <c r="I3570">
        <v>1429</v>
      </c>
      <c r="J3570">
        <v>0</v>
      </c>
      <c r="K3570">
        <v>0.78</v>
      </c>
      <c r="L3570">
        <v>2683.21</v>
      </c>
      <c r="M3570" t="s">
        <v>6941</v>
      </c>
      <c r="N3570" t="s">
        <v>910</v>
      </c>
      <c r="O3570">
        <v>3.01</v>
      </c>
      <c r="P3570">
        <v>3.04</v>
      </c>
      <c r="Q3570">
        <v>2.98</v>
      </c>
      <c r="R3570">
        <v>3.02</v>
      </c>
      <c r="S3570">
        <v>25.72</v>
      </c>
      <c r="T3570">
        <v>0.94</v>
      </c>
      <c r="U3570" t="s">
        <v>342</v>
      </c>
    </row>
    <row r="3571" spans="1:21">
      <c r="A3571" t="str">
        <f>"601997"</f>
        <v>601997</v>
      </c>
      <c r="B3571" t="s">
        <v>6942</v>
      </c>
      <c r="C3571">
        <v>0.62</v>
      </c>
      <c r="D3571">
        <v>6.54</v>
      </c>
      <c r="E3571">
        <v>0.04</v>
      </c>
      <c r="F3571">
        <v>6.54</v>
      </c>
      <c r="G3571">
        <v>6.55</v>
      </c>
      <c r="H3571">
        <v>90939</v>
      </c>
      <c r="I3571">
        <v>597</v>
      </c>
      <c r="J3571">
        <v>-0.14</v>
      </c>
      <c r="K3571">
        <v>0.26</v>
      </c>
      <c r="L3571">
        <v>5934.1</v>
      </c>
      <c r="M3571" t="s">
        <v>6943</v>
      </c>
      <c r="N3571" t="s">
        <v>23</v>
      </c>
      <c r="O3571">
        <v>6.49</v>
      </c>
      <c r="P3571">
        <v>6.56</v>
      </c>
      <c r="Q3571">
        <v>6.48</v>
      </c>
      <c r="R3571">
        <v>6.5</v>
      </c>
      <c r="S3571">
        <v>4.12</v>
      </c>
      <c r="T3571">
        <v>1.23</v>
      </c>
      <c r="U3571" t="s">
        <v>368</v>
      </c>
    </row>
    <row r="3572" spans="1:21">
      <c r="A3572" t="str">
        <f>"601998"</f>
        <v>601998</v>
      </c>
      <c r="B3572" t="s">
        <v>6944</v>
      </c>
      <c r="C3572">
        <v>0.44</v>
      </c>
      <c r="D3572">
        <v>4.52</v>
      </c>
      <c r="E3572">
        <v>0.02</v>
      </c>
      <c r="F3572">
        <v>4.51</v>
      </c>
      <c r="G3572">
        <v>4.52</v>
      </c>
      <c r="H3572">
        <v>210761</v>
      </c>
      <c r="I3572">
        <v>2840</v>
      </c>
      <c r="J3572">
        <v>0.22</v>
      </c>
      <c r="K3572">
        <v>0.06</v>
      </c>
      <c r="L3572">
        <v>9489.22</v>
      </c>
      <c r="M3572" t="s">
        <v>6945</v>
      </c>
      <c r="N3572" t="s">
        <v>23</v>
      </c>
      <c r="O3572">
        <v>4.5</v>
      </c>
      <c r="P3572">
        <v>4.52</v>
      </c>
      <c r="Q3572">
        <v>4.48</v>
      </c>
      <c r="R3572">
        <v>4.5</v>
      </c>
      <c r="S3572">
        <v>3.97</v>
      </c>
      <c r="T3572">
        <v>1.99</v>
      </c>
      <c r="U3572" t="s">
        <v>44</v>
      </c>
    </row>
    <row r="3573" spans="1:21">
      <c r="A3573" t="str">
        <f>"601999"</f>
        <v>601999</v>
      </c>
      <c r="B3573" t="s">
        <v>6946</v>
      </c>
      <c r="C3573">
        <v>0.68</v>
      </c>
      <c r="D3573">
        <v>5.94</v>
      </c>
      <c r="E3573">
        <v>0.04</v>
      </c>
      <c r="F3573">
        <v>5.93</v>
      </c>
      <c r="G3573">
        <v>5.94</v>
      </c>
      <c r="H3573">
        <v>29540</v>
      </c>
      <c r="I3573">
        <v>1219</v>
      </c>
      <c r="J3573">
        <v>-0.16</v>
      </c>
      <c r="K3573">
        <v>0.54</v>
      </c>
      <c r="L3573">
        <v>1752.18</v>
      </c>
      <c r="M3573" t="s">
        <v>2210</v>
      </c>
      <c r="N3573" t="s">
        <v>650</v>
      </c>
      <c r="O3573">
        <v>5.91</v>
      </c>
      <c r="P3573">
        <v>5.97</v>
      </c>
      <c r="Q3573">
        <v>5.88</v>
      </c>
      <c r="R3573">
        <v>5.9</v>
      </c>
      <c r="S3573">
        <v>26.79</v>
      </c>
      <c r="T3573">
        <v>0.71</v>
      </c>
      <c r="U3573" t="s">
        <v>141</v>
      </c>
    </row>
    <row r="3574" spans="1:21">
      <c r="A3574" t="str">
        <f>"603000"</f>
        <v>603000</v>
      </c>
      <c r="B3574" t="s">
        <v>6947</v>
      </c>
      <c r="C3574">
        <v>0.07</v>
      </c>
      <c r="D3574">
        <v>13.54</v>
      </c>
      <c r="E3574">
        <v>0.01</v>
      </c>
      <c r="F3574">
        <v>13.54</v>
      </c>
      <c r="G3574">
        <v>13.55</v>
      </c>
      <c r="H3574">
        <v>95199</v>
      </c>
      <c r="I3574">
        <v>906</v>
      </c>
      <c r="J3574">
        <v>0</v>
      </c>
      <c r="K3574">
        <v>0.86</v>
      </c>
      <c r="L3574">
        <v>12814.25</v>
      </c>
      <c r="M3574" t="s">
        <v>6948</v>
      </c>
      <c r="N3574" t="s">
        <v>479</v>
      </c>
      <c r="O3574">
        <v>13.57</v>
      </c>
      <c r="P3574">
        <v>13.68</v>
      </c>
      <c r="Q3574">
        <v>13.2</v>
      </c>
      <c r="R3574">
        <v>13.53</v>
      </c>
      <c r="S3574">
        <v>141.8</v>
      </c>
      <c r="T3574">
        <v>1.19</v>
      </c>
      <c r="U3574" t="s">
        <v>44</v>
      </c>
    </row>
    <row r="3575" spans="1:21">
      <c r="A3575" t="str">
        <f>"603001"</f>
        <v>603001</v>
      </c>
      <c r="B3575" t="s">
        <v>6949</v>
      </c>
      <c r="C3575">
        <v>-0.38</v>
      </c>
      <c r="D3575">
        <v>7.85</v>
      </c>
      <c r="E3575">
        <v>-0.03</v>
      </c>
      <c r="F3575">
        <v>7.85</v>
      </c>
      <c r="G3575">
        <v>7.86</v>
      </c>
      <c r="H3575">
        <v>17281</v>
      </c>
      <c r="I3575">
        <v>159</v>
      </c>
      <c r="J3575">
        <v>0</v>
      </c>
      <c r="K3575">
        <v>0.43</v>
      </c>
      <c r="L3575">
        <v>1361.52</v>
      </c>
      <c r="M3575" t="s">
        <v>6950</v>
      </c>
      <c r="N3575" t="s">
        <v>1061</v>
      </c>
      <c r="O3575">
        <v>7.88</v>
      </c>
      <c r="P3575">
        <v>7.94</v>
      </c>
      <c r="Q3575">
        <v>7.82</v>
      </c>
      <c r="R3575">
        <v>7.88</v>
      </c>
      <c r="S3575">
        <v>52.18</v>
      </c>
      <c r="T3575">
        <v>0.86</v>
      </c>
      <c r="U3575" t="s">
        <v>200</v>
      </c>
    </row>
    <row r="3576" spans="1:21">
      <c r="A3576" t="str">
        <f>"603002"</f>
        <v>603002</v>
      </c>
      <c r="B3576" t="s">
        <v>6951</v>
      </c>
      <c r="C3576">
        <v>10.03</v>
      </c>
      <c r="D3576">
        <v>8.12</v>
      </c>
      <c r="E3576">
        <v>0.74</v>
      </c>
      <c r="F3576">
        <v>8.12</v>
      </c>
      <c r="G3576" t="s">
        <v>40</v>
      </c>
      <c r="H3576">
        <v>211777</v>
      </c>
      <c r="I3576">
        <v>382</v>
      </c>
      <c r="J3576">
        <v>0</v>
      </c>
      <c r="K3576">
        <v>3.45</v>
      </c>
      <c r="L3576">
        <v>17003.57</v>
      </c>
      <c r="M3576" t="s">
        <v>6952</v>
      </c>
      <c r="N3576" t="s">
        <v>309</v>
      </c>
      <c r="O3576">
        <v>7.5</v>
      </c>
      <c r="P3576">
        <v>8.12</v>
      </c>
      <c r="Q3576">
        <v>7.5</v>
      </c>
      <c r="R3576">
        <v>7.38</v>
      </c>
      <c r="S3576">
        <v>18.25</v>
      </c>
      <c r="T3576">
        <v>2.07</v>
      </c>
      <c r="U3576" t="s">
        <v>183</v>
      </c>
    </row>
    <row r="3577" spans="1:21">
      <c r="A3577" t="str">
        <f>"603003"</f>
        <v>603003</v>
      </c>
      <c r="B3577" t="s">
        <v>6953</v>
      </c>
      <c r="C3577">
        <v>1.19</v>
      </c>
      <c r="D3577">
        <v>6.8</v>
      </c>
      <c r="E3577">
        <v>0.08</v>
      </c>
      <c r="F3577">
        <v>6.79</v>
      </c>
      <c r="G3577">
        <v>6.8</v>
      </c>
      <c r="H3577">
        <v>22422</v>
      </c>
      <c r="I3577">
        <v>67</v>
      </c>
      <c r="J3577">
        <v>0.15</v>
      </c>
      <c r="K3577">
        <v>0.56</v>
      </c>
      <c r="L3577">
        <v>1519.61</v>
      </c>
      <c r="M3577" t="s">
        <v>2575</v>
      </c>
      <c r="N3577" t="s">
        <v>177</v>
      </c>
      <c r="O3577">
        <v>6.77</v>
      </c>
      <c r="P3577">
        <v>6.82</v>
      </c>
      <c r="Q3577">
        <v>6.7</v>
      </c>
      <c r="R3577">
        <v>6.72</v>
      </c>
      <c r="S3577">
        <v>167.39</v>
      </c>
      <c r="T3577">
        <v>0.97</v>
      </c>
      <c r="U3577" t="s">
        <v>848</v>
      </c>
    </row>
    <row r="3578" spans="1:21">
      <c r="A3578" t="str">
        <f>"603005"</f>
        <v>603005</v>
      </c>
      <c r="B3578" t="s">
        <v>6954</v>
      </c>
      <c r="C3578">
        <v>-0.53</v>
      </c>
      <c r="D3578">
        <v>47.32</v>
      </c>
      <c r="E3578">
        <v>-0.25</v>
      </c>
      <c r="F3578">
        <v>47.32</v>
      </c>
      <c r="G3578">
        <v>47.33</v>
      </c>
      <c r="H3578">
        <v>128381</v>
      </c>
      <c r="I3578">
        <v>1302</v>
      </c>
      <c r="J3578">
        <v>0.04</v>
      </c>
      <c r="K3578">
        <v>3.15</v>
      </c>
      <c r="L3578">
        <v>60566.32</v>
      </c>
      <c r="M3578" t="s">
        <v>6955</v>
      </c>
      <c r="N3578" t="s">
        <v>1246</v>
      </c>
      <c r="O3578">
        <v>47.56</v>
      </c>
      <c r="P3578">
        <v>47.95</v>
      </c>
      <c r="Q3578">
        <v>46.62</v>
      </c>
      <c r="R3578">
        <v>47.57</v>
      </c>
      <c r="S3578">
        <v>35.02</v>
      </c>
      <c r="T3578">
        <v>1</v>
      </c>
      <c r="U3578" t="s">
        <v>102</v>
      </c>
    </row>
    <row r="3579" spans="1:21">
      <c r="A3579" t="str">
        <f>"603006"</f>
        <v>603006</v>
      </c>
      <c r="B3579" t="s">
        <v>6956</v>
      </c>
      <c r="C3579">
        <v>2.56</v>
      </c>
      <c r="D3579">
        <v>10.83</v>
      </c>
      <c r="E3579">
        <v>0.27</v>
      </c>
      <c r="F3579">
        <v>10.82</v>
      </c>
      <c r="G3579">
        <v>10.83</v>
      </c>
      <c r="H3579">
        <v>46537</v>
      </c>
      <c r="I3579">
        <v>713</v>
      </c>
      <c r="J3579">
        <v>-0.08</v>
      </c>
      <c r="K3579">
        <v>2.44</v>
      </c>
      <c r="L3579">
        <v>5047.29</v>
      </c>
      <c r="M3579" t="s">
        <v>6957</v>
      </c>
      <c r="N3579" t="s">
        <v>91</v>
      </c>
      <c r="O3579">
        <v>10.62</v>
      </c>
      <c r="P3579">
        <v>10.99</v>
      </c>
      <c r="Q3579">
        <v>10.57</v>
      </c>
      <c r="R3579">
        <v>10.56</v>
      </c>
      <c r="S3579">
        <v>18.8</v>
      </c>
      <c r="T3579">
        <v>0.64</v>
      </c>
      <c r="U3579" t="s">
        <v>848</v>
      </c>
    </row>
    <row r="3580" spans="1:21">
      <c r="A3580" t="str">
        <f>"603007"</f>
        <v>603007</v>
      </c>
      <c r="B3580" t="s">
        <v>6958</v>
      </c>
      <c r="C3580">
        <v>1.85</v>
      </c>
      <c r="D3580">
        <v>3.3</v>
      </c>
      <c r="E3580">
        <v>0.06</v>
      </c>
      <c r="F3580">
        <v>3.29</v>
      </c>
      <c r="G3580">
        <v>3.3</v>
      </c>
      <c r="H3580">
        <v>37371</v>
      </c>
      <c r="I3580">
        <v>232</v>
      </c>
      <c r="J3580">
        <v>0.3</v>
      </c>
      <c r="K3580">
        <v>1.12</v>
      </c>
      <c r="L3580">
        <v>1228.88</v>
      </c>
      <c r="M3580" t="s">
        <v>6959</v>
      </c>
      <c r="N3580" t="s">
        <v>50</v>
      </c>
      <c r="O3580">
        <v>3.25</v>
      </c>
      <c r="P3580">
        <v>3.33</v>
      </c>
      <c r="Q3580">
        <v>3.25</v>
      </c>
      <c r="R3580">
        <v>3.24</v>
      </c>
      <c r="S3580" t="s">
        <v>40</v>
      </c>
      <c r="T3580">
        <v>0.82</v>
      </c>
      <c r="U3580" t="s">
        <v>102</v>
      </c>
    </row>
    <row r="3581" spans="1:21">
      <c r="A3581" t="str">
        <f>"603008"</f>
        <v>603008</v>
      </c>
      <c r="B3581" t="s">
        <v>6960</v>
      </c>
      <c r="C3581">
        <v>0.98</v>
      </c>
      <c r="D3581">
        <v>27.8</v>
      </c>
      <c r="E3581">
        <v>0.27</v>
      </c>
      <c r="F3581">
        <v>27.78</v>
      </c>
      <c r="G3581">
        <v>27.8</v>
      </c>
      <c r="H3581">
        <v>14232</v>
      </c>
      <c r="I3581">
        <v>143</v>
      </c>
      <c r="J3581">
        <v>0.11</v>
      </c>
      <c r="K3581">
        <v>0.37</v>
      </c>
      <c r="L3581">
        <v>3941.29</v>
      </c>
      <c r="M3581" t="s">
        <v>6961</v>
      </c>
      <c r="N3581" t="s">
        <v>910</v>
      </c>
      <c r="O3581">
        <v>27.27</v>
      </c>
      <c r="P3581">
        <v>28.02</v>
      </c>
      <c r="Q3581">
        <v>27.25</v>
      </c>
      <c r="R3581">
        <v>27.53</v>
      </c>
      <c r="S3581">
        <v>21.61</v>
      </c>
      <c r="T3581">
        <v>0.74</v>
      </c>
      <c r="U3581" t="s">
        <v>200</v>
      </c>
    </row>
    <row r="3582" spans="1:21">
      <c r="A3582" t="str">
        <f>"603009"</f>
        <v>603009</v>
      </c>
      <c r="B3582" t="s">
        <v>6962</v>
      </c>
      <c r="C3582">
        <v>1.46</v>
      </c>
      <c r="D3582">
        <v>6.93</v>
      </c>
      <c r="E3582">
        <v>0.1</v>
      </c>
      <c r="F3582">
        <v>6.92</v>
      </c>
      <c r="G3582">
        <v>6.93</v>
      </c>
      <c r="H3582">
        <v>50634</v>
      </c>
      <c r="I3582">
        <v>1280</v>
      </c>
      <c r="J3582">
        <v>0.14</v>
      </c>
      <c r="K3582">
        <v>1.5</v>
      </c>
      <c r="L3582">
        <v>3481.42</v>
      </c>
      <c r="M3582" t="s">
        <v>6963</v>
      </c>
      <c r="N3582" t="s">
        <v>91</v>
      </c>
      <c r="O3582">
        <v>6.83</v>
      </c>
      <c r="P3582">
        <v>6.98</v>
      </c>
      <c r="Q3582">
        <v>6.74</v>
      </c>
      <c r="R3582">
        <v>6.83</v>
      </c>
      <c r="S3582">
        <v>36.28</v>
      </c>
      <c r="T3582">
        <v>0.68</v>
      </c>
      <c r="U3582" t="s">
        <v>848</v>
      </c>
    </row>
    <row r="3583" spans="1:21">
      <c r="A3583" t="str">
        <f>"603010"</f>
        <v>603010</v>
      </c>
      <c r="B3583" t="s">
        <v>6964</v>
      </c>
      <c r="C3583">
        <v>0.23</v>
      </c>
      <c r="D3583">
        <v>26.06</v>
      </c>
      <c r="E3583">
        <v>0.06</v>
      </c>
      <c r="F3583">
        <v>26.06</v>
      </c>
      <c r="G3583">
        <v>26.08</v>
      </c>
      <c r="H3583">
        <v>124933</v>
      </c>
      <c r="I3583">
        <v>1079</v>
      </c>
      <c r="J3583">
        <v>0.23</v>
      </c>
      <c r="K3583">
        <v>2.58</v>
      </c>
      <c r="L3583">
        <v>32581.8</v>
      </c>
      <c r="M3583" t="s">
        <v>6965</v>
      </c>
      <c r="N3583" t="s">
        <v>309</v>
      </c>
      <c r="O3583">
        <v>25.76</v>
      </c>
      <c r="P3583">
        <v>26.48</v>
      </c>
      <c r="Q3583">
        <v>25.52</v>
      </c>
      <c r="R3583">
        <v>26</v>
      </c>
      <c r="S3583">
        <v>15.18</v>
      </c>
      <c r="T3583">
        <v>0.66</v>
      </c>
      <c r="U3583" t="s">
        <v>200</v>
      </c>
    </row>
    <row r="3584" spans="1:21">
      <c r="A3584" t="str">
        <f>"603011"</f>
        <v>603011</v>
      </c>
      <c r="B3584" t="s">
        <v>6966</v>
      </c>
      <c r="C3584">
        <v>1.74</v>
      </c>
      <c r="D3584">
        <v>5.84</v>
      </c>
      <c r="E3584">
        <v>0.1</v>
      </c>
      <c r="F3584">
        <v>5.84</v>
      </c>
      <c r="G3584">
        <v>5.85</v>
      </c>
      <c r="H3584">
        <v>86755</v>
      </c>
      <c r="I3584">
        <v>1379</v>
      </c>
      <c r="J3584">
        <v>0</v>
      </c>
      <c r="K3584">
        <v>1.93</v>
      </c>
      <c r="L3584">
        <v>5052.61</v>
      </c>
      <c r="M3584" t="s">
        <v>3900</v>
      </c>
      <c r="N3584" t="s">
        <v>247</v>
      </c>
      <c r="O3584">
        <v>5.73</v>
      </c>
      <c r="P3584">
        <v>5.88</v>
      </c>
      <c r="Q3584">
        <v>5.7</v>
      </c>
      <c r="R3584">
        <v>5.74</v>
      </c>
      <c r="S3584">
        <v>39.66</v>
      </c>
      <c r="T3584">
        <v>0.94</v>
      </c>
      <c r="U3584" t="s">
        <v>193</v>
      </c>
    </row>
    <row r="3585" spans="1:21">
      <c r="A3585" t="str">
        <f>"603012"</f>
        <v>603012</v>
      </c>
      <c r="B3585" t="s">
        <v>6967</v>
      </c>
      <c r="C3585">
        <v>1.95</v>
      </c>
      <c r="D3585">
        <v>6.27</v>
      </c>
      <c r="E3585">
        <v>0.12</v>
      </c>
      <c r="F3585">
        <v>6.27</v>
      </c>
      <c r="G3585">
        <v>6.28</v>
      </c>
      <c r="H3585">
        <v>122774</v>
      </c>
      <c r="I3585">
        <v>1936</v>
      </c>
      <c r="J3585">
        <v>-0.15</v>
      </c>
      <c r="K3585">
        <v>1.93</v>
      </c>
      <c r="L3585">
        <v>7677.47</v>
      </c>
      <c r="M3585" t="s">
        <v>5486</v>
      </c>
      <c r="N3585" t="s">
        <v>324</v>
      </c>
      <c r="O3585">
        <v>6.14</v>
      </c>
      <c r="P3585">
        <v>6.31</v>
      </c>
      <c r="Q3585">
        <v>6.12</v>
      </c>
      <c r="R3585">
        <v>6.15</v>
      </c>
      <c r="S3585">
        <v>13.25</v>
      </c>
      <c r="T3585">
        <v>1.28</v>
      </c>
      <c r="U3585" t="s">
        <v>848</v>
      </c>
    </row>
    <row r="3586" spans="1:21">
      <c r="A3586" t="str">
        <f>"603013"</f>
        <v>603013</v>
      </c>
      <c r="B3586" t="s">
        <v>6968</v>
      </c>
      <c r="C3586">
        <v>3.29</v>
      </c>
      <c r="D3586">
        <v>16</v>
      </c>
      <c r="E3586">
        <v>0.51</v>
      </c>
      <c r="F3586">
        <v>15.99</v>
      </c>
      <c r="G3586">
        <v>16</v>
      </c>
      <c r="H3586">
        <v>50587</v>
      </c>
      <c r="I3586">
        <v>423</v>
      </c>
      <c r="J3586">
        <v>0.19</v>
      </c>
      <c r="K3586">
        <v>0.99</v>
      </c>
      <c r="L3586">
        <v>8004.06</v>
      </c>
      <c r="M3586" t="s">
        <v>6969</v>
      </c>
      <c r="N3586" t="s">
        <v>91</v>
      </c>
      <c r="O3586">
        <v>15.49</v>
      </c>
      <c r="P3586">
        <v>16.06</v>
      </c>
      <c r="Q3586">
        <v>15.35</v>
      </c>
      <c r="R3586">
        <v>15.49</v>
      </c>
      <c r="S3586">
        <v>13.42</v>
      </c>
      <c r="T3586">
        <v>1.08</v>
      </c>
      <c r="U3586" t="s">
        <v>102</v>
      </c>
    </row>
    <row r="3587" spans="1:21">
      <c r="A3587" t="str">
        <f>"603015"</f>
        <v>603015</v>
      </c>
      <c r="B3587" t="s">
        <v>6970</v>
      </c>
      <c r="C3587">
        <v>1.01</v>
      </c>
      <c r="D3587">
        <v>8.01</v>
      </c>
      <c r="E3587">
        <v>0.08</v>
      </c>
      <c r="F3587">
        <v>8</v>
      </c>
      <c r="G3587">
        <v>8.01</v>
      </c>
      <c r="H3587">
        <v>70382</v>
      </c>
      <c r="I3587">
        <v>989</v>
      </c>
      <c r="J3587">
        <v>0.25</v>
      </c>
      <c r="K3587">
        <v>1.74</v>
      </c>
      <c r="L3587">
        <v>5611.37</v>
      </c>
      <c r="M3587" t="s">
        <v>3521</v>
      </c>
      <c r="N3587" t="s">
        <v>47</v>
      </c>
      <c r="O3587">
        <v>7.93</v>
      </c>
      <c r="P3587">
        <v>8.09</v>
      </c>
      <c r="Q3587">
        <v>7.83</v>
      </c>
      <c r="R3587">
        <v>7.93</v>
      </c>
      <c r="S3587">
        <v>30.36</v>
      </c>
      <c r="T3587">
        <v>0.94</v>
      </c>
      <c r="U3587" t="s">
        <v>200</v>
      </c>
    </row>
    <row r="3588" spans="1:21">
      <c r="A3588" t="str">
        <f>"603016"</f>
        <v>603016</v>
      </c>
      <c r="B3588" t="s">
        <v>6971</v>
      </c>
      <c r="C3588">
        <v>5.13</v>
      </c>
      <c r="D3588">
        <v>22.55</v>
      </c>
      <c r="E3588">
        <v>1.1</v>
      </c>
      <c r="F3588">
        <v>22.55</v>
      </c>
      <c r="G3588">
        <v>22.56</v>
      </c>
      <c r="H3588">
        <v>22644</v>
      </c>
      <c r="I3588">
        <v>600</v>
      </c>
      <c r="J3588">
        <v>-0.26</v>
      </c>
      <c r="K3588">
        <v>1.53</v>
      </c>
      <c r="L3588">
        <v>5042.08</v>
      </c>
      <c r="M3588" t="s">
        <v>6972</v>
      </c>
      <c r="N3588" t="s">
        <v>47</v>
      </c>
      <c r="O3588">
        <v>21.45</v>
      </c>
      <c r="P3588">
        <v>22.93</v>
      </c>
      <c r="Q3588">
        <v>21.15</v>
      </c>
      <c r="R3588">
        <v>21.45</v>
      </c>
      <c r="S3588">
        <v>61.36</v>
      </c>
      <c r="T3588">
        <v>2.19</v>
      </c>
      <c r="U3588" t="s">
        <v>102</v>
      </c>
    </row>
    <row r="3589" spans="1:21">
      <c r="A3589" t="str">
        <f>"603017"</f>
        <v>603017</v>
      </c>
      <c r="B3589" t="s">
        <v>6973</v>
      </c>
      <c r="C3589">
        <v>-2.3</v>
      </c>
      <c r="D3589">
        <v>9.79</v>
      </c>
      <c r="E3589">
        <v>-0.23</v>
      </c>
      <c r="F3589">
        <v>9.79</v>
      </c>
      <c r="G3589">
        <v>9.8</v>
      </c>
      <c r="H3589">
        <v>53149</v>
      </c>
      <c r="I3589">
        <v>618</v>
      </c>
      <c r="J3589">
        <v>-0.19</v>
      </c>
      <c r="K3589">
        <v>1.92</v>
      </c>
      <c r="L3589">
        <v>5210.61</v>
      </c>
      <c r="M3589" t="s">
        <v>4849</v>
      </c>
      <c r="N3589" t="s">
        <v>50</v>
      </c>
      <c r="O3589">
        <v>9.95</v>
      </c>
      <c r="P3589">
        <v>9.95</v>
      </c>
      <c r="Q3589">
        <v>9.7</v>
      </c>
      <c r="R3589">
        <v>10.02</v>
      </c>
      <c r="S3589">
        <v>21.23</v>
      </c>
      <c r="T3589">
        <v>0.88</v>
      </c>
      <c r="U3589" t="s">
        <v>102</v>
      </c>
    </row>
    <row r="3590" spans="1:21">
      <c r="A3590" t="str">
        <f>"603018"</f>
        <v>603018</v>
      </c>
      <c r="B3590" t="s">
        <v>6974</v>
      </c>
      <c r="C3590">
        <v>0.84</v>
      </c>
      <c r="D3590">
        <v>7.17</v>
      </c>
      <c r="E3590">
        <v>0.06</v>
      </c>
      <c r="F3590">
        <v>7.17</v>
      </c>
      <c r="G3590">
        <v>7.18</v>
      </c>
      <c r="H3590">
        <v>24570</v>
      </c>
      <c r="I3590">
        <v>178</v>
      </c>
      <c r="J3590">
        <v>-0.13</v>
      </c>
      <c r="K3590">
        <v>0.37</v>
      </c>
      <c r="L3590">
        <v>1750.81</v>
      </c>
      <c r="M3590" t="s">
        <v>6975</v>
      </c>
      <c r="N3590" t="s">
        <v>50</v>
      </c>
      <c r="O3590">
        <v>7.08</v>
      </c>
      <c r="P3590">
        <v>7.19</v>
      </c>
      <c r="Q3590">
        <v>7.05</v>
      </c>
      <c r="R3590">
        <v>7.11</v>
      </c>
      <c r="S3590">
        <v>11.58</v>
      </c>
      <c r="T3590">
        <v>0.79</v>
      </c>
      <c r="U3590" t="s">
        <v>102</v>
      </c>
    </row>
    <row r="3591" spans="1:21">
      <c r="A3591" t="str">
        <f>"603019"</f>
        <v>603019</v>
      </c>
      <c r="B3591" t="s">
        <v>6976</v>
      </c>
      <c r="C3591">
        <v>0.52</v>
      </c>
      <c r="D3591">
        <v>28.98</v>
      </c>
      <c r="E3591">
        <v>0.15</v>
      </c>
      <c r="F3591">
        <v>28.97</v>
      </c>
      <c r="G3591">
        <v>28.98</v>
      </c>
      <c r="H3591">
        <v>155073</v>
      </c>
      <c r="I3591">
        <v>2756</v>
      </c>
      <c r="J3591">
        <v>0.03</v>
      </c>
      <c r="K3591">
        <v>1.07</v>
      </c>
      <c r="L3591">
        <v>44806.87</v>
      </c>
      <c r="M3591" t="s">
        <v>6977</v>
      </c>
      <c r="N3591" t="s">
        <v>72</v>
      </c>
      <c r="O3591">
        <v>28.8</v>
      </c>
      <c r="P3591">
        <v>29.23</v>
      </c>
      <c r="Q3591">
        <v>28.55</v>
      </c>
      <c r="R3591">
        <v>28.83</v>
      </c>
      <c r="S3591">
        <v>68.07</v>
      </c>
      <c r="T3591">
        <v>0.73</v>
      </c>
      <c r="U3591" t="s">
        <v>360</v>
      </c>
    </row>
    <row r="3592" spans="1:21">
      <c r="A3592" t="str">
        <f>"603020"</f>
        <v>603020</v>
      </c>
      <c r="B3592" t="s">
        <v>6978</v>
      </c>
      <c r="C3592">
        <v>-1.22</v>
      </c>
      <c r="D3592">
        <v>13.8</v>
      </c>
      <c r="E3592">
        <v>-0.17</v>
      </c>
      <c r="F3592">
        <v>13.8</v>
      </c>
      <c r="G3592">
        <v>13.81</v>
      </c>
      <c r="H3592">
        <v>62108</v>
      </c>
      <c r="I3592">
        <v>316</v>
      </c>
      <c r="J3592">
        <v>0.07</v>
      </c>
      <c r="K3592">
        <v>1.94</v>
      </c>
      <c r="L3592">
        <v>8588.52</v>
      </c>
      <c r="M3592" t="s">
        <v>6979</v>
      </c>
      <c r="N3592" t="s">
        <v>299</v>
      </c>
      <c r="O3592">
        <v>13.99</v>
      </c>
      <c r="P3592">
        <v>14.1</v>
      </c>
      <c r="Q3592">
        <v>13.69</v>
      </c>
      <c r="R3592">
        <v>13.97</v>
      </c>
      <c r="S3592">
        <v>24.62</v>
      </c>
      <c r="T3592">
        <v>0.42</v>
      </c>
      <c r="U3592" t="s">
        <v>848</v>
      </c>
    </row>
    <row r="3593" spans="1:21">
      <c r="A3593" t="str">
        <f>"603021"</f>
        <v>603021</v>
      </c>
      <c r="B3593" t="s">
        <v>6980</v>
      </c>
      <c r="C3593">
        <v>0.65</v>
      </c>
      <c r="D3593">
        <v>4.62</v>
      </c>
      <c r="E3593">
        <v>0.03</v>
      </c>
      <c r="F3593">
        <v>4.61</v>
      </c>
      <c r="G3593">
        <v>4.62</v>
      </c>
      <c r="H3593">
        <v>20810</v>
      </c>
      <c r="I3593">
        <v>113</v>
      </c>
      <c r="J3593">
        <v>0</v>
      </c>
      <c r="K3593">
        <v>0.65</v>
      </c>
      <c r="L3593">
        <v>956.7</v>
      </c>
      <c r="M3593" t="s">
        <v>2705</v>
      </c>
      <c r="N3593" t="s">
        <v>55</v>
      </c>
      <c r="O3593">
        <v>4.59</v>
      </c>
      <c r="P3593">
        <v>4.64</v>
      </c>
      <c r="Q3593">
        <v>4.55</v>
      </c>
      <c r="R3593">
        <v>4.59</v>
      </c>
      <c r="S3593" t="s">
        <v>40</v>
      </c>
      <c r="T3593">
        <v>0.93</v>
      </c>
      <c r="U3593" t="s">
        <v>221</v>
      </c>
    </row>
    <row r="3594" spans="1:21">
      <c r="A3594" t="str">
        <f>"603022"</f>
        <v>603022</v>
      </c>
      <c r="B3594" t="s">
        <v>6981</v>
      </c>
      <c r="C3594">
        <v>2.37</v>
      </c>
      <c r="D3594">
        <v>11.23</v>
      </c>
      <c r="E3594">
        <v>0.26</v>
      </c>
      <c r="F3594">
        <v>11.21</v>
      </c>
      <c r="G3594">
        <v>11.23</v>
      </c>
      <c r="H3594">
        <v>3702</v>
      </c>
      <c r="I3594">
        <v>67</v>
      </c>
      <c r="J3594">
        <v>0.18</v>
      </c>
      <c r="K3594">
        <v>0.19</v>
      </c>
      <c r="L3594">
        <v>412</v>
      </c>
      <c r="M3594" t="s">
        <v>608</v>
      </c>
      <c r="N3594" t="s">
        <v>482</v>
      </c>
      <c r="O3594">
        <v>11.01</v>
      </c>
      <c r="P3594">
        <v>11.23</v>
      </c>
      <c r="Q3594">
        <v>10.98</v>
      </c>
      <c r="R3594">
        <v>10.97</v>
      </c>
      <c r="S3594">
        <v>79.37</v>
      </c>
      <c r="T3594">
        <v>0.57</v>
      </c>
      <c r="U3594" t="s">
        <v>848</v>
      </c>
    </row>
    <row r="3595" spans="1:21">
      <c r="A3595" t="str">
        <f>"603023"</f>
        <v>603023</v>
      </c>
      <c r="B3595" t="s">
        <v>6982</v>
      </c>
      <c r="C3595">
        <v>1.98</v>
      </c>
      <c r="D3595">
        <v>4.13</v>
      </c>
      <c r="E3595">
        <v>0.08</v>
      </c>
      <c r="F3595">
        <v>4.12</v>
      </c>
      <c r="G3595">
        <v>4.13</v>
      </c>
      <c r="H3595">
        <v>36029</v>
      </c>
      <c r="I3595">
        <v>784</v>
      </c>
      <c r="J3595">
        <v>0</v>
      </c>
      <c r="K3595">
        <v>0.64</v>
      </c>
      <c r="L3595">
        <v>1472.06</v>
      </c>
      <c r="M3595" t="s">
        <v>6983</v>
      </c>
      <c r="N3595" t="s">
        <v>91</v>
      </c>
      <c r="O3595">
        <v>4.01</v>
      </c>
      <c r="P3595">
        <v>4.14</v>
      </c>
      <c r="Q3595">
        <v>4.01</v>
      </c>
      <c r="R3595">
        <v>4.05</v>
      </c>
      <c r="S3595">
        <v>2307.24</v>
      </c>
      <c r="T3595">
        <v>0.88</v>
      </c>
      <c r="U3595" t="s">
        <v>445</v>
      </c>
    </row>
    <row r="3596" spans="1:21">
      <c r="A3596" t="str">
        <f>"603025"</f>
        <v>603025</v>
      </c>
      <c r="B3596" t="s">
        <v>6984</v>
      </c>
      <c r="C3596">
        <v>-0.35</v>
      </c>
      <c r="D3596">
        <v>28.7</v>
      </c>
      <c r="E3596">
        <v>-0.1</v>
      </c>
      <c r="F3596">
        <v>28.69</v>
      </c>
      <c r="G3596">
        <v>28.7</v>
      </c>
      <c r="H3596">
        <v>48971</v>
      </c>
      <c r="I3596">
        <v>692</v>
      </c>
      <c r="J3596">
        <v>0</v>
      </c>
      <c r="K3596">
        <v>0.53</v>
      </c>
      <c r="L3596">
        <v>14100.64</v>
      </c>
      <c r="M3596" t="s">
        <v>6985</v>
      </c>
      <c r="N3596" t="s">
        <v>1135</v>
      </c>
      <c r="O3596">
        <v>28.75</v>
      </c>
      <c r="P3596">
        <v>29.18</v>
      </c>
      <c r="Q3596">
        <v>28.54</v>
      </c>
      <c r="R3596">
        <v>28.8</v>
      </c>
      <c r="S3596">
        <v>67.35</v>
      </c>
      <c r="T3596">
        <v>0.89</v>
      </c>
      <c r="U3596" t="s">
        <v>44</v>
      </c>
    </row>
    <row r="3597" spans="1:21">
      <c r="A3597" t="str">
        <f>"603026"</f>
        <v>603026</v>
      </c>
      <c r="B3597" t="s">
        <v>6986</v>
      </c>
      <c r="C3597">
        <v>-2.11</v>
      </c>
      <c r="D3597">
        <v>186.58</v>
      </c>
      <c r="E3597">
        <v>-4.02</v>
      </c>
      <c r="F3597">
        <v>186.57</v>
      </c>
      <c r="G3597">
        <v>186.58</v>
      </c>
      <c r="H3597">
        <v>63267</v>
      </c>
      <c r="I3597">
        <v>868</v>
      </c>
      <c r="J3597">
        <v>0.1</v>
      </c>
      <c r="K3597">
        <v>3.12</v>
      </c>
      <c r="L3597">
        <v>118007.49</v>
      </c>
      <c r="M3597" t="s">
        <v>6987</v>
      </c>
      <c r="N3597" t="s">
        <v>309</v>
      </c>
      <c r="O3597">
        <v>189</v>
      </c>
      <c r="P3597">
        <v>190.97</v>
      </c>
      <c r="Q3597">
        <v>183</v>
      </c>
      <c r="R3597">
        <v>190.6</v>
      </c>
      <c r="S3597">
        <v>38.25</v>
      </c>
      <c r="T3597">
        <v>0.84</v>
      </c>
      <c r="U3597" t="s">
        <v>221</v>
      </c>
    </row>
    <row r="3598" spans="1:21">
      <c r="A3598" t="str">
        <f>"603027"</f>
        <v>603027</v>
      </c>
      <c r="B3598" t="s">
        <v>6988</v>
      </c>
      <c r="C3598">
        <v>-2.83</v>
      </c>
      <c r="D3598">
        <v>26.14</v>
      </c>
      <c r="E3598">
        <v>-0.76</v>
      </c>
      <c r="F3598">
        <v>26.14</v>
      </c>
      <c r="G3598">
        <v>26.15</v>
      </c>
      <c r="H3598">
        <v>156883</v>
      </c>
      <c r="I3598">
        <v>1118</v>
      </c>
      <c r="J3598">
        <v>0.15</v>
      </c>
      <c r="K3598">
        <v>1.97</v>
      </c>
      <c r="L3598">
        <v>41151.08</v>
      </c>
      <c r="M3598" t="s">
        <v>6989</v>
      </c>
      <c r="N3598" t="s">
        <v>299</v>
      </c>
      <c r="O3598">
        <v>26.9</v>
      </c>
      <c r="P3598">
        <v>27.17</v>
      </c>
      <c r="Q3598">
        <v>25.67</v>
      </c>
      <c r="R3598">
        <v>26.9</v>
      </c>
      <c r="S3598">
        <v>118.72</v>
      </c>
      <c r="T3598">
        <v>0.93</v>
      </c>
      <c r="U3598" t="s">
        <v>196</v>
      </c>
    </row>
    <row r="3599" spans="1:21">
      <c r="A3599" t="str">
        <f>"603028"</f>
        <v>603028</v>
      </c>
      <c r="B3599" t="s">
        <v>6990</v>
      </c>
      <c r="C3599">
        <v>3.46</v>
      </c>
      <c r="D3599">
        <v>13.47</v>
      </c>
      <c r="E3599">
        <v>0.45</v>
      </c>
      <c r="F3599">
        <v>13.47</v>
      </c>
      <c r="G3599">
        <v>13.5</v>
      </c>
      <c r="H3599">
        <v>131001</v>
      </c>
      <c r="I3599">
        <v>1578</v>
      </c>
      <c r="J3599">
        <v>-0.73</v>
      </c>
      <c r="K3599">
        <v>4.56</v>
      </c>
      <c r="L3599">
        <v>17668.48</v>
      </c>
      <c r="M3599" t="s">
        <v>3862</v>
      </c>
      <c r="N3599" t="s">
        <v>724</v>
      </c>
      <c r="O3599">
        <v>13.18</v>
      </c>
      <c r="P3599">
        <v>13.71</v>
      </c>
      <c r="Q3599">
        <v>13.05</v>
      </c>
      <c r="R3599">
        <v>13.02</v>
      </c>
      <c r="S3599">
        <v>85.34</v>
      </c>
      <c r="T3599">
        <v>1.17</v>
      </c>
      <c r="U3599" t="s">
        <v>102</v>
      </c>
    </row>
    <row r="3600" spans="1:21">
      <c r="A3600" t="str">
        <f>"603029"</f>
        <v>603029</v>
      </c>
      <c r="B3600" t="s">
        <v>6991</v>
      </c>
      <c r="C3600">
        <v>2.36</v>
      </c>
      <c r="D3600">
        <v>13.42</v>
      </c>
      <c r="E3600">
        <v>0.31</v>
      </c>
      <c r="F3600">
        <v>13.4</v>
      </c>
      <c r="G3600">
        <v>13.42</v>
      </c>
      <c r="H3600">
        <v>6305</v>
      </c>
      <c r="I3600">
        <v>42</v>
      </c>
      <c r="J3600">
        <v>0</v>
      </c>
      <c r="K3600">
        <v>0.68</v>
      </c>
      <c r="L3600">
        <v>841.4</v>
      </c>
      <c r="M3600" t="s">
        <v>6992</v>
      </c>
      <c r="N3600" t="s">
        <v>786</v>
      </c>
      <c r="O3600">
        <v>13.14</v>
      </c>
      <c r="P3600">
        <v>13.48</v>
      </c>
      <c r="Q3600">
        <v>13.1</v>
      </c>
      <c r="R3600">
        <v>13.11</v>
      </c>
      <c r="S3600">
        <v>168.91</v>
      </c>
      <c r="T3600">
        <v>0.94</v>
      </c>
      <c r="U3600" t="s">
        <v>221</v>
      </c>
    </row>
    <row r="3601" spans="1:21">
      <c r="A3601" t="str">
        <f>"603030"</f>
        <v>603030</v>
      </c>
      <c r="B3601" t="s">
        <v>6993</v>
      </c>
      <c r="C3601">
        <v>0.58</v>
      </c>
      <c r="D3601">
        <v>3.46</v>
      </c>
      <c r="E3601">
        <v>0.02</v>
      </c>
      <c r="F3601">
        <v>3.45</v>
      </c>
      <c r="G3601">
        <v>3.46</v>
      </c>
      <c r="H3601">
        <v>72758</v>
      </c>
      <c r="I3601">
        <v>496</v>
      </c>
      <c r="J3601">
        <v>0.29</v>
      </c>
      <c r="K3601">
        <v>1.35</v>
      </c>
      <c r="L3601">
        <v>2486.3</v>
      </c>
      <c r="M3601" t="s">
        <v>6994</v>
      </c>
      <c r="N3601" t="s">
        <v>1189</v>
      </c>
      <c r="O3601">
        <v>3.43</v>
      </c>
      <c r="P3601">
        <v>3.47</v>
      </c>
      <c r="Q3601">
        <v>3.37</v>
      </c>
      <c r="R3601">
        <v>3.44</v>
      </c>
      <c r="S3601" t="s">
        <v>40</v>
      </c>
      <c r="T3601">
        <v>1.01</v>
      </c>
      <c r="U3601" t="s">
        <v>848</v>
      </c>
    </row>
    <row r="3602" spans="1:21">
      <c r="A3602" t="str">
        <f>"603031"</f>
        <v>603031</v>
      </c>
      <c r="B3602" t="s">
        <v>6995</v>
      </c>
      <c r="C3602">
        <v>-1.32</v>
      </c>
      <c r="D3602">
        <v>37.99</v>
      </c>
      <c r="E3602">
        <v>-0.51</v>
      </c>
      <c r="F3602">
        <v>37.81</v>
      </c>
      <c r="G3602">
        <v>37.99</v>
      </c>
      <c r="H3602">
        <v>12480</v>
      </c>
      <c r="I3602">
        <v>109</v>
      </c>
      <c r="J3602">
        <v>0</v>
      </c>
      <c r="K3602">
        <v>1.11</v>
      </c>
      <c r="L3602">
        <v>4699.68</v>
      </c>
      <c r="M3602" t="s">
        <v>6996</v>
      </c>
      <c r="N3602" t="s">
        <v>258</v>
      </c>
      <c r="O3602">
        <v>38.5</v>
      </c>
      <c r="P3602">
        <v>38.68</v>
      </c>
      <c r="Q3602">
        <v>37.03</v>
      </c>
      <c r="R3602">
        <v>38.5</v>
      </c>
      <c r="S3602" t="s">
        <v>40</v>
      </c>
      <c r="T3602">
        <v>0.61</v>
      </c>
      <c r="U3602" t="s">
        <v>193</v>
      </c>
    </row>
    <row r="3603" spans="1:21">
      <c r="A3603" t="str">
        <f>"603032"</f>
        <v>603032</v>
      </c>
      <c r="B3603" t="s">
        <v>6997</v>
      </c>
      <c r="C3603">
        <v>3.18</v>
      </c>
      <c r="D3603">
        <v>70</v>
      </c>
      <c r="E3603">
        <v>2.16</v>
      </c>
      <c r="F3603">
        <v>69.97</v>
      </c>
      <c r="G3603">
        <v>70</v>
      </c>
      <c r="H3603">
        <v>39999</v>
      </c>
      <c r="I3603">
        <v>462</v>
      </c>
      <c r="J3603">
        <v>-0.13</v>
      </c>
      <c r="K3603">
        <v>2.5</v>
      </c>
      <c r="L3603">
        <v>27969.74</v>
      </c>
      <c r="M3603" t="s">
        <v>6998</v>
      </c>
      <c r="N3603" t="s">
        <v>2308</v>
      </c>
      <c r="O3603">
        <v>67.8</v>
      </c>
      <c r="P3603">
        <v>71.23</v>
      </c>
      <c r="Q3603">
        <v>66.25</v>
      </c>
      <c r="R3603">
        <v>67.84</v>
      </c>
      <c r="S3603">
        <v>135.07</v>
      </c>
      <c r="T3603">
        <v>1.53</v>
      </c>
      <c r="U3603" t="s">
        <v>210</v>
      </c>
    </row>
    <row r="3604" spans="1:21">
      <c r="A3604" t="str">
        <f>"603033"</f>
        <v>603033</v>
      </c>
      <c r="B3604" t="s">
        <v>6999</v>
      </c>
      <c r="C3604">
        <v>-0.44</v>
      </c>
      <c r="D3604">
        <v>27.23</v>
      </c>
      <c r="E3604">
        <v>-0.12</v>
      </c>
      <c r="F3604">
        <v>27.23</v>
      </c>
      <c r="G3604">
        <v>27.25</v>
      </c>
      <c r="H3604">
        <v>16462</v>
      </c>
      <c r="I3604">
        <v>416</v>
      </c>
      <c r="J3604">
        <v>-0.32</v>
      </c>
      <c r="K3604">
        <v>0.47</v>
      </c>
      <c r="L3604">
        <v>4482.75</v>
      </c>
      <c r="M3604" t="s">
        <v>5561</v>
      </c>
      <c r="N3604" t="s">
        <v>1509</v>
      </c>
      <c r="O3604">
        <v>27.35</v>
      </c>
      <c r="P3604">
        <v>27.8</v>
      </c>
      <c r="Q3604">
        <v>26.95</v>
      </c>
      <c r="R3604">
        <v>27.35</v>
      </c>
      <c r="S3604">
        <v>95.7</v>
      </c>
      <c r="T3604">
        <v>0.64</v>
      </c>
      <c r="U3604" t="s">
        <v>200</v>
      </c>
    </row>
    <row r="3605" spans="1:21">
      <c r="A3605" t="str">
        <f>"603035"</f>
        <v>603035</v>
      </c>
      <c r="B3605" t="s">
        <v>7000</v>
      </c>
      <c r="C3605">
        <v>1.48</v>
      </c>
      <c r="D3605">
        <v>13.72</v>
      </c>
      <c r="E3605">
        <v>0.2</v>
      </c>
      <c r="F3605">
        <v>13.71</v>
      </c>
      <c r="G3605">
        <v>13.72</v>
      </c>
      <c r="H3605">
        <v>87844</v>
      </c>
      <c r="I3605">
        <v>1018</v>
      </c>
      <c r="J3605">
        <v>0.15</v>
      </c>
      <c r="K3605">
        <v>2.44</v>
      </c>
      <c r="L3605">
        <v>11908.19</v>
      </c>
      <c r="M3605" t="s">
        <v>7001</v>
      </c>
      <c r="N3605" t="s">
        <v>91</v>
      </c>
      <c r="O3605">
        <v>13.56</v>
      </c>
      <c r="P3605">
        <v>13.85</v>
      </c>
      <c r="Q3605">
        <v>13.25</v>
      </c>
      <c r="R3605">
        <v>13.52</v>
      </c>
      <c r="S3605">
        <v>13.37</v>
      </c>
      <c r="T3605">
        <v>0.64</v>
      </c>
      <c r="U3605" t="s">
        <v>102</v>
      </c>
    </row>
    <row r="3606" spans="1:21">
      <c r="A3606" t="str">
        <f>"603036"</f>
        <v>603036</v>
      </c>
      <c r="B3606" t="s">
        <v>7002</v>
      </c>
      <c r="C3606">
        <v>-0.52</v>
      </c>
      <c r="D3606">
        <v>9.55</v>
      </c>
      <c r="E3606">
        <v>-0.05</v>
      </c>
      <c r="F3606">
        <v>9.55</v>
      </c>
      <c r="G3606">
        <v>9.56</v>
      </c>
      <c r="H3606">
        <v>43062</v>
      </c>
      <c r="I3606">
        <v>413</v>
      </c>
      <c r="J3606">
        <v>0</v>
      </c>
      <c r="K3606">
        <v>2.1</v>
      </c>
      <c r="L3606">
        <v>4147.69</v>
      </c>
      <c r="M3606" t="s">
        <v>3359</v>
      </c>
      <c r="N3606" t="s">
        <v>324</v>
      </c>
      <c r="O3606">
        <v>9.57</v>
      </c>
      <c r="P3606">
        <v>9.77</v>
      </c>
      <c r="Q3606">
        <v>9.53</v>
      </c>
      <c r="R3606">
        <v>9.6</v>
      </c>
      <c r="S3606">
        <v>36.42</v>
      </c>
      <c r="T3606">
        <v>0.66</v>
      </c>
      <c r="U3606" t="s">
        <v>102</v>
      </c>
    </row>
    <row r="3607" spans="1:21">
      <c r="A3607" t="str">
        <f>"603037"</f>
        <v>603037</v>
      </c>
      <c r="B3607" t="s">
        <v>7003</v>
      </c>
      <c r="C3607">
        <v>3.71</v>
      </c>
      <c r="D3607">
        <v>20.68</v>
      </c>
      <c r="E3607">
        <v>0.74</v>
      </c>
      <c r="F3607">
        <v>20.67</v>
      </c>
      <c r="G3607">
        <v>20.68</v>
      </c>
      <c r="H3607">
        <v>41400</v>
      </c>
      <c r="I3607">
        <v>458</v>
      </c>
      <c r="J3607">
        <v>0.34</v>
      </c>
      <c r="K3607">
        <v>3.95</v>
      </c>
      <c r="L3607">
        <v>8392.35</v>
      </c>
      <c r="M3607" t="s">
        <v>7004</v>
      </c>
      <c r="N3607" t="s">
        <v>91</v>
      </c>
      <c r="O3607">
        <v>19.99</v>
      </c>
      <c r="P3607">
        <v>20.77</v>
      </c>
      <c r="Q3607">
        <v>19.57</v>
      </c>
      <c r="R3607">
        <v>19.94</v>
      </c>
      <c r="S3607">
        <v>25.17</v>
      </c>
      <c r="T3607">
        <v>0.95</v>
      </c>
      <c r="U3607" t="s">
        <v>848</v>
      </c>
    </row>
    <row r="3608" spans="1:21">
      <c r="A3608" t="str">
        <f>"603038"</f>
        <v>603038</v>
      </c>
      <c r="B3608" t="s">
        <v>7005</v>
      </c>
      <c r="C3608">
        <v>1.29</v>
      </c>
      <c r="D3608">
        <v>14.08</v>
      </c>
      <c r="E3608">
        <v>0.18</v>
      </c>
      <c r="F3608">
        <v>14.08</v>
      </c>
      <c r="G3608">
        <v>14.09</v>
      </c>
      <c r="H3608">
        <v>59718</v>
      </c>
      <c r="I3608">
        <v>557</v>
      </c>
      <c r="J3608">
        <v>-0.2</v>
      </c>
      <c r="K3608">
        <v>3.24</v>
      </c>
      <c r="L3608">
        <v>8309.65</v>
      </c>
      <c r="M3608" t="s">
        <v>7006</v>
      </c>
      <c r="N3608" t="s">
        <v>1189</v>
      </c>
      <c r="O3608">
        <v>13.69</v>
      </c>
      <c r="P3608">
        <v>14.27</v>
      </c>
      <c r="Q3608">
        <v>13.31</v>
      </c>
      <c r="R3608">
        <v>13.9</v>
      </c>
      <c r="S3608">
        <v>67.55</v>
      </c>
      <c r="T3608">
        <v>1.03</v>
      </c>
      <c r="U3608" t="s">
        <v>183</v>
      </c>
    </row>
    <row r="3609" spans="1:21">
      <c r="A3609" t="str">
        <f>"603039"</f>
        <v>603039</v>
      </c>
      <c r="B3609" t="s">
        <v>7007</v>
      </c>
      <c r="C3609">
        <v>-0.29</v>
      </c>
      <c r="D3609">
        <v>62.36</v>
      </c>
      <c r="E3609">
        <v>-0.18</v>
      </c>
      <c r="F3609">
        <v>62.35</v>
      </c>
      <c r="G3609">
        <v>62.36</v>
      </c>
      <c r="H3609">
        <v>11808</v>
      </c>
      <c r="I3609">
        <v>33</v>
      </c>
      <c r="J3609">
        <v>-0.09</v>
      </c>
      <c r="K3609">
        <v>0.45</v>
      </c>
      <c r="L3609">
        <v>7316.66</v>
      </c>
      <c r="M3609" t="s">
        <v>7008</v>
      </c>
      <c r="N3609" t="s">
        <v>30</v>
      </c>
      <c r="O3609">
        <v>62.57</v>
      </c>
      <c r="P3609">
        <v>62.88</v>
      </c>
      <c r="Q3609">
        <v>61.36</v>
      </c>
      <c r="R3609">
        <v>62.54</v>
      </c>
      <c r="S3609">
        <v>72.84</v>
      </c>
      <c r="T3609">
        <v>1.17</v>
      </c>
      <c r="U3609" t="s">
        <v>848</v>
      </c>
    </row>
    <row r="3610" spans="1:21">
      <c r="A3610" t="str">
        <f>"603040"</f>
        <v>603040</v>
      </c>
      <c r="B3610" t="s">
        <v>7009</v>
      </c>
      <c r="C3610">
        <v>2.15</v>
      </c>
      <c r="D3610">
        <v>19.95</v>
      </c>
      <c r="E3610">
        <v>0.42</v>
      </c>
      <c r="F3610">
        <v>19.94</v>
      </c>
      <c r="G3610">
        <v>19.95</v>
      </c>
      <c r="H3610">
        <v>16708</v>
      </c>
      <c r="I3610">
        <v>105</v>
      </c>
      <c r="J3610">
        <v>0.1</v>
      </c>
      <c r="K3610">
        <v>1.25</v>
      </c>
      <c r="L3610">
        <v>3318.72</v>
      </c>
      <c r="M3610" t="s">
        <v>6356</v>
      </c>
      <c r="N3610" t="s">
        <v>91</v>
      </c>
      <c r="O3610">
        <v>19.52</v>
      </c>
      <c r="P3610">
        <v>20.15</v>
      </c>
      <c r="Q3610">
        <v>19.4</v>
      </c>
      <c r="R3610">
        <v>19.53</v>
      </c>
      <c r="S3610">
        <v>20.39</v>
      </c>
      <c r="T3610">
        <v>0.62</v>
      </c>
      <c r="U3610" t="s">
        <v>200</v>
      </c>
    </row>
    <row r="3611" spans="1:21">
      <c r="A3611" t="str">
        <f>"603041"</f>
        <v>603041</v>
      </c>
      <c r="B3611" t="s">
        <v>7010</v>
      </c>
      <c r="C3611">
        <v>0.43</v>
      </c>
      <c r="D3611">
        <v>11.8</v>
      </c>
      <c r="E3611">
        <v>0.05</v>
      </c>
      <c r="F3611">
        <v>11.8</v>
      </c>
      <c r="G3611">
        <v>11.81</v>
      </c>
      <c r="H3611">
        <v>7434</v>
      </c>
      <c r="I3611">
        <v>41</v>
      </c>
      <c r="J3611">
        <v>-0.16</v>
      </c>
      <c r="K3611">
        <v>0.53</v>
      </c>
      <c r="L3611">
        <v>870.7</v>
      </c>
      <c r="M3611" t="s">
        <v>4511</v>
      </c>
      <c r="N3611" t="s">
        <v>309</v>
      </c>
      <c r="O3611">
        <v>11.75</v>
      </c>
      <c r="P3611">
        <v>11.83</v>
      </c>
      <c r="Q3611">
        <v>11.55</v>
      </c>
      <c r="R3611">
        <v>11.75</v>
      </c>
      <c r="S3611">
        <v>26.91</v>
      </c>
      <c r="T3611">
        <v>1.11</v>
      </c>
      <c r="U3611" t="s">
        <v>102</v>
      </c>
    </row>
    <row r="3612" spans="1:21">
      <c r="A3612" t="str">
        <f>"603042"</f>
        <v>603042</v>
      </c>
      <c r="B3612" t="s">
        <v>7011</v>
      </c>
      <c r="C3612">
        <v>2.23</v>
      </c>
      <c r="D3612">
        <v>12.39</v>
      </c>
      <c r="E3612">
        <v>0.27</v>
      </c>
      <c r="F3612">
        <v>12.39</v>
      </c>
      <c r="G3612">
        <v>12.4</v>
      </c>
      <c r="H3612">
        <v>15349</v>
      </c>
      <c r="I3612">
        <v>140</v>
      </c>
      <c r="J3612">
        <v>-0.07</v>
      </c>
      <c r="K3612">
        <v>1.13</v>
      </c>
      <c r="L3612">
        <v>1892.26</v>
      </c>
      <c r="M3612" t="s">
        <v>7012</v>
      </c>
      <c r="N3612" t="s">
        <v>153</v>
      </c>
      <c r="O3612">
        <v>12.08</v>
      </c>
      <c r="P3612">
        <v>12.44</v>
      </c>
      <c r="Q3612">
        <v>12.06</v>
      </c>
      <c r="R3612">
        <v>12.12</v>
      </c>
      <c r="S3612">
        <v>1446.57</v>
      </c>
      <c r="T3612">
        <v>1.18</v>
      </c>
      <c r="U3612" t="s">
        <v>102</v>
      </c>
    </row>
    <row r="3613" spans="1:21">
      <c r="A3613" t="str">
        <f>"603043"</f>
        <v>603043</v>
      </c>
      <c r="B3613" t="s">
        <v>7013</v>
      </c>
      <c r="C3613">
        <v>0.76</v>
      </c>
      <c r="D3613">
        <v>23.77</v>
      </c>
      <c r="E3613">
        <v>0.18</v>
      </c>
      <c r="F3613">
        <v>23.77</v>
      </c>
      <c r="G3613">
        <v>23.8</v>
      </c>
      <c r="H3613">
        <v>19918</v>
      </c>
      <c r="I3613">
        <v>214</v>
      </c>
      <c r="J3613">
        <v>-0.07</v>
      </c>
      <c r="K3613">
        <v>0.35</v>
      </c>
      <c r="L3613">
        <v>4744.8</v>
      </c>
      <c r="M3613" t="s">
        <v>7014</v>
      </c>
      <c r="N3613" t="s">
        <v>299</v>
      </c>
      <c r="O3613">
        <v>23.71</v>
      </c>
      <c r="P3613">
        <v>24.04</v>
      </c>
      <c r="Q3613">
        <v>23.59</v>
      </c>
      <c r="R3613">
        <v>23.59</v>
      </c>
      <c r="S3613">
        <v>22.73</v>
      </c>
      <c r="T3613">
        <v>0.63</v>
      </c>
      <c r="U3613" t="s">
        <v>183</v>
      </c>
    </row>
    <row r="3614" spans="1:21">
      <c r="A3614" t="str">
        <f>"603045"</f>
        <v>603045</v>
      </c>
      <c r="B3614" t="s">
        <v>7015</v>
      </c>
      <c r="C3614">
        <v>3.61</v>
      </c>
      <c r="D3614">
        <v>17.5</v>
      </c>
      <c r="E3614">
        <v>0.61</v>
      </c>
      <c r="F3614">
        <v>17.48</v>
      </c>
      <c r="G3614">
        <v>17.5</v>
      </c>
      <c r="H3614">
        <v>122487</v>
      </c>
      <c r="I3614">
        <v>1353</v>
      </c>
      <c r="J3614">
        <v>-0.39</v>
      </c>
      <c r="K3614">
        <v>8.9</v>
      </c>
      <c r="L3614">
        <v>21597.13</v>
      </c>
      <c r="M3614" t="s">
        <v>7016</v>
      </c>
      <c r="N3614" t="s">
        <v>47</v>
      </c>
      <c r="O3614">
        <v>17.3</v>
      </c>
      <c r="P3614">
        <v>18.4</v>
      </c>
      <c r="Q3614">
        <v>17.25</v>
      </c>
      <c r="R3614">
        <v>16.89</v>
      </c>
      <c r="S3614">
        <v>43.02</v>
      </c>
      <c r="T3614">
        <v>1.96</v>
      </c>
      <c r="U3614" t="s">
        <v>200</v>
      </c>
    </row>
    <row r="3615" spans="1:21">
      <c r="A3615" t="str">
        <f>"603048"</f>
        <v>603048</v>
      </c>
      <c r="B3615" t="s">
        <v>7017</v>
      </c>
      <c r="C3615">
        <v>10.01</v>
      </c>
      <c r="D3615">
        <v>33.29</v>
      </c>
      <c r="E3615">
        <v>3.03</v>
      </c>
      <c r="F3615">
        <v>33.29</v>
      </c>
      <c r="G3615" t="s">
        <v>40</v>
      </c>
      <c r="H3615">
        <v>239273</v>
      </c>
      <c r="I3615">
        <v>82</v>
      </c>
      <c r="J3615">
        <v>0</v>
      </c>
      <c r="K3615">
        <v>65.16</v>
      </c>
      <c r="L3615">
        <v>77855.52</v>
      </c>
      <c r="M3615" t="s">
        <v>7018</v>
      </c>
      <c r="N3615" t="s">
        <v>91</v>
      </c>
      <c r="O3615">
        <v>31.89</v>
      </c>
      <c r="P3615">
        <v>33.29</v>
      </c>
      <c r="Q3615">
        <v>31.27</v>
      </c>
      <c r="R3615">
        <v>30.26</v>
      </c>
      <c r="S3615">
        <v>41.68</v>
      </c>
      <c r="T3615">
        <v>17.8</v>
      </c>
      <c r="U3615" t="s">
        <v>200</v>
      </c>
    </row>
    <row r="3616" spans="1:21">
      <c r="A3616" t="str">
        <f>"603050"</f>
        <v>603050</v>
      </c>
      <c r="B3616" t="s">
        <v>7019</v>
      </c>
      <c r="C3616">
        <v>-1.86</v>
      </c>
      <c r="D3616">
        <v>22.2</v>
      </c>
      <c r="E3616">
        <v>-0.42</v>
      </c>
      <c r="F3616">
        <v>22.19</v>
      </c>
      <c r="G3616">
        <v>22.2</v>
      </c>
      <c r="H3616">
        <v>282845</v>
      </c>
      <c r="I3616">
        <v>4754</v>
      </c>
      <c r="J3616">
        <v>-0.97</v>
      </c>
      <c r="K3616">
        <v>17.44</v>
      </c>
      <c r="L3616">
        <v>62795.59</v>
      </c>
      <c r="M3616" t="s">
        <v>7020</v>
      </c>
      <c r="N3616" t="s">
        <v>47</v>
      </c>
      <c r="O3616">
        <v>23.45</v>
      </c>
      <c r="P3616">
        <v>23.46</v>
      </c>
      <c r="Q3616">
        <v>21.53</v>
      </c>
      <c r="R3616">
        <v>22.62</v>
      </c>
      <c r="S3616">
        <v>33.41</v>
      </c>
      <c r="T3616">
        <v>1.38</v>
      </c>
      <c r="U3616" t="s">
        <v>207</v>
      </c>
    </row>
    <row r="3617" spans="1:21">
      <c r="A3617" t="str">
        <f>"603053"</f>
        <v>603053</v>
      </c>
      <c r="B3617" t="s">
        <v>7021</v>
      </c>
      <c r="C3617">
        <v>0.29</v>
      </c>
      <c r="D3617">
        <v>10.4</v>
      </c>
      <c r="E3617">
        <v>0.03</v>
      </c>
      <c r="F3617">
        <v>10.39</v>
      </c>
      <c r="G3617">
        <v>10.4</v>
      </c>
      <c r="H3617">
        <v>22340</v>
      </c>
      <c r="I3617">
        <v>233</v>
      </c>
      <c r="J3617">
        <v>0.1</v>
      </c>
      <c r="K3617">
        <v>0.4</v>
      </c>
      <c r="L3617">
        <v>2310.17</v>
      </c>
      <c r="M3617" t="s">
        <v>7022</v>
      </c>
      <c r="N3617" t="s">
        <v>238</v>
      </c>
      <c r="O3617">
        <v>10.36</v>
      </c>
      <c r="P3617">
        <v>10.43</v>
      </c>
      <c r="Q3617">
        <v>10.22</v>
      </c>
      <c r="R3617">
        <v>10.37</v>
      </c>
      <c r="S3617">
        <v>15.57</v>
      </c>
      <c r="T3617">
        <v>0.76</v>
      </c>
      <c r="U3617" t="s">
        <v>196</v>
      </c>
    </row>
    <row r="3618" spans="1:21">
      <c r="A3618" t="str">
        <f>"603055"</f>
        <v>603055</v>
      </c>
      <c r="B3618" t="s">
        <v>7023</v>
      </c>
      <c r="C3618">
        <v>-4.41</v>
      </c>
      <c r="D3618">
        <v>19.72</v>
      </c>
      <c r="E3618">
        <v>-0.91</v>
      </c>
      <c r="F3618">
        <v>19.71</v>
      </c>
      <c r="G3618">
        <v>19.72</v>
      </c>
      <c r="H3618">
        <v>133051</v>
      </c>
      <c r="I3618">
        <v>2388</v>
      </c>
      <c r="J3618">
        <v>-0.29</v>
      </c>
      <c r="K3618">
        <v>1.65</v>
      </c>
      <c r="L3618">
        <v>26468.33</v>
      </c>
      <c r="M3618" t="s">
        <v>1015</v>
      </c>
      <c r="N3618" t="s">
        <v>664</v>
      </c>
      <c r="O3618">
        <v>20.3</v>
      </c>
      <c r="P3618">
        <v>20.67</v>
      </c>
      <c r="Q3618">
        <v>19.43</v>
      </c>
      <c r="R3618">
        <v>20.63</v>
      </c>
      <c r="S3618">
        <v>34.07</v>
      </c>
      <c r="T3618">
        <v>1.01</v>
      </c>
      <c r="U3618" t="s">
        <v>200</v>
      </c>
    </row>
    <row r="3619" spans="1:21">
      <c r="A3619" t="str">
        <f>"603056"</f>
        <v>603056</v>
      </c>
      <c r="B3619" t="s">
        <v>7024</v>
      </c>
      <c r="C3619">
        <v>3.07</v>
      </c>
      <c r="D3619">
        <v>10.4</v>
      </c>
      <c r="E3619">
        <v>0.31</v>
      </c>
      <c r="F3619">
        <v>10.39</v>
      </c>
      <c r="G3619">
        <v>10.4</v>
      </c>
      <c r="H3619">
        <v>86826</v>
      </c>
      <c r="I3619">
        <v>1579</v>
      </c>
      <c r="J3619">
        <v>0.19</v>
      </c>
      <c r="K3619">
        <v>0.9</v>
      </c>
      <c r="L3619">
        <v>9009.84</v>
      </c>
      <c r="M3619" t="s">
        <v>7025</v>
      </c>
      <c r="N3619" t="s">
        <v>1049</v>
      </c>
      <c r="O3619">
        <v>10.16</v>
      </c>
      <c r="P3619">
        <v>10.52</v>
      </c>
      <c r="Q3619">
        <v>10.12</v>
      </c>
      <c r="R3619">
        <v>10.09</v>
      </c>
      <c r="S3619">
        <v>287.27</v>
      </c>
      <c r="T3619">
        <v>2.1</v>
      </c>
      <c r="U3619" t="s">
        <v>848</v>
      </c>
    </row>
    <row r="3620" spans="1:21">
      <c r="A3620" t="str">
        <f>"603058"</f>
        <v>603058</v>
      </c>
      <c r="B3620" t="s">
        <v>7026</v>
      </c>
      <c r="C3620">
        <v>0</v>
      </c>
      <c r="D3620">
        <v>7.94</v>
      </c>
      <c r="E3620">
        <v>0</v>
      </c>
      <c r="F3620">
        <v>7.94</v>
      </c>
      <c r="G3620">
        <v>7.95</v>
      </c>
      <c r="H3620">
        <v>29524</v>
      </c>
      <c r="I3620">
        <v>241</v>
      </c>
      <c r="J3620">
        <v>0</v>
      </c>
      <c r="K3620">
        <v>0.7</v>
      </c>
      <c r="L3620">
        <v>2330.76</v>
      </c>
      <c r="M3620" t="s">
        <v>7027</v>
      </c>
      <c r="N3620" t="s">
        <v>482</v>
      </c>
      <c r="O3620">
        <v>7.93</v>
      </c>
      <c r="P3620">
        <v>8</v>
      </c>
      <c r="Q3620">
        <v>7.78</v>
      </c>
      <c r="R3620">
        <v>7.94</v>
      </c>
      <c r="S3620">
        <v>18.57</v>
      </c>
      <c r="T3620">
        <v>0.54</v>
      </c>
      <c r="U3620" t="s">
        <v>368</v>
      </c>
    </row>
    <row r="3621" spans="1:21">
      <c r="A3621" t="str">
        <f>"603059"</f>
        <v>603059</v>
      </c>
      <c r="B3621" t="s">
        <v>7028</v>
      </c>
      <c r="C3621">
        <v>10.02</v>
      </c>
      <c r="D3621">
        <v>23.16</v>
      </c>
      <c r="E3621">
        <v>2.11</v>
      </c>
      <c r="F3621">
        <v>23.16</v>
      </c>
      <c r="G3621" t="s">
        <v>40</v>
      </c>
      <c r="H3621">
        <v>54347</v>
      </c>
      <c r="I3621">
        <v>803</v>
      </c>
      <c r="J3621">
        <v>0</v>
      </c>
      <c r="K3621">
        <v>5.43</v>
      </c>
      <c r="L3621">
        <v>12317.73</v>
      </c>
      <c r="M3621" t="s">
        <v>7029</v>
      </c>
      <c r="N3621" t="s">
        <v>332</v>
      </c>
      <c r="O3621">
        <v>21.01</v>
      </c>
      <c r="P3621">
        <v>23.16</v>
      </c>
      <c r="Q3621">
        <v>21.01</v>
      </c>
      <c r="R3621">
        <v>21.05</v>
      </c>
      <c r="S3621">
        <v>42.95</v>
      </c>
      <c r="T3621">
        <v>10.29</v>
      </c>
      <c r="U3621" t="s">
        <v>102</v>
      </c>
    </row>
    <row r="3622" spans="1:21">
      <c r="A3622" t="str">
        <f>"603060"</f>
        <v>603060</v>
      </c>
      <c r="B3622" t="s">
        <v>7030</v>
      </c>
      <c r="C3622">
        <v>0</v>
      </c>
      <c r="D3622">
        <v>19.8</v>
      </c>
      <c r="E3622">
        <v>0</v>
      </c>
      <c r="F3622">
        <v>19.78</v>
      </c>
      <c r="G3622">
        <v>19.8</v>
      </c>
      <c r="H3622">
        <v>19358</v>
      </c>
      <c r="I3622">
        <v>725</v>
      </c>
      <c r="J3622">
        <v>0.15</v>
      </c>
      <c r="K3622">
        <v>0.32</v>
      </c>
      <c r="L3622">
        <v>3820.03</v>
      </c>
      <c r="M3622" t="s">
        <v>7031</v>
      </c>
      <c r="N3622" t="s">
        <v>50</v>
      </c>
      <c r="O3622">
        <v>19.71</v>
      </c>
      <c r="P3622">
        <v>19.88</v>
      </c>
      <c r="Q3622">
        <v>19.55</v>
      </c>
      <c r="R3622">
        <v>19.8</v>
      </c>
      <c r="S3622">
        <v>98.47</v>
      </c>
      <c r="T3622">
        <v>0.71</v>
      </c>
      <c r="U3622" t="s">
        <v>44</v>
      </c>
    </row>
    <row r="3623" spans="1:21">
      <c r="A3623" t="str">
        <f>"603063"</f>
        <v>603063</v>
      </c>
      <c r="B3623" t="s">
        <v>7032</v>
      </c>
      <c r="C3623">
        <v>-1.89</v>
      </c>
      <c r="D3623">
        <v>37.4</v>
      </c>
      <c r="E3623">
        <v>-0.72</v>
      </c>
      <c r="F3623">
        <v>37.4</v>
      </c>
      <c r="G3623">
        <v>37.42</v>
      </c>
      <c r="H3623">
        <v>112421</v>
      </c>
      <c r="I3623">
        <v>1730</v>
      </c>
      <c r="J3623">
        <v>-0.18</v>
      </c>
      <c r="K3623">
        <v>2.59</v>
      </c>
      <c r="L3623">
        <v>42144.46</v>
      </c>
      <c r="M3623" t="s">
        <v>7033</v>
      </c>
      <c r="N3623" t="s">
        <v>47</v>
      </c>
      <c r="O3623">
        <v>38.45</v>
      </c>
      <c r="P3623">
        <v>38.69</v>
      </c>
      <c r="Q3623">
        <v>36.6</v>
      </c>
      <c r="R3623">
        <v>38.12</v>
      </c>
      <c r="S3623">
        <v>69.13</v>
      </c>
      <c r="T3623">
        <v>0.62</v>
      </c>
      <c r="U3623" t="s">
        <v>24</v>
      </c>
    </row>
    <row r="3624" spans="1:21">
      <c r="A3624" t="str">
        <f>"603066"</f>
        <v>603066</v>
      </c>
      <c r="B3624" t="s">
        <v>7034</v>
      </c>
      <c r="C3624">
        <v>-0.12</v>
      </c>
      <c r="D3624">
        <v>8.2</v>
      </c>
      <c r="E3624">
        <v>-0.01</v>
      </c>
      <c r="F3624">
        <v>8.2</v>
      </c>
      <c r="G3624">
        <v>8.21</v>
      </c>
      <c r="H3624">
        <v>32916</v>
      </c>
      <c r="I3624">
        <v>344</v>
      </c>
      <c r="J3624">
        <v>-0.11</v>
      </c>
      <c r="K3624">
        <v>1.09</v>
      </c>
      <c r="L3624">
        <v>2704.76</v>
      </c>
      <c r="M3624" t="s">
        <v>7035</v>
      </c>
      <c r="N3624" t="s">
        <v>1049</v>
      </c>
      <c r="O3624">
        <v>8.22</v>
      </c>
      <c r="P3624">
        <v>8.3</v>
      </c>
      <c r="Q3624">
        <v>8.11</v>
      </c>
      <c r="R3624">
        <v>8.21</v>
      </c>
      <c r="S3624">
        <v>21.79</v>
      </c>
      <c r="T3624">
        <v>0.75</v>
      </c>
      <c r="U3624" t="s">
        <v>102</v>
      </c>
    </row>
    <row r="3625" spans="1:21">
      <c r="A3625" t="str">
        <f>"603067"</f>
        <v>603067</v>
      </c>
      <c r="B3625" t="s">
        <v>7036</v>
      </c>
      <c r="C3625">
        <v>0.07</v>
      </c>
      <c r="D3625">
        <v>13.47</v>
      </c>
      <c r="E3625">
        <v>0.01</v>
      </c>
      <c r="F3625">
        <v>13.47</v>
      </c>
      <c r="G3625">
        <v>13.48</v>
      </c>
      <c r="H3625">
        <v>56399</v>
      </c>
      <c r="I3625">
        <v>654</v>
      </c>
      <c r="J3625">
        <v>0.37</v>
      </c>
      <c r="K3625">
        <v>1.31</v>
      </c>
      <c r="L3625">
        <v>7617.4</v>
      </c>
      <c r="M3625" t="s">
        <v>4395</v>
      </c>
      <c r="N3625" t="s">
        <v>309</v>
      </c>
      <c r="O3625">
        <v>13.46</v>
      </c>
      <c r="P3625">
        <v>13.79</v>
      </c>
      <c r="Q3625">
        <v>13.34</v>
      </c>
      <c r="R3625">
        <v>13.46</v>
      </c>
      <c r="S3625">
        <v>20.76</v>
      </c>
      <c r="T3625">
        <v>0.67</v>
      </c>
      <c r="U3625" t="s">
        <v>267</v>
      </c>
    </row>
    <row r="3626" spans="1:21">
      <c r="A3626" t="str">
        <f>"603068"</f>
        <v>603068</v>
      </c>
      <c r="B3626" t="s">
        <v>7037</v>
      </c>
      <c r="C3626">
        <v>-0.69</v>
      </c>
      <c r="D3626">
        <v>57.17</v>
      </c>
      <c r="E3626">
        <v>-0.4</v>
      </c>
      <c r="F3626">
        <v>57.16</v>
      </c>
      <c r="G3626">
        <v>57.17</v>
      </c>
      <c r="H3626">
        <v>24765</v>
      </c>
      <c r="I3626">
        <v>246</v>
      </c>
      <c r="J3626">
        <v>0.07</v>
      </c>
      <c r="K3626">
        <v>2.34</v>
      </c>
      <c r="L3626">
        <v>14178.39</v>
      </c>
      <c r="M3626" t="s">
        <v>7038</v>
      </c>
      <c r="N3626" t="s">
        <v>1246</v>
      </c>
      <c r="O3626">
        <v>57.68</v>
      </c>
      <c r="P3626">
        <v>58.29</v>
      </c>
      <c r="Q3626">
        <v>56.6</v>
      </c>
      <c r="R3626">
        <v>57.57</v>
      </c>
      <c r="S3626">
        <v>130.38</v>
      </c>
      <c r="T3626">
        <v>0.73</v>
      </c>
      <c r="U3626" t="s">
        <v>848</v>
      </c>
    </row>
    <row r="3627" spans="1:21">
      <c r="A3627" t="str">
        <f>"603069"</f>
        <v>603069</v>
      </c>
      <c r="B3627" t="s">
        <v>7039</v>
      </c>
      <c r="C3627">
        <v>1.82</v>
      </c>
      <c r="D3627">
        <v>15.11</v>
      </c>
      <c r="E3627">
        <v>0.27</v>
      </c>
      <c r="F3627">
        <v>15.1</v>
      </c>
      <c r="G3627">
        <v>15.11</v>
      </c>
      <c r="H3627">
        <v>31176</v>
      </c>
      <c r="I3627">
        <v>433</v>
      </c>
      <c r="J3627">
        <v>0.2</v>
      </c>
      <c r="K3627">
        <v>0.99</v>
      </c>
      <c r="L3627">
        <v>4678.57</v>
      </c>
      <c r="M3627" t="s">
        <v>7040</v>
      </c>
      <c r="N3627" t="s">
        <v>1791</v>
      </c>
      <c r="O3627">
        <v>14.83</v>
      </c>
      <c r="P3627">
        <v>15.18</v>
      </c>
      <c r="Q3627">
        <v>14.79</v>
      </c>
      <c r="R3627">
        <v>14.84</v>
      </c>
      <c r="S3627" t="s">
        <v>40</v>
      </c>
      <c r="T3627">
        <v>0.98</v>
      </c>
      <c r="U3627" t="s">
        <v>294</v>
      </c>
    </row>
    <row r="3628" spans="1:21">
      <c r="A3628" t="str">
        <f>"603076"</f>
        <v>603076</v>
      </c>
      <c r="B3628" t="s">
        <v>7041</v>
      </c>
      <c r="C3628">
        <v>1.3</v>
      </c>
      <c r="D3628">
        <v>37.3</v>
      </c>
      <c r="E3628">
        <v>0.48</v>
      </c>
      <c r="F3628">
        <v>37.25</v>
      </c>
      <c r="G3628">
        <v>37.3</v>
      </c>
      <c r="H3628">
        <v>9256</v>
      </c>
      <c r="I3628">
        <v>209</v>
      </c>
      <c r="J3628">
        <v>0</v>
      </c>
      <c r="K3628">
        <v>0.77</v>
      </c>
      <c r="L3628">
        <v>3406.54</v>
      </c>
      <c r="M3628" t="s">
        <v>7042</v>
      </c>
      <c r="N3628" t="s">
        <v>324</v>
      </c>
      <c r="O3628">
        <v>36.53</v>
      </c>
      <c r="P3628">
        <v>37.5</v>
      </c>
      <c r="Q3628">
        <v>36.3</v>
      </c>
      <c r="R3628">
        <v>36.82</v>
      </c>
      <c r="S3628">
        <v>50.45</v>
      </c>
      <c r="T3628">
        <v>0.49</v>
      </c>
      <c r="U3628" t="s">
        <v>200</v>
      </c>
    </row>
    <row r="3629" spans="1:21">
      <c r="A3629" t="str">
        <f>"603077"</f>
        <v>603077</v>
      </c>
      <c r="B3629" t="s">
        <v>7043</v>
      </c>
      <c r="C3629">
        <v>-0.58</v>
      </c>
      <c r="D3629">
        <v>3.42</v>
      </c>
      <c r="E3629">
        <v>-0.02</v>
      </c>
      <c r="F3629">
        <v>3.42</v>
      </c>
      <c r="G3629">
        <v>3.43</v>
      </c>
      <c r="H3629">
        <v>2380031</v>
      </c>
      <c r="I3629">
        <v>26746</v>
      </c>
      <c r="J3629">
        <v>0.29</v>
      </c>
      <c r="K3629">
        <v>2.7</v>
      </c>
      <c r="L3629">
        <v>80418.88</v>
      </c>
      <c r="M3629" t="s">
        <v>7044</v>
      </c>
      <c r="N3629" t="s">
        <v>309</v>
      </c>
      <c r="O3629">
        <v>3.42</v>
      </c>
      <c r="P3629">
        <v>3.45</v>
      </c>
      <c r="Q3629">
        <v>3.28</v>
      </c>
      <c r="R3629">
        <v>3.44</v>
      </c>
      <c r="S3629">
        <v>11.25</v>
      </c>
      <c r="T3629">
        <v>0.92</v>
      </c>
      <c r="U3629" t="s">
        <v>196</v>
      </c>
    </row>
    <row r="3630" spans="1:21">
      <c r="A3630" t="str">
        <f>"603078"</f>
        <v>603078</v>
      </c>
      <c r="B3630" t="s">
        <v>7045</v>
      </c>
      <c r="C3630">
        <v>-4.93</v>
      </c>
      <c r="D3630">
        <v>28.35</v>
      </c>
      <c r="E3630">
        <v>-1.47</v>
      </c>
      <c r="F3630">
        <v>28.35</v>
      </c>
      <c r="G3630">
        <v>28.36</v>
      </c>
      <c r="H3630">
        <v>162276</v>
      </c>
      <c r="I3630">
        <v>839</v>
      </c>
      <c r="J3630">
        <v>-0.03</v>
      </c>
      <c r="K3630">
        <v>8.28</v>
      </c>
      <c r="L3630">
        <v>47535.14</v>
      </c>
      <c r="M3630" t="s">
        <v>4601</v>
      </c>
      <c r="N3630" t="s">
        <v>309</v>
      </c>
      <c r="O3630">
        <v>31</v>
      </c>
      <c r="P3630">
        <v>32</v>
      </c>
      <c r="Q3630">
        <v>26.84</v>
      </c>
      <c r="R3630">
        <v>29.82</v>
      </c>
      <c r="S3630">
        <v>149.82</v>
      </c>
      <c r="T3630">
        <v>2.03</v>
      </c>
      <c r="U3630" t="s">
        <v>102</v>
      </c>
    </row>
    <row r="3631" spans="1:21">
      <c r="A3631" t="str">
        <f>"603079"</f>
        <v>603079</v>
      </c>
      <c r="B3631" t="s">
        <v>7046</v>
      </c>
      <c r="C3631">
        <v>0.42</v>
      </c>
      <c r="D3631">
        <v>16.88</v>
      </c>
      <c r="E3631">
        <v>0.07</v>
      </c>
      <c r="F3631">
        <v>16.88</v>
      </c>
      <c r="G3631">
        <v>16.9</v>
      </c>
      <c r="H3631">
        <v>8520</v>
      </c>
      <c r="I3631">
        <v>128</v>
      </c>
      <c r="J3631">
        <v>-0.17</v>
      </c>
      <c r="K3631">
        <v>0.5</v>
      </c>
      <c r="L3631">
        <v>1438.88</v>
      </c>
      <c r="M3631" t="s">
        <v>3563</v>
      </c>
      <c r="N3631" t="s">
        <v>299</v>
      </c>
      <c r="O3631">
        <v>16.81</v>
      </c>
      <c r="P3631">
        <v>17.02</v>
      </c>
      <c r="Q3631">
        <v>16.77</v>
      </c>
      <c r="R3631">
        <v>16.81</v>
      </c>
      <c r="S3631">
        <v>33.88</v>
      </c>
      <c r="T3631">
        <v>0.46</v>
      </c>
      <c r="U3631" t="s">
        <v>200</v>
      </c>
    </row>
    <row r="3632" spans="1:21">
      <c r="A3632" t="str">
        <f>"603080"</f>
        <v>603080</v>
      </c>
      <c r="B3632" t="s">
        <v>7047</v>
      </c>
      <c r="C3632">
        <v>1.93</v>
      </c>
      <c r="D3632">
        <v>15.32</v>
      </c>
      <c r="E3632">
        <v>0.29</v>
      </c>
      <c r="F3632">
        <v>15.32</v>
      </c>
      <c r="G3632">
        <v>15.33</v>
      </c>
      <c r="H3632">
        <v>58068</v>
      </c>
      <c r="I3632">
        <v>1304</v>
      </c>
      <c r="J3632">
        <v>0.13</v>
      </c>
      <c r="K3632">
        <v>4.1</v>
      </c>
      <c r="L3632">
        <v>8742.76</v>
      </c>
      <c r="M3632" t="s">
        <v>538</v>
      </c>
      <c r="N3632" t="s">
        <v>238</v>
      </c>
      <c r="O3632">
        <v>14.91</v>
      </c>
      <c r="P3632">
        <v>15.32</v>
      </c>
      <c r="Q3632">
        <v>14.68</v>
      </c>
      <c r="R3632">
        <v>15.03</v>
      </c>
      <c r="S3632">
        <v>20.48</v>
      </c>
      <c r="T3632">
        <v>0.96</v>
      </c>
      <c r="U3632" t="s">
        <v>210</v>
      </c>
    </row>
    <row r="3633" spans="1:21">
      <c r="A3633" t="str">
        <f>"603081"</f>
        <v>603081</v>
      </c>
      <c r="B3633" t="s">
        <v>7048</v>
      </c>
      <c r="C3633">
        <v>10.04</v>
      </c>
      <c r="D3633">
        <v>12.71</v>
      </c>
      <c r="E3633">
        <v>1.16</v>
      </c>
      <c r="F3633">
        <v>12.71</v>
      </c>
      <c r="G3633" t="s">
        <v>40</v>
      </c>
      <c r="H3633">
        <v>201224</v>
      </c>
      <c r="I3633">
        <v>94</v>
      </c>
      <c r="J3633">
        <v>0</v>
      </c>
      <c r="K3633">
        <v>5.01</v>
      </c>
      <c r="L3633">
        <v>25309.51</v>
      </c>
      <c r="M3633" t="s">
        <v>7049</v>
      </c>
      <c r="N3633" t="s">
        <v>324</v>
      </c>
      <c r="O3633">
        <v>11.98</v>
      </c>
      <c r="P3633">
        <v>12.71</v>
      </c>
      <c r="Q3633">
        <v>11.85</v>
      </c>
      <c r="R3633">
        <v>11.55</v>
      </c>
      <c r="S3633">
        <v>15.85</v>
      </c>
      <c r="T3633">
        <v>6.4</v>
      </c>
      <c r="U3633" t="s">
        <v>200</v>
      </c>
    </row>
    <row r="3634" spans="1:21">
      <c r="A3634" t="str">
        <f>"603083"</f>
        <v>603083</v>
      </c>
      <c r="B3634" t="s">
        <v>7050</v>
      </c>
      <c r="C3634">
        <v>0.93</v>
      </c>
      <c r="D3634">
        <v>12.98</v>
      </c>
      <c r="E3634">
        <v>0.12</v>
      </c>
      <c r="F3634">
        <v>12.98</v>
      </c>
      <c r="G3634">
        <v>12.99</v>
      </c>
      <c r="H3634">
        <v>35891</v>
      </c>
      <c r="I3634">
        <v>1173</v>
      </c>
      <c r="J3634">
        <v>0.15</v>
      </c>
      <c r="K3634">
        <v>1.42</v>
      </c>
      <c r="L3634">
        <v>4644.54</v>
      </c>
      <c r="M3634" t="s">
        <v>1590</v>
      </c>
      <c r="N3634" t="s">
        <v>153</v>
      </c>
      <c r="O3634">
        <v>12.84</v>
      </c>
      <c r="P3634">
        <v>13.09</v>
      </c>
      <c r="Q3634">
        <v>12.77</v>
      </c>
      <c r="R3634">
        <v>12.86</v>
      </c>
      <c r="S3634">
        <v>60.47</v>
      </c>
      <c r="T3634">
        <v>1</v>
      </c>
      <c r="U3634" t="s">
        <v>848</v>
      </c>
    </row>
    <row r="3635" spans="1:21">
      <c r="A3635" t="str">
        <f>"603085"</f>
        <v>603085</v>
      </c>
      <c r="B3635" t="s">
        <v>7051</v>
      </c>
      <c r="C3635">
        <v>0.52</v>
      </c>
      <c r="D3635">
        <v>7.67</v>
      </c>
      <c r="E3635">
        <v>0.04</v>
      </c>
      <c r="F3635">
        <v>7.66</v>
      </c>
      <c r="G3635">
        <v>7.67</v>
      </c>
      <c r="H3635">
        <v>145119</v>
      </c>
      <c r="I3635">
        <v>2010</v>
      </c>
      <c r="J3635">
        <v>0.13</v>
      </c>
      <c r="K3635">
        <v>3.92</v>
      </c>
      <c r="L3635">
        <v>11157.68</v>
      </c>
      <c r="M3635" t="s">
        <v>7052</v>
      </c>
      <c r="N3635" t="s">
        <v>91</v>
      </c>
      <c r="O3635">
        <v>7.63</v>
      </c>
      <c r="P3635">
        <v>7.82</v>
      </c>
      <c r="Q3635">
        <v>7.53</v>
      </c>
      <c r="R3635">
        <v>7.63</v>
      </c>
      <c r="S3635">
        <v>42.05</v>
      </c>
      <c r="T3635">
        <v>0.67</v>
      </c>
      <c r="U3635" t="s">
        <v>200</v>
      </c>
    </row>
    <row r="3636" spans="1:21">
      <c r="A3636" t="str">
        <f>"603086"</f>
        <v>603086</v>
      </c>
      <c r="B3636" t="s">
        <v>7053</v>
      </c>
      <c r="C3636">
        <v>0.84</v>
      </c>
      <c r="D3636">
        <v>9.57</v>
      </c>
      <c r="E3636">
        <v>0.08</v>
      </c>
      <c r="F3636">
        <v>9.57</v>
      </c>
      <c r="G3636">
        <v>9.58</v>
      </c>
      <c r="H3636">
        <v>16386</v>
      </c>
      <c r="I3636">
        <v>186</v>
      </c>
      <c r="J3636">
        <v>-0.09</v>
      </c>
      <c r="K3636">
        <v>0.74</v>
      </c>
      <c r="L3636">
        <v>1554.41</v>
      </c>
      <c r="M3636" t="s">
        <v>2569</v>
      </c>
      <c r="N3636" t="s">
        <v>241</v>
      </c>
      <c r="O3636">
        <v>9.46</v>
      </c>
      <c r="P3636">
        <v>9.58</v>
      </c>
      <c r="Q3636">
        <v>9.35</v>
      </c>
      <c r="R3636">
        <v>9.49</v>
      </c>
      <c r="S3636">
        <v>19.01</v>
      </c>
      <c r="T3636">
        <v>0.75</v>
      </c>
      <c r="U3636" t="s">
        <v>221</v>
      </c>
    </row>
    <row r="3637" spans="1:21">
      <c r="A3637" t="str">
        <f>"603087"</f>
        <v>603087</v>
      </c>
      <c r="B3637" t="s">
        <v>7054</v>
      </c>
      <c r="C3637">
        <v>0.56</v>
      </c>
      <c r="D3637">
        <v>67.7</v>
      </c>
      <c r="E3637">
        <v>0.38</v>
      </c>
      <c r="F3637">
        <v>67.69</v>
      </c>
      <c r="G3637">
        <v>67.7</v>
      </c>
      <c r="H3637">
        <v>28726</v>
      </c>
      <c r="I3637">
        <v>520</v>
      </c>
      <c r="J3637">
        <v>0.18</v>
      </c>
      <c r="K3637">
        <v>1</v>
      </c>
      <c r="L3637">
        <v>19393.97</v>
      </c>
      <c r="M3637" t="s">
        <v>7055</v>
      </c>
      <c r="N3637" t="s">
        <v>231</v>
      </c>
      <c r="O3637">
        <v>67.32</v>
      </c>
      <c r="P3637">
        <v>67.91</v>
      </c>
      <c r="Q3637">
        <v>67</v>
      </c>
      <c r="R3637">
        <v>67.32</v>
      </c>
      <c r="S3637">
        <v>32.72</v>
      </c>
      <c r="T3637">
        <v>0.48</v>
      </c>
      <c r="U3637" t="s">
        <v>44</v>
      </c>
    </row>
    <row r="3638" spans="1:21">
      <c r="A3638" t="str">
        <f>"603088"</f>
        <v>603088</v>
      </c>
      <c r="B3638" t="s">
        <v>7056</v>
      </c>
      <c r="C3638">
        <v>-0.93</v>
      </c>
      <c r="D3638">
        <v>13.79</v>
      </c>
      <c r="E3638">
        <v>-0.13</v>
      </c>
      <c r="F3638">
        <v>13.78</v>
      </c>
      <c r="G3638">
        <v>13.79</v>
      </c>
      <c r="H3638">
        <v>353604</v>
      </c>
      <c r="I3638">
        <v>5788</v>
      </c>
      <c r="J3638">
        <v>-0.13</v>
      </c>
      <c r="K3638">
        <v>11.51</v>
      </c>
      <c r="L3638">
        <v>48644.13</v>
      </c>
      <c r="M3638" t="s">
        <v>7057</v>
      </c>
      <c r="N3638" t="s">
        <v>324</v>
      </c>
      <c r="O3638">
        <v>13.55</v>
      </c>
      <c r="P3638">
        <v>14.19</v>
      </c>
      <c r="Q3638">
        <v>13.01</v>
      </c>
      <c r="R3638">
        <v>13.92</v>
      </c>
      <c r="S3638">
        <v>51.85</v>
      </c>
      <c r="T3638">
        <v>0.96</v>
      </c>
      <c r="U3638" t="s">
        <v>200</v>
      </c>
    </row>
    <row r="3639" spans="1:21">
      <c r="A3639" t="str">
        <f>"603089"</f>
        <v>603089</v>
      </c>
      <c r="B3639" t="s">
        <v>7058</v>
      </c>
      <c r="C3639">
        <v>3.08</v>
      </c>
      <c r="D3639">
        <v>8.69</v>
      </c>
      <c r="E3639">
        <v>0.26</v>
      </c>
      <c r="F3639">
        <v>8.69</v>
      </c>
      <c r="G3639">
        <v>8.7</v>
      </c>
      <c r="H3639">
        <v>26467</v>
      </c>
      <c r="I3639">
        <v>198</v>
      </c>
      <c r="J3639">
        <v>-0.1</v>
      </c>
      <c r="K3639">
        <v>1.19</v>
      </c>
      <c r="L3639">
        <v>2272.76</v>
      </c>
      <c r="M3639" t="s">
        <v>7059</v>
      </c>
      <c r="N3639" t="s">
        <v>91</v>
      </c>
      <c r="O3639">
        <v>8.43</v>
      </c>
      <c r="P3639">
        <v>8.71</v>
      </c>
      <c r="Q3639">
        <v>8.36</v>
      </c>
      <c r="R3639">
        <v>8.43</v>
      </c>
      <c r="S3639">
        <v>24.36</v>
      </c>
      <c r="T3639">
        <v>1.49</v>
      </c>
      <c r="U3639" t="s">
        <v>200</v>
      </c>
    </row>
    <row r="3640" spans="1:21">
      <c r="A3640" t="str">
        <f>"603090"</f>
        <v>603090</v>
      </c>
      <c r="B3640" t="s">
        <v>7060</v>
      </c>
      <c r="C3640">
        <v>-2.19</v>
      </c>
      <c r="D3640">
        <v>24.97</v>
      </c>
      <c r="E3640">
        <v>-0.56</v>
      </c>
      <c r="F3640">
        <v>24.96</v>
      </c>
      <c r="G3640">
        <v>24.97</v>
      </c>
      <c r="H3640">
        <v>47057</v>
      </c>
      <c r="I3640">
        <v>578</v>
      </c>
      <c r="J3640">
        <v>0.24</v>
      </c>
      <c r="K3640">
        <v>4.71</v>
      </c>
      <c r="L3640">
        <v>11806.28</v>
      </c>
      <c r="M3640" t="s">
        <v>7061</v>
      </c>
      <c r="N3640" t="s">
        <v>324</v>
      </c>
      <c r="O3640">
        <v>25.64</v>
      </c>
      <c r="P3640">
        <v>26</v>
      </c>
      <c r="Q3640">
        <v>24.52</v>
      </c>
      <c r="R3640">
        <v>25.53</v>
      </c>
      <c r="S3640">
        <v>116.35</v>
      </c>
      <c r="T3640">
        <v>0.66</v>
      </c>
      <c r="U3640" t="s">
        <v>102</v>
      </c>
    </row>
    <row r="3641" spans="1:21">
      <c r="A3641" t="str">
        <f>"603093"</f>
        <v>603093</v>
      </c>
      <c r="B3641" t="s">
        <v>7062</v>
      </c>
      <c r="C3641">
        <v>1.93</v>
      </c>
      <c r="D3641">
        <v>12.66</v>
      </c>
      <c r="E3641">
        <v>0.24</v>
      </c>
      <c r="F3641">
        <v>12.66</v>
      </c>
      <c r="G3641">
        <v>12.67</v>
      </c>
      <c r="H3641">
        <v>37172</v>
      </c>
      <c r="I3641">
        <v>503</v>
      </c>
      <c r="J3641">
        <v>0</v>
      </c>
      <c r="K3641">
        <v>2.65</v>
      </c>
      <c r="L3641">
        <v>4670.45</v>
      </c>
      <c r="M3641" t="s">
        <v>136</v>
      </c>
      <c r="N3641" t="s">
        <v>121</v>
      </c>
      <c r="O3641">
        <v>12.42</v>
      </c>
      <c r="P3641">
        <v>12.71</v>
      </c>
      <c r="Q3641">
        <v>12.35</v>
      </c>
      <c r="R3641">
        <v>12.42</v>
      </c>
      <c r="S3641">
        <v>33.96</v>
      </c>
      <c r="T3641">
        <v>1.24</v>
      </c>
      <c r="U3641" t="s">
        <v>200</v>
      </c>
    </row>
    <row r="3642" spans="1:21">
      <c r="A3642" t="str">
        <f>"603095"</f>
        <v>603095</v>
      </c>
      <c r="B3642" t="s">
        <v>7063</v>
      </c>
      <c r="C3642">
        <v>1.56</v>
      </c>
      <c r="D3642">
        <v>26.68</v>
      </c>
      <c r="E3642">
        <v>0.41</v>
      </c>
      <c r="F3642">
        <v>26.68</v>
      </c>
      <c r="G3642">
        <v>26.69</v>
      </c>
      <c r="H3642">
        <v>11307</v>
      </c>
      <c r="I3642">
        <v>155</v>
      </c>
      <c r="J3642">
        <v>0.19</v>
      </c>
      <c r="K3642">
        <v>3.02</v>
      </c>
      <c r="L3642">
        <v>3000.01</v>
      </c>
      <c r="M3642" t="s">
        <v>7064</v>
      </c>
      <c r="N3642" t="s">
        <v>1135</v>
      </c>
      <c r="O3642">
        <v>26.2</v>
      </c>
      <c r="P3642">
        <v>26.88</v>
      </c>
      <c r="Q3642">
        <v>26.14</v>
      </c>
      <c r="R3642">
        <v>26.27</v>
      </c>
      <c r="S3642">
        <v>16.37</v>
      </c>
      <c r="T3642">
        <v>0.69</v>
      </c>
      <c r="U3642" t="s">
        <v>200</v>
      </c>
    </row>
    <row r="3643" spans="1:21">
      <c r="A3643" t="str">
        <f>"603096"</f>
        <v>603096</v>
      </c>
      <c r="B3643" t="s">
        <v>7065</v>
      </c>
      <c r="C3643">
        <v>-0.18</v>
      </c>
      <c r="D3643">
        <v>27.8</v>
      </c>
      <c r="E3643">
        <v>-0.05</v>
      </c>
      <c r="F3643">
        <v>27.7</v>
      </c>
      <c r="G3643">
        <v>27.8</v>
      </c>
      <c r="H3643">
        <v>6956</v>
      </c>
      <c r="I3643">
        <v>132</v>
      </c>
      <c r="J3643">
        <v>0.65</v>
      </c>
      <c r="K3643">
        <v>0.43</v>
      </c>
      <c r="L3643">
        <v>1919.27</v>
      </c>
      <c r="M3643" t="s">
        <v>7066</v>
      </c>
      <c r="N3643" t="s">
        <v>650</v>
      </c>
      <c r="O3643">
        <v>27.75</v>
      </c>
      <c r="P3643">
        <v>27.8</v>
      </c>
      <c r="Q3643">
        <v>27.39</v>
      </c>
      <c r="R3643">
        <v>27.85</v>
      </c>
      <c r="S3643">
        <v>25.86</v>
      </c>
      <c r="T3643">
        <v>0.57</v>
      </c>
      <c r="U3643" t="s">
        <v>360</v>
      </c>
    </row>
    <row r="3644" spans="1:21">
      <c r="A3644" t="str">
        <f>"603098"</f>
        <v>603098</v>
      </c>
      <c r="B3644" t="s">
        <v>7067</v>
      </c>
      <c r="C3644">
        <v>-2.47</v>
      </c>
      <c r="D3644">
        <v>50.23</v>
      </c>
      <c r="E3644">
        <v>-1.27</v>
      </c>
      <c r="F3644">
        <v>50.23</v>
      </c>
      <c r="G3644">
        <v>50.24</v>
      </c>
      <c r="H3644">
        <v>59069</v>
      </c>
      <c r="I3644">
        <v>703</v>
      </c>
      <c r="J3644">
        <v>0.04</v>
      </c>
      <c r="K3644">
        <v>1.1</v>
      </c>
      <c r="L3644">
        <v>29479.52</v>
      </c>
      <c r="M3644" t="s">
        <v>7068</v>
      </c>
      <c r="N3644" t="s">
        <v>1189</v>
      </c>
      <c r="O3644">
        <v>51</v>
      </c>
      <c r="P3644">
        <v>51</v>
      </c>
      <c r="Q3644">
        <v>49.1</v>
      </c>
      <c r="R3644">
        <v>51.5</v>
      </c>
      <c r="S3644">
        <v>238.33</v>
      </c>
      <c r="T3644">
        <v>1.04</v>
      </c>
      <c r="U3644" t="s">
        <v>44</v>
      </c>
    </row>
    <row r="3645" spans="1:21">
      <c r="A3645" t="str">
        <f>"603099"</f>
        <v>603099</v>
      </c>
      <c r="B3645" t="s">
        <v>7069</v>
      </c>
      <c r="C3645">
        <v>0.75</v>
      </c>
      <c r="D3645">
        <v>12.03</v>
      </c>
      <c r="E3645">
        <v>0.09</v>
      </c>
      <c r="F3645">
        <v>12.03</v>
      </c>
      <c r="G3645">
        <v>12.04</v>
      </c>
      <c r="H3645">
        <v>56509</v>
      </c>
      <c r="I3645">
        <v>639</v>
      </c>
      <c r="J3645">
        <v>0.08</v>
      </c>
      <c r="K3645">
        <v>2.12</v>
      </c>
      <c r="L3645">
        <v>6809.72</v>
      </c>
      <c r="M3645" t="s">
        <v>5823</v>
      </c>
      <c r="N3645" t="s">
        <v>162</v>
      </c>
      <c r="O3645">
        <v>12.02</v>
      </c>
      <c r="P3645">
        <v>12.36</v>
      </c>
      <c r="Q3645">
        <v>11.88</v>
      </c>
      <c r="R3645">
        <v>11.94</v>
      </c>
      <c r="S3645" t="s">
        <v>40</v>
      </c>
      <c r="T3645">
        <v>0.76</v>
      </c>
      <c r="U3645" t="s">
        <v>92</v>
      </c>
    </row>
    <row r="3646" spans="1:21">
      <c r="A3646" t="str">
        <f>"603100"</f>
        <v>603100</v>
      </c>
      <c r="B3646" t="s">
        <v>7070</v>
      </c>
      <c r="C3646">
        <v>-0.41</v>
      </c>
      <c r="D3646">
        <v>19.65</v>
      </c>
      <c r="E3646">
        <v>-0.08</v>
      </c>
      <c r="F3646">
        <v>19.64</v>
      </c>
      <c r="G3646">
        <v>19.65</v>
      </c>
      <c r="H3646">
        <v>41555</v>
      </c>
      <c r="I3646">
        <v>575</v>
      </c>
      <c r="J3646">
        <v>0.36</v>
      </c>
      <c r="K3646">
        <v>1.05</v>
      </c>
      <c r="L3646">
        <v>8157.94</v>
      </c>
      <c r="M3646" t="s">
        <v>7071</v>
      </c>
      <c r="N3646" t="s">
        <v>1028</v>
      </c>
      <c r="O3646">
        <v>19.73</v>
      </c>
      <c r="P3646">
        <v>19.9</v>
      </c>
      <c r="Q3646">
        <v>19.5</v>
      </c>
      <c r="R3646">
        <v>19.73</v>
      </c>
      <c r="S3646">
        <v>13.98</v>
      </c>
      <c r="T3646">
        <v>0.52</v>
      </c>
      <c r="U3646" t="s">
        <v>314</v>
      </c>
    </row>
    <row r="3647" spans="1:21">
      <c r="A3647" t="str">
        <f>"603101"</f>
        <v>603101</v>
      </c>
      <c r="B3647" t="s">
        <v>7072</v>
      </c>
      <c r="C3647">
        <v>-2.13</v>
      </c>
      <c r="D3647">
        <v>5.96</v>
      </c>
      <c r="E3647">
        <v>-0.13</v>
      </c>
      <c r="F3647">
        <v>5.96</v>
      </c>
      <c r="G3647">
        <v>5.97</v>
      </c>
      <c r="H3647">
        <v>42259</v>
      </c>
      <c r="I3647">
        <v>457</v>
      </c>
      <c r="J3647">
        <v>0.34</v>
      </c>
      <c r="K3647">
        <v>0.9</v>
      </c>
      <c r="L3647">
        <v>2512.14</v>
      </c>
      <c r="M3647" t="s">
        <v>7073</v>
      </c>
      <c r="N3647" t="s">
        <v>258</v>
      </c>
      <c r="O3647">
        <v>6.09</v>
      </c>
      <c r="P3647">
        <v>6.1</v>
      </c>
      <c r="Q3647">
        <v>5.86</v>
      </c>
      <c r="R3647">
        <v>6.09</v>
      </c>
      <c r="S3647">
        <v>31.27</v>
      </c>
      <c r="T3647">
        <v>0.88</v>
      </c>
      <c r="U3647" t="s">
        <v>210</v>
      </c>
    </row>
    <row r="3648" spans="1:21">
      <c r="A3648" t="str">
        <f>"603103"</f>
        <v>603103</v>
      </c>
      <c r="B3648" t="s">
        <v>7074</v>
      </c>
      <c r="C3648">
        <v>0.58</v>
      </c>
      <c r="D3648">
        <v>12.1</v>
      </c>
      <c r="E3648">
        <v>0.07</v>
      </c>
      <c r="F3648">
        <v>12.1</v>
      </c>
      <c r="G3648">
        <v>12.11</v>
      </c>
      <c r="H3648">
        <v>10691</v>
      </c>
      <c r="I3648">
        <v>149</v>
      </c>
      <c r="J3648">
        <v>0.17</v>
      </c>
      <c r="K3648">
        <v>0.17</v>
      </c>
      <c r="L3648">
        <v>1287.98</v>
      </c>
      <c r="M3648" t="s">
        <v>7075</v>
      </c>
      <c r="N3648" t="s">
        <v>199</v>
      </c>
      <c r="O3648">
        <v>12.05</v>
      </c>
      <c r="P3648">
        <v>12.11</v>
      </c>
      <c r="Q3648">
        <v>11.97</v>
      </c>
      <c r="R3648">
        <v>12.03</v>
      </c>
      <c r="S3648">
        <v>88.62</v>
      </c>
      <c r="T3648">
        <v>0.7</v>
      </c>
      <c r="U3648" t="s">
        <v>200</v>
      </c>
    </row>
    <row r="3649" spans="1:21">
      <c r="A3649" t="str">
        <f>"603105"</f>
        <v>603105</v>
      </c>
      <c r="B3649" t="s">
        <v>7076</v>
      </c>
      <c r="C3649">
        <v>0</v>
      </c>
      <c r="D3649">
        <v>17.46</v>
      </c>
      <c r="E3649">
        <v>0</v>
      </c>
      <c r="F3649">
        <v>17.46</v>
      </c>
      <c r="G3649">
        <v>17.47</v>
      </c>
      <c r="H3649">
        <v>175712</v>
      </c>
      <c r="I3649">
        <v>1731</v>
      </c>
      <c r="J3649">
        <v>0.06</v>
      </c>
      <c r="K3649">
        <v>3.51</v>
      </c>
      <c r="L3649">
        <v>30210.52</v>
      </c>
      <c r="M3649" t="s">
        <v>7077</v>
      </c>
      <c r="N3649" t="s">
        <v>47</v>
      </c>
      <c r="O3649">
        <v>17.4</v>
      </c>
      <c r="P3649">
        <v>17.66</v>
      </c>
      <c r="Q3649">
        <v>16.79</v>
      </c>
      <c r="R3649">
        <v>17.46</v>
      </c>
      <c r="S3649">
        <v>68.69</v>
      </c>
      <c r="T3649">
        <v>0.92</v>
      </c>
      <c r="U3649" t="s">
        <v>200</v>
      </c>
    </row>
    <row r="3650" spans="1:21">
      <c r="A3650" t="str">
        <f>"603106"</f>
        <v>603106</v>
      </c>
      <c r="B3650" t="s">
        <v>7078</v>
      </c>
      <c r="C3650">
        <v>0.78</v>
      </c>
      <c r="D3650">
        <v>5.17</v>
      </c>
      <c r="E3650">
        <v>0.04</v>
      </c>
      <c r="F3650">
        <v>5.17</v>
      </c>
      <c r="G3650">
        <v>5.18</v>
      </c>
      <c r="H3650">
        <v>21200</v>
      </c>
      <c r="I3650">
        <v>697</v>
      </c>
      <c r="J3650">
        <v>0.19</v>
      </c>
      <c r="K3650">
        <v>0.41</v>
      </c>
      <c r="L3650">
        <v>1087.8</v>
      </c>
      <c r="M3650" t="s">
        <v>2806</v>
      </c>
      <c r="N3650" t="s">
        <v>72</v>
      </c>
      <c r="O3650">
        <v>5.13</v>
      </c>
      <c r="P3650">
        <v>5.19</v>
      </c>
      <c r="Q3650">
        <v>5.07</v>
      </c>
      <c r="R3650">
        <v>5.13</v>
      </c>
      <c r="S3650">
        <v>103.29</v>
      </c>
      <c r="T3650">
        <v>1.02</v>
      </c>
      <c r="U3650" t="s">
        <v>360</v>
      </c>
    </row>
    <row r="3651" spans="1:21">
      <c r="A3651" t="str">
        <f>"603108"</f>
        <v>603108</v>
      </c>
      <c r="B3651" t="s">
        <v>7079</v>
      </c>
      <c r="C3651">
        <v>7.83</v>
      </c>
      <c r="D3651">
        <v>12.12</v>
      </c>
      <c r="E3651">
        <v>0.88</v>
      </c>
      <c r="F3651">
        <v>12.11</v>
      </c>
      <c r="G3651">
        <v>12.12</v>
      </c>
      <c r="H3651">
        <v>435956</v>
      </c>
      <c r="I3651">
        <v>1089</v>
      </c>
      <c r="J3651">
        <v>0.17</v>
      </c>
      <c r="K3651">
        <v>7.52</v>
      </c>
      <c r="L3651">
        <v>52026.9</v>
      </c>
      <c r="M3651" t="s">
        <v>7080</v>
      </c>
      <c r="N3651" t="s">
        <v>86</v>
      </c>
      <c r="O3651">
        <v>11.13</v>
      </c>
      <c r="P3651">
        <v>12.36</v>
      </c>
      <c r="Q3651">
        <v>11</v>
      </c>
      <c r="R3651">
        <v>11.24</v>
      </c>
      <c r="S3651">
        <v>16.18</v>
      </c>
      <c r="T3651">
        <v>5.3</v>
      </c>
      <c r="U3651" t="s">
        <v>848</v>
      </c>
    </row>
    <row r="3652" spans="1:21">
      <c r="A3652" t="str">
        <f>"603109"</f>
        <v>603109</v>
      </c>
      <c r="B3652" t="s">
        <v>7081</v>
      </c>
      <c r="C3652">
        <v>6.91</v>
      </c>
      <c r="D3652">
        <v>32.18</v>
      </c>
      <c r="E3652">
        <v>2.08</v>
      </c>
      <c r="F3652">
        <v>32.17</v>
      </c>
      <c r="G3652">
        <v>32.18</v>
      </c>
      <c r="H3652">
        <v>35965</v>
      </c>
      <c r="I3652">
        <v>684</v>
      </c>
      <c r="J3652">
        <v>-0.18</v>
      </c>
      <c r="K3652">
        <v>7.71</v>
      </c>
      <c r="L3652">
        <v>11335.34</v>
      </c>
      <c r="M3652" t="s">
        <v>7082</v>
      </c>
      <c r="N3652" t="s">
        <v>47</v>
      </c>
      <c r="O3652">
        <v>29.45</v>
      </c>
      <c r="P3652">
        <v>32.7</v>
      </c>
      <c r="Q3652">
        <v>29.45</v>
      </c>
      <c r="R3652">
        <v>30.1</v>
      </c>
      <c r="S3652">
        <v>24.5</v>
      </c>
      <c r="T3652">
        <v>1.41</v>
      </c>
      <c r="U3652" t="s">
        <v>314</v>
      </c>
    </row>
    <row r="3653" spans="1:21">
      <c r="A3653" t="str">
        <f>"603110"</f>
        <v>603110</v>
      </c>
      <c r="B3653" t="s">
        <v>7083</v>
      </c>
      <c r="C3653">
        <v>-1.23</v>
      </c>
      <c r="D3653">
        <v>32.93</v>
      </c>
      <c r="E3653">
        <v>-0.41</v>
      </c>
      <c r="F3653">
        <v>32.93</v>
      </c>
      <c r="G3653">
        <v>32.94</v>
      </c>
      <c r="H3653">
        <v>14297</v>
      </c>
      <c r="I3653">
        <v>173</v>
      </c>
      <c r="J3653">
        <v>-0.02</v>
      </c>
      <c r="K3653">
        <v>0.71</v>
      </c>
      <c r="L3653">
        <v>4751.9</v>
      </c>
      <c r="M3653" t="s">
        <v>7084</v>
      </c>
      <c r="N3653" t="s">
        <v>416</v>
      </c>
      <c r="O3653">
        <v>33.3</v>
      </c>
      <c r="P3653">
        <v>33.69</v>
      </c>
      <c r="Q3653">
        <v>32.9</v>
      </c>
      <c r="R3653">
        <v>33.34</v>
      </c>
      <c r="S3653">
        <v>82.43</v>
      </c>
      <c r="T3653">
        <v>1.08</v>
      </c>
      <c r="U3653" t="s">
        <v>200</v>
      </c>
    </row>
    <row r="3654" spans="1:21">
      <c r="A3654" t="str">
        <f>"603111"</f>
        <v>603111</v>
      </c>
      <c r="B3654" t="s">
        <v>7085</v>
      </c>
      <c r="C3654">
        <v>0.19</v>
      </c>
      <c r="D3654">
        <v>5.16</v>
      </c>
      <c r="E3654">
        <v>0.01</v>
      </c>
      <c r="F3654">
        <v>5.16</v>
      </c>
      <c r="G3654">
        <v>5.17</v>
      </c>
      <c r="H3654">
        <v>20593</v>
      </c>
      <c r="I3654">
        <v>302</v>
      </c>
      <c r="J3654">
        <v>0</v>
      </c>
      <c r="K3654">
        <v>0.25</v>
      </c>
      <c r="L3654">
        <v>1055.83</v>
      </c>
      <c r="M3654" t="s">
        <v>7086</v>
      </c>
      <c r="N3654" t="s">
        <v>43</v>
      </c>
      <c r="O3654">
        <v>5.15</v>
      </c>
      <c r="P3654">
        <v>5.18</v>
      </c>
      <c r="Q3654">
        <v>5.08</v>
      </c>
      <c r="R3654">
        <v>5.15</v>
      </c>
      <c r="S3654">
        <v>11.69</v>
      </c>
      <c r="T3654">
        <v>0.75</v>
      </c>
      <c r="U3654" t="s">
        <v>102</v>
      </c>
    </row>
    <row r="3655" spans="1:21">
      <c r="A3655" t="str">
        <f>"603112"</f>
        <v>603112</v>
      </c>
      <c r="B3655" t="s">
        <v>7087</v>
      </c>
      <c r="C3655">
        <v>2.68</v>
      </c>
      <c r="D3655">
        <v>13.4</v>
      </c>
      <c r="E3655">
        <v>0.35</v>
      </c>
      <c r="F3655">
        <v>13.39</v>
      </c>
      <c r="G3655">
        <v>13.4</v>
      </c>
      <c r="H3655">
        <v>45039</v>
      </c>
      <c r="I3655">
        <v>709</v>
      </c>
      <c r="J3655">
        <v>0.15</v>
      </c>
      <c r="K3655">
        <v>2.93</v>
      </c>
      <c r="L3655">
        <v>5968.94</v>
      </c>
      <c r="M3655" t="s">
        <v>7088</v>
      </c>
      <c r="N3655" t="s">
        <v>347</v>
      </c>
      <c r="O3655">
        <v>13.1</v>
      </c>
      <c r="P3655">
        <v>13.48</v>
      </c>
      <c r="Q3655">
        <v>12.82</v>
      </c>
      <c r="R3655">
        <v>13.05</v>
      </c>
      <c r="S3655">
        <v>16.73</v>
      </c>
      <c r="T3655">
        <v>1.44</v>
      </c>
      <c r="U3655" t="s">
        <v>232</v>
      </c>
    </row>
    <row r="3656" spans="1:21">
      <c r="A3656" t="str">
        <f>"603113"</f>
        <v>603113</v>
      </c>
      <c r="B3656" t="s">
        <v>7089</v>
      </c>
      <c r="C3656">
        <v>2.92</v>
      </c>
      <c r="D3656">
        <v>15.85</v>
      </c>
      <c r="E3656">
        <v>0.45</v>
      </c>
      <c r="F3656">
        <v>15.85</v>
      </c>
      <c r="G3656">
        <v>15.86</v>
      </c>
      <c r="H3656">
        <v>370915</v>
      </c>
      <c r="I3656">
        <v>4663</v>
      </c>
      <c r="J3656">
        <v>-0.55</v>
      </c>
      <c r="K3656">
        <v>5.13</v>
      </c>
      <c r="L3656">
        <v>57205.69</v>
      </c>
      <c r="M3656" t="s">
        <v>7090</v>
      </c>
      <c r="N3656" t="s">
        <v>659</v>
      </c>
      <c r="O3656">
        <v>15.2</v>
      </c>
      <c r="P3656">
        <v>16.06</v>
      </c>
      <c r="Q3656">
        <v>14.69</v>
      </c>
      <c r="R3656">
        <v>15.4</v>
      </c>
      <c r="S3656">
        <v>8.99</v>
      </c>
      <c r="T3656">
        <v>2.48</v>
      </c>
      <c r="U3656" t="s">
        <v>221</v>
      </c>
    </row>
    <row r="3657" spans="1:21">
      <c r="A3657" t="str">
        <f>"603115"</f>
        <v>603115</v>
      </c>
      <c r="B3657" t="s">
        <v>7091</v>
      </c>
      <c r="C3657">
        <v>3.74</v>
      </c>
      <c r="D3657">
        <v>29.93</v>
      </c>
      <c r="E3657">
        <v>1.08</v>
      </c>
      <c r="F3657">
        <v>29.93</v>
      </c>
      <c r="G3657">
        <v>29.94</v>
      </c>
      <c r="H3657">
        <v>99418</v>
      </c>
      <c r="I3657">
        <v>823</v>
      </c>
      <c r="J3657">
        <v>-0.22</v>
      </c>
      <c r="K3657">
        <v>19.12</v>
      </c>
      <c r="L3657">
        <v>29559.7</v>
      </c>
      <c r="M3657" t="s">
        <v>3239</v>
      </c>
      <c r="N3657" t="s">
        <v>494</v>
      </c>
      <c r="O3657">
        <v>28.9</v>
      </c>
      <c r="P3657">
        <v>30.3</v>
      </c>
      <c r="Q3657">
        <v>28.82</v>
      </c>
      <c r="R3657">
        <v>28.85</v>
      </c>
      <c r="S3657">
        <v>29.37</v>
      </c>
      <c r="T3657">
        <v>0.86</v>
      </c>
      <c r="U3657" t="s">
        <v>102</v>
      </c>
    </row>
    <row r="3658" spans="1:21">
      <c r="A3658" t="str">
        <f>"603116"</f>
        <v>603116</v>
      </c>
      <c r="B3658" t="s">
        <v>7092</v>
      </c>
      <c r="C3658">
        <v>-0.89</v>
      </c>
      <c r="D3658">
        <v>5.59</v>
      </c>
      <c r="E3658">
        <v>-0.05</v>
      </c>
      <c r="F3658">
        <v>5.59</v>
      </c>
      <c r="G3658">
        <v>5.6</v>
      </c>
      <c r="H3658">
        <v>37676</v>
      </c>
      <c r="I3658">
        <v>310</v>
      </c>
      <c r="J3658">
        <v>-0.17</v>
      </c>
      <c r="K3658">
        <v>0.65</v>
      </c>
      <c r="L3658">
        <v>2085.73</v>
      </c>
      <c r="M3658" t="s">
        <v>7093</v>
      </c>
      <c r="N3658" t="s">
        <v>1061</v>
      </c>
      <c r="O3658">
        <v>5.64</v>
      </c>
      <c r="P3658">
        <v>5.64</v>
      </c>
      <c r="Q3658">
        <v>5.44</v>
      </c>
      <c r="R3658">
        <v>5.64</v>
      </c>
      <c r="S3658">
        <v>61.8</v>
      </c>
      <c r="T3658">
        <v>1.6</v>
      </c>
      <c r="U3658" t="s">
        <v>200</v>
      </c>
    </row>
    <row r="3659" spans="1:21">
      <c r="A3659" t="str">
        <f>"603117"</f>
        <v>603117</v>
      </c>
      <c r="B3659" t="s">
        <v>7094</v>
      </c>
      <c r="C3659">
        <v>1.43</v>
      </c>
      <c r="D3659">
        <v>3.55</v>
      </c>
      <c r="E3659">
        <v>0.05</v>
      </c>
      <c r="F3659">
        <v>3.54</v>
      </c>
      <c r="G3659">
        <v>3.55</v>
      </c>
      <c r="H3659">
        <v>54121</v>
      </c>
      <c r="I3659">
        <v>1195</v>
      </c>
      <c r="J3659">
        <v>0</v>
      </c>
      <c r="K3659">
        <v>0.85</v>
      </c>
      <c r="L3659">
        <v>1912.25</v>
      </c>
      <c r="M3659" t="s">
        <v>3807</v>
      </c>
      <c r="N3659" t="s">
        <v>1049</v>
      </c>
      <c r="O3659">
        <v>3.5</v>
      </c>
      <c r="P3659">
        <v>3.56</v>
      </c>
      <c r="Q3659">
        <v>3.48</v>
      </c>
      <c r="R3659">
        <v>3.5</v>
      </c>
      <c r="S3659">
        <v>48.6</v>
      </c>
      <c r="T3659">
        <v>1.71</v>
      </c>
      <c r="U3659" t="s">
        <v>102</v>
      </c>
    </row>
    <row r="3660" spans="1:21">
      <c r="A3660" t="str">
        <f>"603118"</f>
        <v>603118</v>
      </c>
      <c r="B3660" t="s">
        <v>7095</v>
      </c>
      <c r="C3660">
        <v>0.9</v>
      </c>
      <c r="D3660">
        <v>8.99</v>
      </c>
      <c r="E3660">
        <v>0.08</v>
      </c>
      <c r="F3660">
        <v>8.99</v>
      </c>
      <c r="G3660">
        <v>9</v>
      </c>
      <c r="H3660">
        <v>52747</v>
      </c>
      <c r="I3660">
        <v>402</v>
      </c>
      <c r="J3660">
        <v>-0.21</v>
      </c>
      <c r="K3660">
        <v>0.68</v>
      </c>
      <c r="L3660">
        <v>4712.58</v>
      </c>
      <c r="M3660" t="s">
        <v>7096</v>
      </c>
      <c r="N3660" t="s">
        <v>153</v>
      </c>
      <c r="O3660">
        <v>8.92</v>
      </c>
      <c r="P3660">
        <v>9.03</v>
      </c>
      <c r="Q3660">
        <v>8.81</v>
      </c>
      <c r="R3660">
        <v>8.91</v>
      </c>
      <c r="S3660">
        <v>18.34</v>
      </c>
      <c r="T3660">
        <v>1.21</v>
      </c>
      <c r="U3660" t="s">
        <v>24</v>
      </c>
    </row>
    <row r="3661" spans="1:21">
      <c r="A3661" t="str">
        <f>"603121"</f>
        <v>603121</v>
      </c>
      <c r="B3661" t="s">
        <v>7097</v>
      </c>
      <c r="C3661">
        <v>1.8</v>
      </c>
      <c r="D3661">
        <v>11.3</v>
      </c>
      <c r="E3661">
        <v>0.2</v>
      </c>
      <c r="F3661">
        <v>11.29</v>
      </c>
      <c r="G3661">
        <v>11.3</v>
      </c>
      <c r="H3661">
        <v>36946</v>
      </c>
      <c r="I3661">
        <v>1188</v>
      </c>
      <c r="J3661">
        <v>0.27</v>
      </c>
      <c r="K3661">
        <v>3.11</v>
      </c>
      <c r="L3661">
        <v>4152.45</v>
      </c>
      <c r="M3661" t="s">
        <v>1716</v>
      </c>
      <c r="N3661" t="s">
        <v>91</v>
      </c>
      <c r="O3661">
        <v>11.11</v>
      </c>
      <c r="P3661">
        <v>11.33</v>
      </c>
      <c r="Q3661">
        <v>11.04</v>
      </c>
      <c r="R3661">
        <v>11.1</v>
      </c>
      <c r="S3661">
        <v>36.71</v>
      </c>
      <c r="T3661">
        <v>0.86</v>
      </c>
      <c r="U3661" t="s">
        <v>848</v>
      </c>
    </row>
    <row r="3662" spans="1:21">
      <c r="A3662" t="str">
        <f>"603123"</f>
        <v>603123</v>
      </c>
      <c r="B3662" t="s">
        <v>7098</v>
      </c>
      <c r="C3662">
        <v>0</v>
      </c>
      <c r="D3662">
        <v>6.61</v>
      </c>
      <c r="E3662">
        <v>0</v>
      </c>
      <c r="F3662">
        <v>6.61</v>
      </c>
      <c r="G3662">
        <v>6.62</v>
      </c>
      <c r="H3662">
        <v>9604</v>
      </c>
      <c r="I3662">
        <v>62</v>
      </c>
      <c r="J3662">
        <v>0</v>
      </c>
      <c r="K3662">
        <v>0.17</v>
      </c>
      <c r="L3662">
        <v>633.68</v>
      </c>
      <c r="M3662" t="s">
        <v>7099</v>
      </c>
      <c r="N3662" t="s">
        <v>258</v>
      </c>
      <c r="O3662">
        <v>6.61</v>
      </c>
      <c r="P3662">
        <v>6.65</v>
      </c>
      <c r="Q3662">
        <v>6.56</v>
      </c>
      <c r="R3662">
        <v>6.61</v>
      </c>
      <c r="S3662">
        <v>35.04</v>
      </c>
      <c r="T3662">
        <v>0.87</v>
      </c>
      <c r="U3662" t="s">
        <v>44</v>
      </c>
    </row>
    <row r="3663" spans="1:21">
      <c r="A3663" t="str">
        <f>"603126"</f>
        <v>603126</v>
      </c>
      <c r="B3663" t="s">
        <v>7100</v>
      </c>
      <c r="C3663">
        <v>1.09</v>
      </c>
      <c r="D3663">
        <v>8.37</v>
      </c>
      <c r="E3663">
        <v>0.09</v>
      </c>
      <c r="F3663">
        <v>8.36</v>
      </c>
      <c r="G3663">
        <v>8.37</v>
      </c>
      <c r="H3663">
        <v>104434</v>
      </c>
      <c r="I3663">
        <v>1204</v>
      </c>
      <c r="J3663">
        <v>0.12</v>
      </c>
      <c r="K3663">
        <v>1.71</v>
      </c>
      <c r="L3663">
        <v>8666.91</v>
      </c>
      <c r="M3663" t="s">
        <v>7101</v>
      </c>
      <c r="N3663" t="s">
        <v>33</v>
      </c>
      <c r="O3663">
        <v>8.25</v>
      </c>
      <c r="P3663">
        <v>8.39</v>
      </c>
      <c r="Q3663">
        <v>8.18</v>
      </c>
      <c r="R3663">
        <v>8.28</v>
      </c>
      <c r="S3663">
        <v>35.92</v>
      </c>
      <c r="T3663">
        <v>1.02</v>
      </c>
      <c r="U3663" t="s">
        <v>360</v>
      </c>
    </row>
    <row r="3664" spans="1:21">
      <c r="A3664" t="str">
        <f>"603127"</f>
        <v>603127</v>
      </c>
      <c r="B3664" t="s">
        <v>7102</v>
      </c>
      <c r="C3664">
        <v>0.04</v>
      </c>
      <c r="D3664">
        <v>134.34</v>
      </c>
      <c r="E3664">
        <v>0.05</v>
      </c>
      <c r="F3664">
        <v>134.34</v>
      </c>
      <c r="G3664">
        <v>134.38</v>
      </c>
      <c r="H3664">
        <v>15488</v>
      </c>
      <c r="I3664">
        <v>103</v>
      </c>
      <c r="J3664">
        <v>0.02</v>
      </c>
      <c r="K3664">
        <v>0.48</v>
      </c>
      <c r="L3664">
        <v>20793.11</v>
      </c>
      <c r="M3664" t="s">
        <v>7103</v>
      </c>
      <c r="N3664" t="s">
        <v>186</v>
      </c>
      <c r="O3664">
        <v>134</v>
      </c>
      <c r="P3664">
        <v>135.79</v>
      </c>
      <c r="Q3664">
        <v>133.01</v>
      </c>
      <c r="R3664">
        <v>134.29</v>
      </c>
      <c r="S3664">
        <v>154.63</v>
      </c>
      <c r="T3664">
        <v>0.74</v>
      </c>
      <c r="U3664" t="s">
        <v>44</v>
      </c>
    </row>
    <row r="3665" spans="1:21">
      <c r="A3665" t="str">
        <f>"603128"</f>
        <v>603128</v>
      </c>
      <c r="B3665" t="s">
        <v>7104</v>
      </c>
      <c r="C3665">
        <v>0.92</v>
      </c>
      <c r="D3665">
        <v>14.25</v>
      </c>
      <c r="E3665">
        <v>0.13</v>
      </c>
      <c r="F3665">
        <v>14.25</v>
      </c>
      <c r="G3665">
        <v>14.26</v>
      </c>
      <c r="H3665">
        <v>88890</v>
      </c>
      <c r="I3665">
        <v>806</v>
      </c>
      <c r="J3665">
        <v>-0.06</v>
      </c>
      <c r="K3665">
        <v>0.68</v>
      </c>
      <c r="L3665">
        <v>12665.3</v>
      </c>
      <c r="M3665" t="s">
        <v>7105</v>
      </c>
      <c r="N3665" t="s">
        <v>1049</v>
      </c>
      <c r="O3665">
        <v>14.05</v>
      </c>
      <c r="P3665">
        <v>14.38</v>
      </c>
      <c r="Q3665">
        <v>14.01</v>
      </c>
      <c r="R3665">
        <v>14.12</v>
      </c>
      <c r="S3665">
        <v>20.89</v>
      </c>
      <c r="T3665">
        <v>0.71</v>
      </c>
      <c r="U3665" t="s">
        <v>848</v>
      </c>
    </row>
    <row r="3666" spans="1:21">
      <c r="A3666" t="str">
        <f>"603129"</f>
        <v>603129</v>
      </c>
      <c r="B3666" t="s">
        <v>7106</v>
      </c>
      <c r="C3666">
        <v>-3.27</v>
      </c>
      <c r="D3666">
        <v>183.6</v>
      </c>
      <c r="E3666">
        <v>-6.2</v>
      </c>
      <c r="F3666">
        <v>183.5</v>
      </c>
      <c r="G3666">
        <v>183.6</v>
      </c>
      <c r="H3666">
        <v>13022</v>
      </c>
      <c r="I3666">
        <v>127</v>
      </c>
      <c r="J3666">
        <v>-0.1</v>
      </c>
      <c r="K3666">
        <v>0.97</v>
      </c>
      <c r="L3666">
        <v>24113.52</v>
      </c>
      <c r="M3666" t="s">
        <v>7107</v>
      </c>
      <c r="N3666" t="s">
        <v>917</v>
      </c>
      <c r="O3666">
        <v>189.33</v>
      </c>
      <c r="P3666">
        <v>193.58</v>
      </c>
      <c r="Q3666">
        <v>181.18</v>
      </c>
      <c r="R3666">
        <v>189.8</v>
      </c>
      <c r="S3666">
        <v>64.57</v>
      </c>
      <c r="T3666">
        <v>1.43</v>
      </c>
      <c r="U3666" t="s">
        <v>200</v>
      </c>
    </row>
    <row r="3667" spans="1:21">
      <c r="A3667" t="str">
        <f>"603131"</f>
        <v>603131</v>
      </c>
      <c r="B3667" t="s">
        <v>7108</v>
      </c>
      <c r="C3667">
        <v>9.99</v>
      </c>
      <c r="D3667">
        <v>25.99</v>
      </c>
      <c r="E3667">
        <v>2.36</v>
      </c>
      <c r="F3667">
        <v>25.99</v>
      </c>
      <c r="G3667" t="s">
        <v>40</v>
      </c>
      <c r="H3667">
        <v>80971</v>
      </c>
      <c r="I3667">
        <v>312</v>
      </c>
      <c r="J3667">
        <v>0</v>
      </c>
      <c r="K3667">
        <v>2.72</v>
      </c>
      <c r="L3667">
        <v>20624.25</v>
      </c>
      <c r="M3667" t="s">
        <v>7109</v>
      </c>
      <c r="N3667" t="s">
        <v>324</v>
      </c>
      <c r="O3667">
        <v>23.63</v>
      </c>
      <c r="P3667">
        <v>25.99</v>
      </c>
      <c r="Q3667">
        <v>23.58</v>
      </c>
      <c r="R3667">
        <v>23.63</v>
      </c>
      <c r="S3667">
        <v>68.99</v>
      </c>
      <c r="T3667">
        <v>3.15</v>
      </c>
      <c r="U3667" t="s">
        <v>848</v>
      </c>
    </row>
    <row r="3668" spans="1:21">
      <c r="A3668" t="str">
        <f>"603133"</f>
        <v>603133</v>
      </c>
      <c r="B3668" t="s">
        <v>7110</v>
      </c>
      <c r="C3668">
        <v>0.18</v>
      </c>
      <c r="D3668">
        <v>10.93</v>
      </c>
      <c r="E3668">
        <v>0.02</v>
      </c>
      <c r="F3668">
        <v>10.92</v>
      </c>
      <c r="G3668">
        <v>10.93</v>
      </c>
      <c r="H3668">
        <v>28295</v>
      </c>
      <c r="I3668">
        <v>308</v>
      </c>
      <c r="J3668">
        <v>0.09</v>
      </c>
      <c r="K3668">
        <v>1.35</v>
      </c>
      <c r="L3668">
        <v>3076.29</v>
      </c>
      <c r="M3668" t="s">
        <v>32</v>
      </c>
      <c r="N3668" t="s">
        <v>69</v>
      </c>
      <c r="O3668">
        <v>10.89</v>
      </c>
      <c r="P3668">
        <v>10.97</v>
      </c>
      <c r="Q3668">
        <v>10.72</v>
      </c>
      <c r="R3668">
        <v>10.91</v>
      </c>
      <c r="S3668" t="s">
        <v>40</v>
      </c>
      <c r="T3668">
        <v>0.64</v>
      </c>
      <c r="U3668" t="s">
        <v>102</v>
      </c>
    </row>
    <row r="3669" spans="1:21">
      <c r="A3669" t="str">
        <f>"603136"</f>
        <v>603136</v>
      </c>
      <c r="B3669" t="s">
        <v>7111</v>
      </c>
      <c r="C3669">
        <v>1.09</v>
      </c>
      <c r="D3669">
        <v>15.73</v>
      </c>
      <c r="E3669">
        <v>0.17</v>
      </c>
      <c r="F3669">
        <v>15.73</v>
      </c>
      <c r="G3669">
        <v>15.74</v>
      </c>
      <c r="H3669">
        <v>9906</v>
      </c>
      <c r="I3669">
        <v>144</v>
      </c>
      <c r="J3669">
        <v>0.13</v>
      </c>
      <c r="K3669">
        <v>0.53</v>
      </c>
      <c r="L3669">
        <v>1552.67</v>
      </c>
      <c r="M3669" t="s">
        <v>5531</v>
      </c>
      <c r="N3669" t="s">
        <v>162</v>
      </c>
      <c r="O3669">
        <v>15.56</v>
      </c>
      <c r="P3669">
        <v>15.78</v>
      </c>
      <c r="Q3669">
        <v>15.52</v>
      </c>
      <c r="R3669">
        <v>15.56</v>
      </c>
      <c r="S3669">
        <v>50.05</v>
      </c>
      <c r="T3669">
        <v>0.52</v>
      </c>
      <c r="U3669" t="s">
        <v>102</v>
      </c>
    </row>
    <row r="3670" spans="1:21">
      <c r="A3670" t="str">
        <f>"603138"</f>
        <v>603138</v>
      </c>
      <c r="B3670" t="s">
        <v>7112</v>
      </c>
      <c r="C3670">
        <v>0</v>
      </c>
      <c r="D3670">
        <v>19.48</v>
      </c>
      <c r="E3670">
        <v>0</v>
      </c>
      <c r="F3670">
        <v>19.48</v>
      </c>
      <c r="G3670">
        <v>19.49</v>
      </c>
      <c r="H3670">
        <v>156860</v>
      </c>
      <c r="I3670">
        <v>2436</v>
      </c>
      <c r="J3670">
        <v>0.05</v>
      </c>
      <c r="K3670">
        <v>6.21</v>
      </c>
      <c r="L3670">
        <v>30831.52</v>
      </c>
      <c r="M3670" t="s">
        <v>7113</v>
      </c>
      <c r="N3670" t="s">
        <v>30</v>
      </c>
      <c r="O3670">
        <v>19.5</v>
      </c>
      <c r="P3670">
        <v>20.5</v>
      </c>
      <c r="Q3670">
        <v>18.92</v>
      </c>
      <c r="R3670">
        <v>19.48</v>
      </c>
      <c r="S3670">
        <v>457.51</v>
      </c>
      <c r="T3670">
        <v>0.83</v>
      </c>
      <c r="U3670" t="s">
        <v>44</v>
      </c>
    </row>
    <row r="3671" spans="1:21">
      <c r="A3671" t="str">
        <f>"603139"</f>
        <v>603139</v>
      </c>
      <c r="B3671" t="s">
        <v>7114</v>
      </c>
      <c r="C3671">
        <v>0.87</v>
      </c>
      <c r="D3671">
        <v>18.58</v>
      </c>
      <c r="E3671">
        <v>0.16</v>
      </c>
      <c r="F3671">
        <v>18.58</v>
      </c>
      <c r="G3671">
        <v>18.6</v>
      </c>
      <c r="H3671">
        <v>6442</v>
      </c>
      <c r="I3671">
        <v>86</v>
      </c>
      <c r="J3671">
        <v>0.32</v>
      </c>
      <c r="K3671">
        <v>0.64</v>
      </c>
      <c r="L3671">
        <v>1190.4</v>
      </c>
      <c r="M3671" t="s">
        <v>7115</v>
      </c>
      <c r="N3671" t="s">
        <v>270</v>
      </c>
      <c r="O3671">
        <v>18.3</v>
      </c>
      <c r="P3671">
        <v>18.65</v>
      </c>
      <c r="Q3671">
        <v>18.3</v>
      </c>
      <c r="R3671">
        <v>18.42</v>
      </c>
      <c r="S3671">
        <v>64.35</v>
      </c>
      <c r="T3671">
        <v>0.64</v>
      </c>
      <c r="U3671" t="s">
        <v>317</v>
      </c>
    </row>
    <row r="3672" spans="1:21">
      <c r="A3672" t="str">
        <f>"603155"</f>
        <v>603155</v>
      </c>
      <c r="B3672" t="s">
        <v>7116</v>
      </c>
      <c r="C3672">
        <v>2.15</v>
      </c>
      <c r="D3672">
        <v>61.75</v>
      </c>
      <c r="E3672">
        <v>1.3</v>
      </c>
      <c r="F3672">
        <v>61.75</v>
      </c>
      <c r="G3672">
        <v>61.76</v>
      </c>
      <c r="H3672">
        <v>26449</v>
      </c>
      <c r="I3672">
        <v>249</v>
      </c>
      <c r="J3672">
        <v>-0.02</v>
      </c>
      <c r="K3672">
        <v>6.8</v>
      </c>
      <c r="L3672">
        <v>16137.86</v>
      </c>
      <c r="M3672" t="s">
        <v>7117</v>
      </c>
      <c r="N3672" t="s">
        <v>309</v>
      </c>
      <c r="O3672">
        <v>60.24</v>
      </c>
      <c r="P3672">
        <v>62.66</v>
      </c>
      <c r="Q3672">
        <v>59.03</v>
      </c>
      <c r="R3672">
        <v>60.45</v>
      </c>
      <c r="S3672">
        <v>31.41</v>
      </c>
      <c r="T3672">
        <v>0.89</v>
      </c>
      <c r="U3672" t="s">
        <v>102</v>
      </c>
    </row>
    <row r="3673" spans="1:21">
      <c r="A3673" t="str">
        <f>"603156"</f>
        <v>603156</v>
      </c>
      <c r="B3673" t="s">
        <v>7118</v>
      </c>
      <c r="C3673">
        <v>-0.52</v>
      </c>
      <c r="D3673">
        <v>30.72</v>
      </c>
      <c r="E3673">
        <v>-0.16</v>
      </c>
      <c r="F3673">
        <v>30.71</v>
      </c>
      <c r="G3673">
        <v>30.72</v>
      </c>
      <c r="H3673">
        <v>31338</v>
      </c>
      <c r="I3673">
        <v>940</v>
      </c>
      <c r="J3673">
        <v>0.33</v>
      </c>
      <c r="K3673">
        <v>0.25</v>
      </c>
      <c r="L3673">
        <v>9597.56</v>
      </c>
      <c r="M3673" t="s">
        <v>7119</v>
      </c>
      <c r="N3673" t="s">
        <v>825</v>
      </c>
      <c r="O3673">
        <v>30.84</v>
      </c>
      <c r="P3673">
        <v>31.04</v>
      </c>
      <c r="Q3673">
        <v>30.41</v>
      </c>
      <c r="R3673">
        <v>30.88</v>
      </c>
      <c r="S3673">
        <v>17.88</v>
      </c>
      <c r="T3673">
        <v>0.82</v>
      </c>
      <c r="U3673" t="s">
        <v>207</v>
      </c>
    </row>
    <row r="3674" spans="1:21">
      <c r="A3674" t="str">
        <f>"603157"</f>
        <v>603157</v>
      </c>
      <c r="B3674" t="s">
        <v>7120</v>
      </c>
      <c r="C3674">
        <v>0.42</v>
      </c>
      <c r="D3674">
        <v>2.37</v>
      </c>
      <c r="E3674">
        <v>0.01</v>
      </c>
      <c r="F3674">
        <v>2.36</v>
      </c>
      <c r="G3674">
        <v>2.37</v>
      </c>
      <c r="H3674">
        <v>26851</v>
      </c>
      <c r="I3674">
        <v>635</v>
      </c>
      <c r="J3674">
        <v>0.42</v>
      </c>
      <c r="K3674">
        <v>0.81</v>
      </c>
      <c r="L3674">
        <v>629.82</v>
      </c>
      <c r="M3674" t="s">
        <v>7121</v>
      </c>
      <c r="N3674" t="s">
        <v>1061</v>
      </c>
      <c r="O3674">
        <v>2.35</v>
      </c>
      <c r="P3674">
        <v>2.37</v>
      </c>
      <c r="Q3674">
        <v>2.32</v>
      </c>
      <c r="R3674">
        <v>2.36</v>
      </c>
      <c r="S3674" t="s">
        <v>40</v>
      </c>
      <c r="T3674">
        <v>0.79</v>
      </c>
      <c r="U3674" t="s">
        <v>210</v>
      </c>
    </row>
    <row r="3675" spans="1:21">
      <c r="A3675" t="str">
        <f>"603158"</f>
        <v>603158</v>
      </c>
      <c r="B3675" t="s">
        <v>7122</v>
      </c>
      <c r="C3675">
        <v>7.08</v>
      </c>
      <c r="D3675">
        <v>16.49</v>
      </c>
      <c r="E3675">
        <v>1.09</v>
      </c>
      <c r="F3675">
        <v>16.48</v>
      </c>
      <c r="G3675">
        <v>16.49</v>
      </c>
      <c r="H3675">
        <v>131326</v>
      </c>
      <c r="I3675">
        <v>927</v>
      </c>
      <c r="J3675">
        <v>0.06</v>
      </c>
      <c r="K3675">
        <v>4.35</v>
      </c>
      <c r="L3675">
        <v>21266.49</v>
      </c>
      <c r="M3675" t="s">
        <v>7123</v>
      </c>
      <c r="N3675" t="s">
        <v>91</v>
      </c>
      <c r="O3675">
        <v>15.36</v>
      </c>
      <c r="P3675">
        <v>16.62</v>
      </c>
      <c r="Q3675">
        <v>15.3</v>
      </c>
      <c r="R3675">
        <v>15.4</v>
      </c>
      <c r="S3675">
        <v>42.41</v>
      </c>
      <c r="T3675">
        <v>2.74</v>
      </c>
      <c r="U3675" t="s">
        <v>102</v>
      </c>
    </row>
    <row r="3676" spans="1:21">
      <c r="A3676" t="str">
        <f>"603159"</f>
        <v>603159</v>
      </c>
      <c r="B3676" t="s">
        <v>7124</v>
      </c>
      <c r="C3676">
        <v>1.09</v>
      </c>
      <c r="D3676">
        <v>16.69</v>
      </c>
      <c r="E3676">
        <v>0.18</v>
      </c>
      <c r="F3676">
        <v>16.66</v>
      </c>
      <c r="G3676">
        <v>16.69</v>
      </c>
      <c r="H3676">
        <v>15007</v>
      </c>
      <c r="I3676">
        <v>207</v>
      </c>
      <c r="J3676">
        <v>0.12</v>
      </c>
      <c r="K3676">
        <v>1.07</v>
      </c>
      <c r="L3676">
        <v>2475.19</v>
      </c>
      <c r="M3676" t="s">
        <v>7125</v>
      </c>
      <c r="N3676" t="s">
        <v>324</v>
      </c>
      <c r="O3676">
        <v>16.52</v>
      </c>
      <c r="P3676">
        <v>16.78</v>
      </c>
      <c r="Q3676">
        <v>16</v>
      </c>
      <c r="R3676">
        <v>16.51</v>
      </c>
      <c r="S3676">
        <v>63.45</v>
      </c>
      <c r="T3676">
        <v>1.2</v>
      </c>
      <c r="U3676" t="s">
        <v>848</v>
      </c>
    </row>
    <row r="3677" spans="1:21">
      <c r="A3677" t="str">
        <f>"603160"</f>
        <v>603160</v>
      </c>
      <c r="B3677" t="s">
        <v>7126</v>
      </c>
      <c r="C3677">
        <v>-0.06</v>
      </c>
      <c r="D3677">
        <v>114.32</v>
      </c>
      <c r="E3677">
        <v>-0.07</v>
      </c>
      <c r="F3677">
        <v>114.32</v>
      </c>
      <c r="G3677">
        <v>114.33</v>
      </c>
      <c r="H3677">
        <v>30100</v>
      </c>
      <c r="I3677">
        <v>206</v>
      </c>
      <c r="J3677">
        <v>-0.02</v>
      </c>
      <c r="K3677">
        <v>0.66</v>
      </c>
      <c r="L3677">
        <v>34508.63</v>
      </c>
      <c r="M3677" t="s">
        <v>7127</v>
      </c>
      <c r="N3677" t="s">
        <v>69</v>
      </c>
      <c r="O3677">
        <v>114.39</v>
      </c>
      <c r="P3677">
        <v>116.2</v>
      </c>
      <c r="Q3677">
        <v>113.52</v>
      </c>
      <c r="R3677">
        <v>114.39</v>
      </c>
      <c r="S3677">
        <v>63.86</v>
      </c>
      <c r="T3677">
        <v>0.59</v>
      </c>
      <c r="U3677" t="s">
        <v>24</v>
      </c>
    </row>
    <row r="3678" spans="1:21">
      <c r="A3678" t="str">
        <f>"603161"</f>
        <v>603161</v>
      </c>
      <c r="B3678" t="s">
        <v>7128</v>
      </c>
      <c r="C3678">
        <v>2.05</v>
      </c>
      <c r="D3678">
        <v>14.47</v>
      </c>
      <c r="E3678">
        <v>0.29</v>
      </c>
      <c r="F3678">
        <v>14.46</v>
      </c>
      <c r="G3678">
        <v>14.47</v>
      </c>
      <c r="H3678">
        <v>26305</v>
      </c>
      <c r="I3678">
        <v>201</v>
      </c>
      <c r="J3678">
        <v>-0.06</v>
      </c>
      <c r="K3678">
        <v>1.97</v>
      </c>
      <c r="L3678">
        <v>3794.73</v>
      </c>
      <c r="M3678" t="s">
        <v>449</v>
      </c>
      <c r="N3678" t="s">
        <v>91</v>
      </c>
      <c r="O3678">
        <v>14.25</v>
      </c>
      <c r="P3678">
        <v>14.6</v>
      </c>
      <c r="Q3678">
        <v>14</v>
      </c>
      <c r="R3678">
        <v>14.18</v>
      </c>
      <c r="S3678">
        <v>38.57</v>
      </c>
      <c r="T3678">
        <v>0.53</v>
      </c>
      <c r="U3678" t="s">
        <v>102</v>
      </c>
    </row>
    <row r="3679" spans="1:21">
      <c r="A3679" t="str">
        <f>"603165"</f>
        <v>603165</v>
      </c>
      <c r="B3679" t="s">
        <v>7129</v>
      </c>
      <c r="C3679">
        <v>-0.12</v>
      </c>
      <c r="D3679">
        <v>16.59</v>
      </c>
      <c r="E3679">
        <v>-0.02</v>
      </c>
      <c r="F3679">
        <v>16.59</v>
      </c>
      <c r="G3679">
        <v>16.65</v>
      </c>
      <c r="H3679">
        <v>56710</v>
      </c>
      <c r="I3679">
        <v>1284</v>
      </c>
      <c r="J3679">
        <v>-0.35</v>
      </c>
      <c r="K3679">
        <v>2.15</v>
      </c>
      <c r="L3679">
        <v>9476.87</v>
      </c>
      <c r="M3679" t="s">
        <v>1219</v>
      </c>
      <c r="N3679" t="s">
        <v>285</v>
      </c>
      <c r="O3679">
        <v>16.21</v>
      </c>
      <c r="P3679">
        <v>17.11</v>
      </c>
      <c r="Q3679">
        <v>16.2</v>
      </c>
      <c r="R3679">
        <v>16.61</v>
      </c>
      <c r="S3679">
        <v>18.27</v>
      </c>
      <c r="T3679">
        <v>0.81</v>
      </c>
      <c r="U3679" t="s">
        <v>200</v>
      </c>
    </row>
    <row r="3680" spans="1:21">
      <c r="A3680" t="str">
        <f>"603166"</f>
        <v>603166</v>
      </c>
      <c r="B3680" t="s">
        <v>7130</v>
      </c>
      <c r="C3680">
        <v>0.42</v>
      </c>
      <c r="D3680">
        <v>9.47</v>
      </c>
      <c r="E3680">
        <v>0.04</v>
      </c>
      <c r="F3680">
        <v>9.46</v>
      </c>
      <c r="G3680">
        <v>9.47</v>
      </c>
      <c r="H3680">
        <v>92732</v>
      </c>
      <c r="I3680">
        <v>849</v>
      </c>
      <c r="J3680">
        <v>0.32</v>
      </c>
      <c r="K3680">
        <v>1.57</v>
      </c>
      <c r="L3680">
        <v>8838.18</v>
      </c>
      <c r="M3680" t="s">
        <v>5496</v>
      </c>
      <c r="N3680" t="s">
        <v>91</v>
      </c>
      <c r="O3680">
        <v>9.5</v>
      </c>
      <c r="P3680">
        <v>9.9</v>
      </c>
      <c r="Q3680">
        <v>9.37</v>
      </c>
      <c r="R3680">
        <v>9.43</v>
      </c>
      <c r="S3680">
        <v>28.9</v>
      </c>
      <c r="T3680">
        <v>0.69</v>
      </c>
      <c r="U3680" t="s">
        <v>342</v>
      </c>
    </row>
    <row r="3681" spans="1:21">
      <c r="A3681" t="str">
        <f>"603167"</f>
        <v>603167</v>
      </c>
      <c r="B3681" t="s">
        <v>7131</v>
      </c>
      <c r="C3681">
        <v>0.64</v>
      </c>
      <c r="D3681">
        <v>7.83</v>
      </c>
      <c r="E3681">
        <v>0.05</v>
      </c>
      <c r="F3681">
        <v>7.83</v>
      </c>
      <c r="G3681">
        <v>7.84</v>
      </c>
      <c r="H3681">
        <v>23884</v>
      </c>
      <c r="I3681">
        <v>286</v>
      </c>
      <c r="J3681">
        <v>-0.12</v>
      </c>
      <c r="K3681">
        <v>0.51</v>
      </c>
      <c r="L3681">
        <v>1859.48</v>
      </c>
      <c r="M3681" t="s">
        <v>4955</v>
      </c>
      <c r="N3681" t="s">
        <v>327</v>
      </c>
      <c r="O3681">
        <v>7.77</v>
      </c>
      <c r="P3681">
        <v>7.84</v>
      </c>
      <c r="Q3681">
        <v>7.74</v>
      </c>
      <c r="R3681">
        <v>7.78</v>
      </c>
      <c r="S3681">
        <v>18.73</v>
      </c>
      <c r="T3681">
        <v>0.78</v>
      </c>
      <c r="U3681" t="s">
        <v>221</v>
      </c>
    </row>
    <row r="3682" spans="1:21">
      <c r="A3682" t="str">
        <f>"603168"</f>
        <v>603168</v>
      </c>
      <c r="B3682" t="s">
        <v>7132</v>
      </c>
      <c r="C3682">
        <v>0.32</v>
      </c>
      <c r="D3682">
        <v>9.34</v>
      </c>
      <c r="E3682">
        <v>0.03</v>
      </c>
      <c r="F3682">
        <v>9.34</v>
      </c>
      <c r="G3682">
        <v>9.35</v>
      </c>
      <c r="H3682">
        <v>19629</v>
      </c>
      <c r="I3682">
        <v>99</v>
      </c>
      <c r="J3682">
        <v>0</v>
      </c>
      <c r="K3682">
        <v>0.61</v>
      </c>
      <c r="L3682">
        <v>1829.45</v>
      </c>
      <c r="M3682" t="s">
        <v>5836</v>
      </c>
      <c r="N3682" t="s">
        <v>192</v>
      </c>
      <c r="O3682">
        <v>9.3</v>
      </c>
      <c r="P3682">
        <v>9.39</v>
      </c>
      <c r="Q3682">
        <v>9.24</v>
      </c>
      <c r="R3682">
        <v>9.31</v>
      </c>
      <c r="S3682">
        <v>62.52</v>
      </c>
      <c r="T3682">
        <v>0.62</v>
      </c>
      <c r="U3682" t="s">
        <v>200</v>
      </c>
    </row>
    <row r="3683" spans="1:21">
      <c r="A3683" t="str">
        <f>"603169"</f>
        <v>603169</v>
      </c>
      <c r="B3683" t="s">
        <v>7133</v>
      </c>
      <c r="C3683">
        <v>4.03</v>
      </c>
      <c r="D3683">
        <v>6.2</v>
      </c>
      <c r="E3683">
        <v>0.24</v>
      </c>
      <c r="F3683">
        <v>6.2</v>
      </c>
      <c r="G3683">
        <v>6.21</v>
      </c>
      <c r="H3683">
        <v>287575</v>
      </c>
      <c r="I3683">
        <v>5191</v>
      </c>
      <c r="J3683">
        <v>0.16</v>
      </c>
      <c r="K3683">
        <v>2.73</v>
      </c>
      <c r="L3683">
        <v>17762.92</v>
      </c>
      <c r="M3683" t="s">
        <v>3222</v>
      </c>
      <c r="N3683" t="s">
        <v>324</v>
      </c>
      <c r="O3683">
        <v>5.98</v>
      </c>
      <c r="P3683">
        <v>6.28</v>
      </c>
      <c r="Q3683">
        <v>5.98</v>
      </c>
      <c r="R3683">
        <v>5.96</v>
      </c>
      <c r="S3683">
        <v>49.86</v>
      </c>
      <c r="T3683">
        <v>1.11</v>
      </c>
      <c r="U3683" t="s">
        <v>391</v>
      </c>
    </row>
    <row r="3684" spans="1:21">
      <c r="A3684" t="str">
        <f>"603171"</f>
        <v>603171</v>
      </c>
      <c r="B3684" t="s">
        <v>7134</v>
      </c>
      <c r="C3684">
        <v>0.82</v>
      </c>
      <c r="D3684">
        <v>30.86</v>
      </c>
      <c r="E3684">
        <v>0.25</v>
      </c>
      <c r="F3684">
        <v>30.86</v>
      </c>
      <c r="G3684">
        <v>30.88</v>
      </c>
      <c r="H3684">
        <v>8047</v>
      </c>
      <c r="I3684">
        <v>176</v>
      </c>
      <c r="J3684">
        <v>-0.05</v>
      </c>
      <c r="K3684">
        <v>1.98</v>
      </c>
      <c r="L3684">
        <v>2472.94</v>
      </c>
      <c r="M3684" t="s">
        <v>7135</v>
      </c>
      <c r="N3684" t="s">
        <v>30</v>
      </c>
      <c r="O3684">
        <v>30.56</v>
      </c>
      <c r="P3684">
        <v>30.99</v>
      </c>
      <c r="Q3684">
        <v>30.3</v>
      </c>
      <c r="R3684">
        <v>30.61</v>
      </c>
      <c r="S3684">
        <v>79.08</v>
      </c>
      <c r="T3684">
        <v>0.53</v>
      </c>
      <c r="U3684" t="s">
        <v>200</v>
      </c>
    </row>
    <row r="3685" spans="1:21">
      <c r="A3685" t="str">
        <f>"603177"</f>
        <v>603177</v>
      </c>
      <c r="B3685" t="s">
        <v>7136</v>
      </c>
      <c r="C3685">
        <v>-2.66</v>
      </c>
      <c r="D3685">
        <v>15.38</v>
      </c>
      <c r="E3685">
        <v>-0.42</v>
      </c>
      <c r="F3685">
        <v>15.37</v>
      </c>
      <c r="G3685">
        <v>15.38</v>
      </c>
      <c r="H3685">
        <v>19848</v>
      </c>
      <c r="I3685">
        <v>188</v>
      </c>
      <c r="J3685">
        <v>0.85</v>
      </c>
      <c r="K3685">
        <v>0.98</v>
      </c>
      <c r="L3685">
        <v>3039.64</v>
      </c>
      <c r="M3685" t="s">
        <v>7137</v>
      </c>
      <c r="N3685" t="s">
        <v>33</v>
      </c>
      <c r="O3685">
        <v>15.47</v>
      </c>
      <c r="P3685">
        <v>15.84</v>
      </c>
      <c r="Q3685">
        <v>15.02</v>
      </c>
      <c r="R3685">
        <v>15.8</v>
      </c>
      <c r="S3685" t="s">
        <v>40</v>
      </c>
      <c r="T3685">
        <v>1.45</v>
      </c>
      <c r="U3685" t="s">
        <v>200</v>
      </c>
    </row>
    <row r="3686" spans="1:21">
      <c r="A3686" t="str">
        <f>"603178"</f>
        <v>603178</v>
      </c>
      <c r="B3686" t="s">
        <v>7138</v>
      </c>
      <c r="C3686">
        <v>5.68</v>
      </c>
      <c r="D3686">
        <v>17.3</v>
      </c>
      <c r="E3686">
        <v>0.93</v>
      </c>
      <c r="F3686">
        <v>17.3</v>
      </c>
      <c r="G3686">
        <v>17.31</v>
      </c>
      <c r="H3686">
        <v>107621</v>
      </c>
      <c r="I3686">
        <v>460</v>
      </c>
      <c r="J3686">
        <v>0.58</v>
      </c>
      <c r="K3686">
        <v>5.36</v>
      </c>
      <c r="L3686">
        <v>18705.8</v>
      </c>
      <c r="M3686" t="s">
        <v>7139</v>
      </c>
      <c r="N3686" t="s">
        <v>91</v>
      </c>
      <c r="O3686">
        <v>16.32</v>
      </c>
      <c r="P3686">
        <v>18.01</v>
      </c>
      <c r="Q3686">
        <v>16.3</v>
      </c>
      <c r="R3686">
        <v>16.37</v>
      </c>
      <c r="S3686">
        <v>32.4</v>
      </c>
      <c r="T3686">
        <v>1.11</v>
      </c>
      <c r="U3686" t="s">
        <v>200</v>
      </c>
    </row>
    <row r="3687" spans="1:21">
      <c r="A3687" t="str">
        <f>"603179"</f>
        <v>603179</v>
      </c>
      <c r="B3687" t="s">
        <v>7140</v>
      </c>
      <c r="C3687">
        <v>-0.03</v>
      </c>
      <c r="D3687">
        <v>38.89</v>
      </c>
      <c r="E3687">
        <v>-0.01</v>
      </c>
      <c r="F3687">
        <v>38.89</v>
      </c>
      <c r="G3687">
        <v>38.9</v>
      </c>
      <c r="H3687">
        <v>38225</v>
      </c>
      <c r="I3687">
        <v>185</v>
      </c>
      <c r="J3687">
        <v>-0.07</v>
      </c>
      <c r="K3687">
        <v>1.02</v>
      </c>
      <c r="L3687">
        <v>15098.19</v>
      </c>
      <c r="M3687" t="s">
        <v>7141</v>
      </c>
      <c r="N3687" t="s">
        <v>91</v>
      </c>
      <c r="O3687">
        <v>38.9</v>
      </c>
      <c r="P3687">
        <v>40.55</v>
      </c>
      <c r="Q3687">
        <v>38</v>
      </c>
      <c r="R3687">
        <v>38.9</v>
      </c>
      <c r="S3687">
        <v>49.6</v>
      </c>
      <c r="T3687">
        <v>0.95</v>
      </c>
      <c r="U3687" t="s">
        <v>102</v>
      </c>
    </row>
    <row r="3688" spans="1:21">
      <c r="A3688" t="str">
        <f>"603180"</f>
        <v>603180</v>
      </c>
      <c r="B3688" t="s">
        <v>7142</v>
      </c>
      <c r="C3688">
        <v>3.68</v>
      </c>
      <c r="D3688">
        <v>33.21</v>
      </c>
      <c r="E3688">
        <v>1.18</v>
      </c>
      <c r="F3688">
        <v>33.21</v>
      </c>
      <c r="G3688">
        <v>33.23</v>
      </c>
      <c r="H3688">
        <v>19879</v>
      </c>
      <c r="I3688">
        <v>497</v>
      </c>
      <c r="J3688">
        <v>-0.14</v>
      </c>
      <c r="K3688">
        <v>1.39</v>
      </c>
      <c r="L3688">
        <v>6587.43</v>
      </c>
      <c r="M3688" t="s">
        <v>7143</v>
      </c>
      <c r="N3688" t="s">
        <v>910</v>
      </c>
      <c r="O3688">
        <v>32.25</v>
      </c>
      <c r="P3688">
        <v>33.8</v>
      </c>
      <c r="Q3688">
        <v>31.91</v>
      </c>
      <c r="R3688">
        <v>32.03</v>
      </c>
      <c r="S3688">
        <v>24.32</v>
      </c>
      <c r="T3688">
        <v>1.73</v>
      </c>
      <c r="U3688" t="s">
        <v>339</v>
      </c>
    </row>
    <row r="3689" spans="1:21">
      <c r="A3689" t="str">
        <f>"603181"</f>
        <v>603181</v>
      </c>
      <c r="B3689" t="s">
        <v>7144</v>
      </c>
      <c r="C3689">
        <v>2.37</v>
      </c>
      <c r="D3689">
        <v>16.87</v>
      </c>
      <c r="E3689">
        <v>0.39</v>
      </c>
      <c r="F3689">
        <v>16.86</v>
      </c>
      <c r="G3689">
        <v>16.87</v>
      </c>
      <c r="H3689">
        <v>54234</v>
      </c>
      <c r="I3689">
        <v>723</v>
      </c>
      <c r="J3689">
        <v>-0.05</v>
      </c>
      <c r="K3689">
        <v>0.92</v>
      </c>
      <c r="L3689">
        <v>9022.23</v>
      </c>
      <c r="M3689" t="s">
        <v>7145</v>
      </c>
      <c r="N3689" t="s">
        <v>309</v>
      </c>
      <c r="O3689">
        <v>16.49</v>
      </c>
      <c r="P3689">
        <v>16.98</v>
      </c>
      <c r="Q3689">
        <v>16.28</v>
      </c>
      <c r="R3689">
        <v>16.48</v>
      </c>
      <c r="S3689">
        <v>20.36</v>
      </c>
      <c r="T3689">
        <v>0.84</v>
      </c>
      <c r="U3689" t="s">
        <v>200</v>
      </c>
    </row>
    <row r="3690" spans="1:21">
      <c r="A3690" t="str">
        <f>"603183"</f>
        <v>603183</v>
      </c>
      <c r="B3690" t="s">
        <v>7146</v>
      </c>
      <c r="C3690">
        <v>2.23</v>
      </c>
      <c r="D3690">
        <v>5.51</v>
      </c>
      <c r="E3690">
        <v>0.12</v>
      </c>
      <c r="F3690">
        <v>5.51</v>
      </c>
      <c r="G3690">
        <v>5.52</v>
      </c>
      <c r="H3690">
        <v>49480</v>
      </c>
      <c r="I3690">
        <v>403</v>
      </c>
      <c r="J3690">
        <v>0</v>
      </c>
      <c r="K3690">
        <v>1.26</v>
      </c>
      <c r="L3690">
        <v>2712.6</v>
      </c>
      <c r="M3690" t="s">
        <v>7147</v>
      </c>
      <c r="N3690" t="s">
        <v>50</v>
      </c>
      <c r="O3690">
        <v>5.43</v>
      </c>
      <c r="P3690">
        <v>5.55</v>
      </c>
      <c r="Q3690">
        <v>5.39</v>
      </c>
      <c r="R3690">
        <v>5.39</v>
      </c>
      <c r="S3690">
        <v>28.5</v>
      </c>
      <c r="T3690">
        <v>1.34</v>
      </c>
      <c r="U3690" t="s">
        <v>102</v>
      </c>
    </row>
    <row r="3691" spans="1:21">
      <c r="A3691" t="str">
        <f>"603185"</f>
        <v>603185</v>
      </c>
      <c r="B3691" t="s">
        <v>7148</v>
      </c>
      <c r="C3691">
        <v>3.65</v>
      </c>
      <c r="D3691">
        <v>236.81</v>
      </c>
      <c r="E3691">
        <v>8.35</v>
      </c>
      <c r="F3691">
        <v>236.8</v>
      </c>
      <c r="G3691">
        <v>236.81</v>
      </c>
      <c r="H3691">
        <v>68591</v>
      </c>
      <c r="I3691">
        <v>843</v>
      </c>
      <c r="J3691">
        <v>0.03</v>
      </c>
      <c r="K3691">
        <v>6.71</v>
      </c>
      <c r="L3691">
        <v>161504.44</v>
      </c>
      <c r="M3691" t="s">
        <v>7149</v>
      </c>
      <c r="N3691" t="s">
        <v>47</v>
      </c>
      <c r="O3691">
        <v>235</v>
      </c>
      <c r="P3691">
        <v>241.99</v>
      </c>
      <c r="Q3691">
        <v>230.5</v>
      </c>
      <c r="R3691">
        <v>228.46</v>
      </c>
      <c r="S3691">
        <v>34.78</v>
      </c>
      <c r="T3691">
        <v>1.6</v>
      </c>
      <c r="U3691" t="s">
        <v>102</v>
      </c>
    </row>
    <row r="3692" spans="1:21">
      <c r="A3692" t="str">
        <f>"603186"</f>
        <v>603186</v>
      </c>
      <c r="B3692" t="s">
        <v>7150</v>
      </c>
      <c r="C3692">
        <v>4.12</v>
      </c>
      <c r="D3692">
        <v>40.98</v>
      </c>
      <c r="E3692">
        <v>1.62</v>
      </c>
      <c r="F3692">
        <v>40.96</v>
      </c>
      <c r="G3692">
        <v>40.98</v>
      </c>
      <c r="H3692">
        <v>49154</v>
      </c>
      <c r="I3692">
        <v>403</v>
      </c>
      <c r="J3692">
        <v>0.34</v>
      </c>
      <c r="K3692">
        <v>3.51</v>
      </c>
      <c r="L3692">
        <v>19956.58</v>
      </c>
      <c r="M3692" t="s">
        <v>7151</v>
      </c>
      <c r="N3692" t="s">
        <v>69</v>
      </c>
      <c r="O3692">
        <v>39.42</v>
      </c>
      <c r="P3692">
        <v>41.26</v>
      </c>
      <c r="Q3692">
        <v>39.29</v>
      </c>
      <c r="R3692">
        <v>39.36</v>
      </c>
      <c r="S3692">
        <v>20.14</v>
      </c>
      <c r="T3692">
        <v>1.42</v>
      </c>
      <c r="U3692" t="s">
        <v>200</v>
      </c>
    </row>
    <row r="3693" spans="1:21">
      <c r="A3693" t="str">
        <f>"603187"</f>
        <v>603187</v>
      </c>
      <c r="B3693" t="s">
        <v>7152</v>
      </c>
      <c r="C3693">
        <v>3.59</v>
      </c>
      <c r="D3693">
        <v>44.98</v>
      </c>
      <c r="E3693">
        <v>1.56</v>
      </c>
      <c r="F3693">
        <v>44.98</v>
      </c>
      <c r="G3693">
        <v>44.99</v>
      </c>
      <c r="H3693">
        <v>14335</v>
      </c>
      <c r="I3693">
        <v>180</v>
      </c>
      <c r="J3693">
        <v>-0.03</v>
      </c>
      <c r="K3693">
        <v>0.77</v>
      </c>
      <c r="L3693">
        <v>6372.58</v>
      </c>
      <c r="M3693" t="s">
        <v>7153</v>
      </c>
      <c r="N3693" t="s">
        <v>347</v>
      </c>
      <c r="O3693">
        <v>43.42</v>
      </c>
      <c r="P3693">
        <v>45.2</v>
      </c>
      <c r="Q3693">
        <v>43.08</v>
      </c>
      <c r="R3693">
        <v>43.42</v>
      </c>
      <c r="S3693">
        <v>42.49</v>
      </c>
      <c r="T3693">
        <v>0.92</v>
      </c>
      <c r="U3693" t="s">
        <v>221</v>
      </c>
    </row>
    <row r="3694" spans="1:21">
      <c r="A3694" t="str">
        <f>"603188"</f>
        <v>603188</v>
      </c>
      <c r="B3694" t="s">
        <v>7154</v>
      </c>
      <c r="C3694">
        <v>0.97</v>
      </c>
      <c r="D3694">
        <v>5.18</v>
      </c>
      <c r="E3694">
        <v>0.05</v>
      </c>
      <c r="F3694">
        <v>5.17</v>
      </c>
      <c r="G3694">
        <v>5.18</v>
      </c>
      <c r="H3694">
        <v>20514</v>
      </c>
      <c r="I3694">
        <v>183</v>
      </c>
      <c r="J3694">
        <v>0</v>
      </c>
      <c r="K3694">
        <v>0.36</v>
      </c>
      <c r="L3694">
        <v>1060.16</v>
      </c>
      <c r="M3694" t="s">
        <v>7155</v>
      </c>
      <c r="N3694" t="s">
        <v>416</v>
      </c>
      <c r="O3694">
        <v>5.18</v>
      </c>
      <c r="P3694">
        <v>5.2</v>
      </c>
      <c r="Q3694">
        <v>5.12</v>
      </c>
      <c r="R3694">
        <v>5.13</v>
      </c>
      <c r="S3694" t="s">
        <v>40</v>
      </c>
      <c r="T3694">
        <v>0.85</v>
      </c>
      <c r="U3694" t="s">
        <v>102</v>
      </c>
    </row>
    <row r="3695" spans="1:21">
      <c r="A3695" t="str">
        <f>"603189"</f>
        <v>603189</v>
      </c>
      <c r="B3695" t="s">
        <v>7156</v>
      </c>
      <c r="C3695">
        <v>1.03</v>
      </c>
      <c r="D3695">
        <v>19.69</v>
      </c>
      <c r="E3695">
        <v>0.2</v>
      </c>
      <c r="F3695">
        <v>19.68</v>
      </c>
      <c r="G3695">
        <v>19.69</v>
      </c>
      <c r="H3695">
        <v>60145</v>
      </c>
      <c r="I3695">
        <v>880</v>
      </c>
      <c r="J3695">
        <v>-0.09</v>
      </c>
      <c r="K3695">
        <v>2.72</v>
      </c>
      <c r="L3695">
        <v>11874.43</v>
      </c>
      <c r="M3695" t="s">
        <v>7157</v>
      </c>
      <c r="N3695" t="s">
        <v>30</v>
      </c>
      <c r="O3695">
        <v>19.29</v>
      </c>
      <c r="P3695">
        <v>20.08</v>
      </c>
      <c r="Q3695">
        <v>19.29</v>
      </c>
      <c r="R3695">
        <v>19.49</v>
      </c>
      <c r="S3695">
        <v>70.54</v>
      </c>
      <c r="T3695">
        <v>0.72</v>
      </c>
      <c r="U3695" t="s">
        <v>848</v>
      </c>
    </row>
    <row r="3696" spans="1:21">
      <c r="A3696" t="str">
        <f>"603192"</f>
        <v>603192</v>
      </c>
      <c r="B3696" t="s">
        <v>7158</v>
      </c>
      <c r="C3696">
        <v>0</v>
      </c>
      <c r="D3696">
        <v>45.5</v>
      </c>
      <c r="E3696">
        <v>0</v>
      </c>
      <c r="F3696">
        <v>45.49</v>
      </c>
      <c r="G3696">
        <v>45.5</v>
      </c>
      <c r="H3696">
        <v>34091</v>
      </c>
      <c r="I3696">
        <v>1110</v>
      </c>
      <c r="J3696">
        <v>1.07</v>
      </c>
      <c r="K3696">
        <v>3.2</v>
      </c>
      <c r="L3696">
        <v>15161.01</v>
      </c>
      <c r="M3696" t="s">
        <v>7159</v>
      </c>
      <c r="N3696" t="s">
        <v>309</v>
      </c>
      <c r="O3696">
        <v>44</v>
      </c>
      <c r="P3696">
        <v>45.5</v>
      </c>
      <c r="Q3696">
        <v>43.25</v>
      </c>
      <c r="R3696">
        <v>45.5</v>
      </c>
      <c r="S3696">
        <v>40.25</v>
      </c>
      <c r="T3696">
        <v>0.58</v>
      </c>
      <c r="U3696" t="s">
        <v>848</v>
      </c>
    </row>
    <row r="3697" spans="1:21">
      <c r="A3697" t="str">
        <f>"603195"</f>
        <v>603195</v>
      </c>
      <c r="B3697" t="s">
        <v>7160</v>
      </c>
      <c r="C3697">
        <v>-0.31</v>
      </c>
      <c r="D3697">
        <v>161.1</v>
      </c>
      <c r="E3697">
        <v>-0.5</v>
      </c>
      <c r="F3697">
        <v>161.1</v>
      </c>
      <c r="G3697">
        <v>161.11</v>
      </c>
      <c r="H3697">
        <v>12303</v>
      </c>
      <c r="I3697">
        <v>138</v>
      </c>
      <c r="J3697">
        <v>0.13</v>
      </c>
      <c r="K3697">
        <v>1.63</v>
      </c>
      <c r="L3697">
        <v>19696.58</v>
      </c>
      <c r="M3697" t="s">
        <v>7161</v>
      </c>
      <c r="N3697" t="s">
        <v>910</v>
      </c>
      <c r="O3697">
        <v>161.9</v>
      </c>
      <c r="P3697">
        <v>161.95</v>
      </c>
      <c r="Q3697">
        <v>158.88</v>
      </c>
      <c r="R3697">
        <v>161.6</v>
      </c>
      <c r="S3697">
        <v>32.92</v>
      </c>
      <c r="T3697">
        <v>0.65</v>
      </c>
      <c r="U3697" t="s">
        <v>200</v>
      </c>
    </row>
    <row r="3698" spans="1:21">
      <c r="A3698" t="str">
        <f>"603196"</f>
        <v>603196</v>
      </c>
      <c r="B3698" t="s">
        <v>7162</v>
      </c>
      <c r="C3698">
        <v>1.3</v>
      </c>
      <c r="D3698">
        <v>7</v>
      </c>
      <c r="E3698">
        <v>0.09</v>
      </c>
      <c r="F3698">
        <v>6.99</v>
      </c>
      <c r="G3698">
        <v>7</v>
      </c>
      <c r="H3698">
        <v>27135</v>
      </c>
      <c r="I3698">
        <v>589</v>
      </c>
      <c r="J3698">
        <v>0.43</v>
      </c>
      <c r="K3698">
        <v>1.15</v>
      </c>
      <c r="L3698">
        <v>1883.74</v>
      </c>
      <c r="M3698" t="s">
        <v>2358</v>
      </c>
      <c r="N3698" t="s">
        <v>1061</v>
      </c>
      <c r="O3698">
        <v>6.94</v>
      </c>
      <c r="P3698">
        <v>7.04</v>
      </c>
      <c r="Q3698">
        <v>6.8</v>
      </c>
      <c r="R3698">
        <v>6.91</v>
      </c>
      <c r="S3698">
        <v>21.13</v>
      </c>
      <c r="T3698">
        <v>1.1</v>
      </c>
      <c r="U3698" t="s">
        <v>848</v>
      </c>
    </row>
    <row r="3699" spans="1:21">
      <c r="A3699" t="str">
        <f>"603197"</f>
        <v>603197</v>
      </c>
      <c r="B3699" t="s">
        <v>7163</v>
      </c>
      <c r="C3699">
        <v>0.71</v>
      </c>
      <c r="D3699">
        <v>39.96</v>
      </c>
      <c r="E3699">
        <v>0.28</v>
      </c>
      <c r="F3699">
        <v>39.95</v>
      </c>
      <c r="G3699">
        <v>39.96</v>
      </c>
      <c r="H3699">
        <v>49326</v>
      </c>
      <c r="I3699">
        <v>559</v>
      </c>
      <c r="J3699">
        <v>-0.16</v>
      </c>
      <c r="K3699">
        <v>2.44</v>
      </c>
      <c r="L3699">
        <v>19652.65</v>
      </c>
      <c r="M3699" t="s">
        <v>7164</v>
      </c>
      <c r="N3699" t="s">
        <v>91</v>
      </c>
      <c r="O3699">
        <v>39.8</v>
      </c>
      <c r="P3699">
        <v>40.45</v>
      </c>
      <c r="Q3699">
        <v>38.5</v>
      </c>
      <c r="R3699">
        <v>39.68</v>
      </c>
      <c r="S3699">
        <v>27.79</v>
      </c>
      <c r="T3699">
        <v>0.86</v>
      </c>
      <c r="U3699" t="s">
        <v>848</v>
      </c>
    </row>
    <row r="3700" spans="1:21">
      <c r="A3700" t="str">
        <f>"603198"</f>
        <v>603198</v>
      </c>
      <c r="B3700" t="s">
        <v>7165</v>
      </c>
      <c r="C3700">
        <v>7.54</v>
      </c>
      <c r="D3700">
        <v>64.6</v>
      </c>
      <c r="E3700">
        <v>4.53</v>
      </c>
      <c r="F3700">
        <v>64.6</v>
      </c>
      <c r="G3700">
        <v>64.61</v>
      </c>
      <c r="H3700">
        <v>172364</v>
      </c>
      <c r="I3700">
        <v>2015</v>
      </c>
      <c r="J3700">
        <v>0</v>
      </c>
      <c r="K3700">
        <v>2.15</v>
      </c>
      <c r="L3700">
        <v>109691.01</v>
      </c>
      <c r="M3700" t="s">
        <v>7166</v>
      </c>
      <c r="N3700" t="s">
        <v>423</v>
      </c>
      <c r="O3700">
        <v>60.07</v>
      </c>
      <c r="P3700">
        <v>65.4</v>
      </c>
      <c r="Q3700">
        <v>59.8</v>
      </c>
      <c r="R3700">
        <v>60.07</v>
      </c>
      <c r="S3700">
        <v>40.29</v>
      </c>
      <c r="T3700">
        <v>1.67</v>
      </c>
      <c r="U3700" t="s">
        <v>193</v>
      </c>
    </row>
    <row r="3701" spans="1:21">
      <c r="A3701" t="str">
        <f>"603199"</f>
        <v>603199</v>
      </c>
      <c r="B3701" t="s">
        <v>7167</v>
      </c>
      <c r="C3701">
        <v>1.3</v>
      </c>
      <c r="D3701">
        <v>21.06</v>
      </c>
      <c r="E3701">
        <v>0.27</v>
      </c>
      <c r="F3701">
        <v>21.06</v>
      </c>
      <c r="G3701">
        <v>21.07</v>
      </c>
      <c r="H3701">
        <v>3900</v>
      </c>
      <c r="I3701">
        <v>19</v>
      </c>
      <c r="J3701">
        <v>0.1</v>
      </c>
      <c r="K3701">
        <v>0.35</v>
      </c>
      <c r="L3701">
        <v>819.37</v>
      </c>
      <c r="M3701" t="s">
        <v>7168</v>
      </c>
      <c r="N3701" t="s">
        <v>162</v>
      </c>
      <c r="O3701">
        <v>20.86</v>
      </c>
      <c r="P3701">
        <v>21.15</v>
      </c>
      <c r="Q3701">
        <v>20.74</v>
      </c>
      <c r="R3701">
        <v>20.79</v>
      </c>
      <c r="S3701">
        <v>34.69</v>
      </c>
      <c r="T3701">
        <v>0.56</v>
      </c>
      <c r="U3701" t="s">
        <v>193</v>
      </c>
    </row>
    <row r="3702" spans="1:21">
      <c r="A3702" t="str">
        <f>"603200"</f>
        <v>603200</v>
      </c>
      <c r="B3702" t="s">
        <v>7169</v>
      </c>
      <c r="C3702">
        <v>2.59</v>
      </c>
      <c r="D3702">
        <v>22.17</v>
      </c>
      <c r="E3702">
        <v>0.56</v>
      </c>
      <c r="F3702">
        <v>22.17</v>
      </c>
      <c r="G3702">
        <v>22.2</v>
      </c>
      <c r="H3702">
        <v>22342</v>
      </c>
      <c r="I3702">
        <v>123</v>
      </c>
      <c r="J3702">
        <v>-0.13</v>
      </c>
      <c r="K3702">
        <v>1.78</v>
      </c>
      <c r="L3702">
        <v>4946.97</v>
      </c>
      <c r="M3702" t="s">
        <v>7170</v>
      </c>
      <c r="N3702" t="s">
        <v>33</v>
      </c>
      <c r="O3702">
        <v>21.6</v>
      </c>
      <c r="P3702">
        <v>22.48</v>
      </c>
      <c r="Q3702">
        <v>21.36</v>
      </c>
      <c r="R3702">
        <v>21.61</v>
      </c>
      <c r="S3702">
        <v>61.86</v>
      </c>
      <c r="T3702">
        <v>0.78</v>
      </c>
      <c r="U3702" t="s">
        <v>848</v>
      </c>
    </row>
    <row r="3703" spans="1:21">
      <c r="A3703" t="str">
        <f>"603203"</f>
        <v>603203</v>
      </c>
      <c r="B3703" t="s">
        <v>7171</v>
      </c>
      <c r="C3703">
        <v>4.35</v>
      </c>
      <c r="D3703">
        <v>38.35</v>
      </c>
      <c r="E3703">
        <v>1.6</v>
      </c>
      <c r="F3703">
        <v>38.34</v>
      </c>
      <c r="G3703">
        <v>38.35</v>
      </c>
      <c r="H3703">
        <v>41212</v>
      </c>
      <c r="I3703">
        <v>574</v>
      </c>
      <c r="J3703">
        <v>0.13</v>
      </c>
      <c r="K3703">
        <v>2.19</v>
      </c>
      <c r="L3703">
        <v>15508.85</v>
      </c>
      <c r="M3703" t="s">
        <v>4761</v>
      </c>
      <c r="N3703" t="s">
        <v>324</v>
      </c>
      <c r="O3703">
        <v>36.75</v>
      </c>
      <c r="P3703">
        <v>38.6</v>
      </c>
      <c r="Q3703">
        <v>36.22</v>
      </c>
      <c r="R3703">
        <v>36.75</v>
      </c>
      <c r="S3703">
        <v>24.9</v>
      </c>
      <c r="T3703">
        <v>1.49</v>
      </c>
      <c r="U3703" t="s">
        <v>102</v>
      </c>
    </row>
    <row r="3704" spans="1:21">
      <c r="A3704" t="str">
        <f>"603208"</f>
        <v>603208</v>
      </c>
      <c r="B3704" t="s">
        <v>7172</v>
      </c>
      <c r="C3704">
        <v>2.38</v>
      </c>
      <c r="D3704">
        <v>60.2</v>
      </c>
      <c r="E3704">
        <v>1.4</v>
      </c>
      <c r="F3704">
        <v>60.2</v>
      </c>
      <c r="G3704">
        <v>60.21</v>
      </c>
      <c r="H3704">
        <v>6591</v>
      </c>
      <c r="I3704">
        <v>228</v>
      </c>
      <c r="J3704">
        <v>0.84</v>
      </c>
      <c r="K3704">
        <v>0.63</v>
      </c>
      <c r="L3704">
        <v>3893.63</v>
      </c>
      <c r="M3704" t="s">
        <v>7173</v>
      </c>
      <c r="N3704" t="s">
        <v>910</v>
      </c>
      <c r="O3704">
        <v>58.8</v>
      </c>
      <c r="P3704">
        <v>60.2</v>
      </c>
      <c r="Q3704">
        <v>57.81</v>
      </c>
      <c r="R3704">
        <v>58.8</v>
      </c>
      <c r="S3704">
        <v>16.3</v>
      </c>
      <c r="T3704">
        <v>0.56</v>
      </c>
      <c r="U3704" t="s">
        <v>200</v>
      </c>
    </row>
    <row r="3705" spans="1:21">
      <c r="A3705" t="str">
        <f>"603212"</f>
        <v>603212</v>
      </c>
      <c r="B3705" t="s">
        <v>7174</v>
      </c>
      <c r="C3705">
        <v>1.35</v>
      </c>
      <c r="D3705">
        <v>35.95</v>
      </c>
      <c r="E3705">
        <v>0.48</v>
      </c>
      <c r="F3705">
        <v>35.95</v>
      </c>
      <c r="G3705">
        <v>35.96</v>
      </c>
      <c r="H3705">
        <v>66574</v>
      </c>
      <c r="I3705">
        <v>1055</v>
      </c>
      <c r="J3705">
        <v>0.14</v>
      </c>
      <c r="K3705">
        <v>2.61</v>
      </c>
      <c r="L3705">
        <v>23411.46</v>
      </c>
      <c r="M3705" t="s">
        <v>7175</v>
      </c>
      <c r="N3705" t="s">
        <v>839</v>
      </c>
      <c r="O3705">
        <v>35.33</v>
      </c>
      <c r="P3705">
        <v>36.11</v>
      </c>
      <c r="Q3705">
        <v>34.1</v>
      </c>
      <c r="R3705">
        <v>35.47</v>
      </c>
      <c r="S3705">
        <v>88.65</v>
      </c>
      <c r="T3705">
        <v>0.84</v>
      </c>
      <c r="U3705" t="s">
        <v>102</v>
      </c>
    </row>
    <row r="3706" spans="1:21">
      <c r="A3706" t="str">
        <f>"603213"</f>
        <v>603213</v>
      </c>
      <c r="B3706" t="s">
        <v>7176</v>
      </c>
      <c r="C3706">
        <v>10.01</v>
      </c>
      <c r="D3706">
        <v>15.28</v>
      </c>
      <c r="E3706">
        <v>1.39</v>
      </c>
      <c r="F3706">
        <v>15.28</v>
      </c>
      <c r="G3706" t="s">
        <v>40</v>
      </c>
      <c r="H3706">
        <v>105518</v>
      </c>
      <c r="I3706">
        <v>177</v>
      </c>
      <c r="J3706">
        <v>0</v>
      </c>
      <c r="K3706">
        <v>16.17</v>
      </c>
      <c r="L3706">
        <v>15844.78</v>
      </c>
      <c r="M3706" t="s">
        <v>7177</v>
      </c>
      <c r="N3706" t="s">
        <v>309</v>
      </c>
      <c r="O3706">
        <v>14.98</v>
      </c>
      <c r="P3706">
        <v>15.28</v>
      </c>
      <c r="Q3706">
        <v>14.59</v>
      </c>
      <c r="R3706">
        <v>13.89</v>
      </c>
      <c r="S3706">
        <v>19.51</v>
      </c>
      <c r="T3706">
        <v>1.27</v>
      </c>
      <c r="U3706" t="s">
        <v>200</v>
      </c>
    </row>
    <row r="3707" spans="1:21">
      <c r="A3707" t="str">
        <f>"603214"</f>
        <v>603214</v>
      </c>
      <c r="B3707" t="s">
        <v>7178</v>
      </c>
      <c r="C3707">
        <v>0.05</v>
      </c>
      <c r="D3707">
        <v>19.91</v>
      </c>
      <c r="E3707">
        <v>0.01</v>
      </c>
      <c r="F3707">
        <v>19.91</v>
      </c>
      <c r="G3707">
        <v>19.92</v>
      </c>
      <c r="H3707">
        <v>13133</v>
      </c>
      <c r="I3707">
        <v>143</v>
      </c>
      <c r="J3707">
        <v>0.1</v>
      </c>
      <c r="K3707">
        <v>0.93</v>
      </c>
      <c r="L3707">
        <v>2596.85</v>
      </c>
      <c r="M3707" t="s">
        <v>3842</v>
      </c>
      <c r="N3707" t="s">
        <v>258</v>
      </c>
      <c r="O3707">
        <v>19.9</v>
      </c>
      <c r="P3707">
        <v>20.05</v>
      </c>
      <c r="Q3707">
        <v>19.59</v>
      </c>
      <c r="R3707">
        <v>19.9</v>
      </c>
      <c r="S3707">
        <v>62.82</v>
      </c>
      <c r="T3707">
        <v>0.88</v>
      </c>
      <c r="U3707" t="s">
        <v>848</v>
      </c>
    </row>
    <row r="3708" spans="1:21">
      <c r="A3708" t="str">
        <f>"603217"</f>
        <v>603217</v>
      </c>
      <c r="B3708" t="s">
        <v>7179</v>
      </c>
      <c r="C3708">
        <v>0.24</v>
      </c>
      <c r="D3708">
        <v>41.1</v>
      </c>
      <c r="E3708">
        <v>0.1</v>
      </c>
      <c r="F3708">
        <v>41.07</v>
      </c>
      <c r="G3708">
        <v>41.1</v>
      </c>
      <c r="H3708">
        <v>13205</v>
      </c>
      <c r="I3708">
        <v>65</v>
      </c>
      <c r="J3708">
        <v>0.1</v>
      </c>
      <c r="K3708">
        <v>2.89</v>
      </c>
      <c r="L3708">
        <v>5422.98</v>
      </c>
      <c r="M3708" t="s">
        <v>7180</v>
      </c>
      <c r="N3708" t="s">
        <v>309</v>
      </c>
      <c r="O3708">
        <v>41</v>
      </c>
      <c r="P3708">
        <v>41.5</v>
      </c>
      <c r="Q3708">
        <v>40.67</v>
      </c>
      <c r="R3708">
        <v>41</v>
      </c>
      <c r="S3708">
        <v>14.3</v>
      </c>
      <c r="T3708">
        <v>0.87</v>
      </c>
      <c r="U3708" t="s">
        <v>221</v>
      </c>
    </row>
    <row r="3709" spans="1:21">
      <c r="A3709" t="str">
        <f>"603218"</f>
        <v>603218</v>
      </c>
      <c r="B3709" t="s">
        <v>7181</v>
      </c>
      <c r="C3709">
        <v>3.1</v>
      </c>
      <c r="D3709">
        <v>39.3</v>
      </c>
      <c r="E3709">
        <v>1.18</v>
      </c>
      <c r="F3709">
        <v>39.29</v>
      </c>
      <c r="G3709">
        <v>39.3</v>
      </c>
      <c r="H3709">
        <v>151844</v>
      </c>
      <c r="I3709">
        <v>1603</v>
      </c>
      <c r="J3709">
        <v>0.13</v>
      </c>
      <c r="K3709">
        <v>1.57</v>
      </c>
      <c r="L3709">
        <v>58368.35</v>
      </c>
      <c r="M3709" t="s">
        <v>7182</v>
      </c>
      <c r="N3709" t="s">
        <v>47</v>
      </c>
      <c r="O3709">
        <v>38</v>
      </c>
      <c r="P3709">
        <v>39.52</v>
      </c>
      <c r="Q3709">
        <v>37</v>
      </c>
      <c r="R3709">
        <v>38.12</v>
      </c>
      <c r="S3709">
        <v>49.98</v>
      </c>
      <c r="T3709">
        <v>0.9</v>
      </c>
      <c r="U3709" t="s">
        <v>200</v>
      </c>
    </row>
    <row r="3710" spans="1:21">
      <c r="A3710" t="str">
        <f>"603220"</f>
        <v>603220</v>
      </c>
      <c r="B3710" t="s">
        <v>7183</v>
      </c>
      <c r="C3710">
        <v>1.84</v>
      </c>
      <c r="D3710">
        <v>14.42</v>
      </c>
      <c r="E3710">
        <v>0.26</v>
      </c>
      <c r="F3710">
        <v>14.42</v>
      </c>
      <c r="G3710">
        <v>14.43</v>
      </c>
      <c r="H3710">
        <v>62248</v>
      </c>
      <c r="I3710">
        <v>1189</v>
      </c>
      <c r="J3710">
        <v>-0.06</v>
      </c>
      <c r="K3710">
        <v>1.86</v>
      </c>
      <c r="L3710">
        <v>8893.48</v>
      </c>
      <c r="M3710" t="s">
        <v>7184</v>
      </c>
      <c r="N3710" t="s">
        <v>153</v>
      </c>
      <c r="O3710">
        <v>14.26</v>
      </c>
      <c r="P3710">
        <v>14.46</v>
      </c>
      <c r="Q3710">
        <v>14.04</v>
      </c>
      <c r="R3710">
        <v>14.16</v>
      </c>
      <c r="S3710">
        <v>36.29</v>
      </c>
      <c r="T3710">
        <v>0.74</v>
      </c>
      <c r="U3710" t="s">
        <v>267</v>
      </c>
    </row>
    <row r="3711" spans="1:21">
      <c r="A3711" t="str">
        <f>"603221"</f>
        <v>603221</v>
      </c>
      <c r="B3711" t="s">
        <v>7185</v>
      </c>
      <c r="C3711">
        <v>-0.33</v>
      </c>
      <c r="D3711">
        <v>9.12</v>
      </c>
      <c r="E3711">
        <v>-0.03</v>
      </c>
      <c r="F3711">
        <v>9.12</v>
      </c>
      <c r="G3711">
        <v>9.13</v>
      </c>
      <c r="H3711">
        <v>21442</v>
      </c>
      <c r="I3711">
        <v>1207</v>
      </c>
      <c r="J3711">
        <v>-0.43</v>
      </c>
      <c r="K3711">
        <v>3.53</v>
      </c>
      <c r="L3711">
        <v>1954.76</v>
      </c>
      <c r="M3711" t="s">
        <v>7186</v>
      </c>
      <c r="N3711" t="s">
        <v>910</v>
      </c>
      <c r="O3711">
        <v>9.09</v>
      </c>
      <c r="P3711">
        <v>9.2</v>
      </c>
      <c r="Q3711">
        <v>9.02</v>
      </c>
      <c r="R3711">
        <v>9.15</v>
      </c>
      <c r="S3711">
        <v>407.68</v>
      </c>
      <c r="T3711">
        <v>0.53</v>
      </c>
      <c r="U3711" t="s">
        <v>102</v>
      </c>
    </row>
    <row r="3712" spans="1:21">
      <c r="A3712" t="str">
        <f>"603222"</f>
        <v>603222</v>
      </c>
      <c r="B3712" t="s">
        <v>7187</v>
      </c>
      <c r="C3712">
        <v>0.22</v>
      </c>
      <c r="D3712">
        <v>13.68</v>
      </c>
      <c r="E3712">
        <v>0.03</v>
      </c>
      <c r="F3712">
        <v>13.68</v>
      </c>
      <c r="G3712">
        <v>13.69</v>
      </c>
      <c r="H3712">
        <v>31425</v>
      </c>
      <c r="I3712">
        <v>588</v>
      </c>
      <c r="J3712">
        <v>0.07</v>
      </c>
      <c r="K3712">
        <v>0.92</v>
      </c>
      <c r="L3712">
        <v>4279.52</v>
      </c>
      <c r="M3712" t="s">
        <v>7188</v>
      </c>
      <c r="N3712" t="s">
        <v>192</v>
      </c>
      <c r="O3712">
        <v>13.65</v>
      </c>
      <c r="P3712">
        <v>13.7</v>
      </c>
      <c r="Q3712">
        <v>13.51</v>
      </c>
      <c r="R3712">
        <v>13.65</v>
      </c>
      <c r="S3712">
        <v>24.1</v>
      </c>
      <c r="T3712">
        <v>0.72</v>
      </c>
      <c r="U3712" t="s">
        <v>200</v>
      </c>
    </row>
    <row r="3713" spans="1:21">
      <c r="A3713" t="str">
        <f>"603223"</f>
        <v>603223</v>
      </c>
      <c r="B3713" t="s">
        <v>7189</v>
      </c>
      <c r="C3713">
        <v>1.18</v>
      </c>
      <c r="D3713">
        <v>32.58</v>
      </c>
      <c r="E3713">
        <v>0.38</v>
      </c>
      <c r="F3713">
        <v>32.58</v>
      </c>
      <c r="G3713">
        <v>32.59</v>
      </c>
      <c r="H3713">
        <v>8781</v>
      </c>
      <c r="I3713">
        <v>119</v>
      </c>
      <c r="J3713">
        <v>0.52</v>
      </c>
      <c r="K3713">
        <v>0.31</v>
      </c>
      <c r="L3713">
        <v>2850.9</v>
      </c>
      <c r="M3713" t="s">
        <v>7190</v>
      </c>
      <c r="N3713" t="s">
        <v>1049</v>
      </c>
      <c r="O3713">
        <v>32.39</v>
      </c>
      <c r="P3713">
        <v>32.7</v>
      </c>
      <c r="Q3713">
        <v>32.15</v>
      </c>
      <c r="R3713">
        <v>32.2</v>
      </c>
      <c r="S3713">
        <v>95.65</v>
      </c>
      <c r="T3713">
        <v>0.76</v>
      </c>
      <c r="U3713" t="s">
        <v>221</v>
      </c>
    </row>
    <row r="3714" spans="1:21">
      <c r="A3714" t="str">
        <f>"603225"</f>
        <v>603225</v>
      </c>
      <c r="B3714" t="s">
        <v>7191</v>
      </c>
      <c r="C3714">
        <v>1.74</v>
      </c>
      <c r="D3714">
        <v>14</v>
      </c>
      <c r="E3714">
        <v>0.24</v>
      </c>
      <c r="F3714">
        <v>14</v>
      </c>
      <c r="G3714">
        <v>14.01</v>
      </c>
      <c r="H3714">
        <v>122892</v>
      </c>
      <c r="I3714">
        <v>1394</v>
      </c>
      <c r="J3714">
        <v>-0.06</v>
      </c>
      <c r="K3714">
        <v>0.82</v>
      </c>
      <c r="L3714">
        <v>16891.22</v>
      </c>
      <c r="M3714" t="s">
        <v>7192</v>
      </c>
      <c r="N3714" t="s">
        <v>216</v>
      </c>
      <c r="O3714">
        <v>13.72</v>
      </c>
      <c r="P3714">
        <v>14.03</v>
      </c>
      <c r="Q3714">
        <v>13.46</v>
      </c>
      <c r="R3714">
        <v>13.76</v>
      </c>
      <c r="S3714">
        <v>8.3</v>
      </c>
      <c r="T3714">
        <v>1.16</v>
      </c>
      <c r="U3714" t="s">
        <v>200</v>
      </c>
    </row>
    <row r="3715" spans="1:21">
      <c r="A3715" t="str">
        <f>"603226"</f>
        <v>603226</v>
      </c>
      <c r="B3715" t="s">
        <v>7193</v>
      </c>
      <c r="C3715">
        <v>0.84</v>
      </c>
      <c r="D3715">
        <v>7.18</v>
      </c>
      <c r="E3715">
        <v>0.06</v>
      </c>
      <c r="F3715">
        <v>7.18</v>
      </c>
      <c r="G3715">
        <v>7.19</v>
      </c>
      <c r="H3715">
        <v>17097</v>
      </c>
      <c r="I3715">
        <v>21</v>
      </c>
      <c r="J3715">
        <v>-0.13</v>
      </c>
      <c r="K3715">
        <v>0.63</v>
      </c>
      <c r="L3715">
        <v>1219.7</v>
      </c>
      <c r="M3715" t="s">
        <v>880</v>
      </c>
      <c r="N3715" t="s">
        <v>910</v>
      </c>
      <c r="O3715">
        <v>7.13</v>
      </c>
      <c r="P3715">
        <v>7.22</v>
      </c>
      <c r="Q3715">
        <v>7.04</v>
      </c>
      <c r="R3715">
        <v>7.12</v>
      </c>
      <c r="S3715">
        <v>32.36</v>
      </c>
      <c r="T3715">
        <v>0.91</v>
      </c>
      <c r="U3715" t="s">
        <v>848</v>
      </c>
    </row>
    <row r="3716" spans="1:21">
      <c r="A3716" t="str">
        <f>"603227"</f>
        <v>603227</v>
      </c>
      <c r="B3716" t="s">
        <v>7194</v>
      </c>
      <c r="C3716">
        <v>0.16</v>
      </c>
      <c r="D3716">
        <v>6.13</v>
      </c>
      <c r="E3716">
        <v>0.01</v>
      </c>
      <c r="F3716">
        <v>6.12</v>
      </c>
      <c r="G3716">
        <v>6.13</v>
      </c>
      <c r="H3716">
        <v>93013</v>
      </c>
      <c r="I3716">
        <v>1218</v>
      </c>
      <c r="J3716">
        <v>0.16</v>
      </c>
      <c r="K3716">
        <v>1.41</v>
      </c>
      <c r="L3716">
        <v>5697.39</v>
      </c>
      <c r="M3716" t="s">
        <v>3129</v>
      </c>
      <c r="N3716" t="s">
        <v>309</v>
      </c>
      <c r="O3716">
        <v>6.1</v>
      </c>
      <c r="P3716">
        <v>6.18</v>
      </c>
      <c r="Q3716">
        <v>6.02</v>
      </c>
      <c r="R3716">
        <v>6.12</v>
      </c>
      <c r="S3716">
        <v>28.05</v>
      </c>
      <c r="T3716">
        <v>1.06</v>
      </c>
      <c r="U3716" t="s">
        <v>210</v>
      </c>
    </row>
    <row r="3717" spans="1:21">
      <c r="A3717" t="str">
        <f>"603228"</f>
        <v>603228</v>
      </c>
      <c r="B3717" t="s">
        <v>7195</v>
      </c>
      <c r="C3717">
        <v>2.91</v>
      </c>
      <c r="D3717">
        <v>28.99</v>
      </c>
      <c r="E3717">
        <v>0.82</v>
      </c>
      <c r="F3717">
        <v>28.99</v>
      </c>
      <c r="G3717">
        <v>29</v>
      </c>
      <c r="H3717">
        <v>75602</v>
      </c>
      <c r="I3717">
        <v>466</v>
      </c>
      <c r="J3717">
        <v>0.42</v>
      </c>
      <c r="K3717">
        <v>0.9</v>
      </c>
      <c r="L3717">
        <v>21733.46</v>
      </c>
      <c r="M3717" t="s">
        <v>7196</v>
      </c>
      <c r="N3717" t="s">
        <v>69</v>
      </c>
      <c r="O3717">
        <v>28.2</v>
      </c>
      <c r="P3717">
        <v>29.23</v>
      </c>
      <c r="Q3717">
        <v>27.78</v>
      </c>
      <c r="R3717">
        <v>28.17</v>
      </c>
      <c r="S3717">
        <v>26.13</v>
      </c>
      <c r="T3717">
        <v>1.62</v>
      </c>
      <c r="U3717" t="s">
        <v>24</v>
      </c>
    </row>
    <row r="3718" spans="1:21">
      <c r="A3718" t="str">
        <f>"603229"</f>
        <v>603229</v>
      </c>
      <c r="B3718" t="s">
        <v>7197</v>
      </c>
      <c r="C3718">
        <v>9.99</v>
      </c>
      <c r="D3718">
        <v>37.21</v>
      </c>
      <c r="E3718">
        <v>3.38</v>
      </c>
      <c r="F3718">
        <v>37.21</v>
      </c>
      <c r="G3718" t="s">
        <v>40</v>
      </c>
      <c r="H3718">
        <v>59376</v>
      </c>
      <c r="I3718">
        <v>50</v>
      </c>
      <c r="J3718">
        <v>0</v>
      </c>
      <c r="K3718">
        <v>2.09</v>
      </c>
      <c r="L3718">
        <v>21471.42</v>
      </c>
      <c r="M3718" t="s">
        <v>7198</v>
      </c>
      <c r="N3718" t="s">
        <v>192</v>
      </c>
      <c r="O3718">
        <v>34.41</v>
      </c>
      <c r="P3718">
        <v>37.21</v>
      </c>
      <c r="Q3718">
        <v>34.41</v>
      </c>
      <c r="R3718">
        <v>33.83</v>
      </c>
      <c r="S3718">
        <v>72.62</v>
      </c>
      <c r="T3718">
        <v>0.63</v>
      </c>
      <c r="U3718" t="s">
        <v>200</v>
      </c>
    </row>
    <row r="3719" spans="1:21">
      <c r="A3719" t="str">
        <f>"603232"</f>
        <v>603232</v>
      </c>
      <c r="B3719" t="s">
        <v>7199</v>
      </c>
      <c r="C3719">
        <v>1.13</v>
      </c>
      <c r="D3719">
        <v>14.37</v>
      </c>
      <c r="E3719">
        <v>0.16</v>
      </c>
      <c r="F3719">
        <v>14.37</v>
      </c>
      <c r="G3719">
        <v>14.38</v>
      </c>
      <c r="H3719">
        <v>23565</v>
      </c>
      <c r="I3719">
        <v>57</v>
      </c>
      <c r="J3719">
        <v>0.07</v>
      </c>
      <c r="K3719">
        <v>1.02</v>
      </c>
      <c r="L3719">
        <v>3386.7</v>
      </c>
      <c r="M3719" t="s">
        <v>5633</v>
      </c>
      <c r="N3719" t="s">
        <v>30</v>
      </c>
      <c r="O3719">
        <v>14.27</v>
      </c>
      <c r="P3719">
        <v>14.5</v>
      </c>
      <c r="Q3719">
        <v>14.17</v>
      </c>
      <c r="R3719">
        <v>14.21</v>
      </c>
      <c r="S3719" t="s">
        <v>40</v>
      </c>
      <c r="T3719">
        <v>0.72</v>
      </c>
      <c r="U3719" t="s">
        <v>848</v>
      </c>
    </row>
    <row r="3720" spans="1:21">
      <c r="A3720" t="str">
        <f>"603233"</f>
        <v>603233</v>
      </c>
      <c r="B3720" t="s">
        <v>7200</v>
      </c>
      <c r="C3720">
        <v>-1.5</v>
      </c>
      <c r="D3720">
        <v>36.1</v>
      </c>
      <c r="E3720">
        <v>-0.55</v>
      </c>
      <c r="F3720">
        <v>36.1</v>
      </c>
      <c r="G3720">
        <v>36.11</v>
      </c>
      <c r="H3720">
        <v>53585</v>
      </c>
      <c r="I3720">
        <v>589</v>
      </c>
      <c r="J3720">
        <v>0.03</v>
      </c>
      <c r="K3720">
        <v>0.68</v>
      </c>
      <c r="L3720">
        <v>19206.05</v>
      </c>
      <c r="M3720" t="s">
        <v>7201</v>
      </c>
      <c r="N3720" t="s">
        <v>86</v>
      </c>
      <c r="O3720">
        <v>36.65</v>
      </c>
      <c r="P3720">
        <v>36.65</v>
      </c>
      <c r="Q3720">
        <v>35.48</v>
      </c>
      <c r="R3720">
        <v>36.65</v>
      </c>
      <c r="S3720">
        <v>26.15</v>
      </c>
      <c r="T3720">
        <v>1.28</v>
      </c>
      <c r="U3720" t="s">
        <v>183</v>
      </c>
    </row>
    <row r="3721" spans="1:21">
      <c r="A3721" t="str">
        <f>"603236"</f>
        <v>603236</v>
      </c>
      <c r="B3721" t="s">
        <v>7202</v>
      </c>
      <c r="C3721">
        <v>0.39</v>
      </c>
      <c r="D3721">
        <v>185.8</v>
      </c>
      <c r="E3721">
        <v>0.73</v>
      </c>
      <c r="F3721">
        <v>185.8</v>
      </c>
      <c r="G3721">
        <v>185.87</v>
      </c>
      <c r="H3721">
        <v>13801</v>
      </c>
      <c r="I3721">
        <v>44</v>
      </c>
      <c r="J3721">
        <v>0.16</v>
      </c>
      <c r="K3721">
        <v>1.4</v>
      </c>
      <c r="L3721">
        <v>25492.99</v>
      </c>
      <c r="M3721" t="s">
        <v>7203</v>
      </c>
      <c r="N3721" t="s">
        <v>153</v>
      </c>
      <c r="O3721">
        <v>185.8</v>
      </c>
      <c r="P3721">
        <v>187.78</v>
      </c>
      <c r="Q3721">
        <v>181.5</v>
      </c>
      <c r="R3721">
        <v>185.07</v>
      </c>
      <c r="S3721">
        <v>85.5</v>
      </c>
      <c r="T3721">
        <v>1.13</v>
      </c>
      <c r="U3721" t="s">
        <v>848</v>
      </c>
    </row>
    <row r="3722" spans="1:21">
      <c r="A3722" t="str">
        <f>"603238"</f>
        <v>603238</v>
      </c>
      <c r="B3722" t="s">
        <v>7204</v>
      </c>
      <c r="C3722">
        <v>1.64</v>
      </c>
      <c r="D3722">
        <v>12.36</v>
      </c>
      <c r="E3722">
        <v>0.2</v>
      </c>
      <c r="F3722">
        <v>12.36</v>
      </c>
      <c r="G3722">
        <v>12.38</v>
      </c>
      <c r="H3722">
        <v>8955</v>
      </c>
      <c r="I3722">
        <v>33</v>
      </c>
      <c r="J3722">
        <v>0</v>
      </c>
      <c r="K3722">
        <v>0.51</v>
      </c>
      <c r="L3722">
        <v>1103.14</v>
      </c>
      <c r="M3722" t="s">
        <v>7205</v>
      </c>
      <c r="N3722" t="s">
        <v>664</v>
      </c>
      <c r="O3722">
        <v>12.18</v>
      </c>
      <c r="P3722">
        <v>12.45</v>
      </c>
      <c r="Q3722">
        <v>12.1</v>
      </c>
      <c r="R3722">
        <v>12.16</v>
      </c>
      <c r="S3722">
        <v>17.13</v>
      </c>
      <c r="T3722">
        <v>1.04</v>
      </c>
      <c r="U3722" t="s">
        <v>200</v>
      </c>
    </row>
    <row r="3723" spans="1:21">
      <c r="A3723" t="str">
        <f>"603239"</f>
        <v>603239</v>
      </c>
      <c r="B3723" t="s">
        <v>7206</v>
      </c>
      <c r="C3723">
        <v>2.04</v>
      </c>
      <c r="D3723">
        <v>17.03</v>
      </c>
      <c r="E3723">
        <v>0.34</v>
      </c>
      <c r="F3723">
        <v>17.02</v>
      </c>
      <c r="G3723">
        <v>17.03</v>
      </c>
      <c r="H3723">
        <v>39893</v>
      </c>
      <c r="I3723">
        <v>1076</v>
      </c>
      <c r="J3723">
        <v>0.65</v>
      </c>
      <c r="K3723">
        <v>1.47</v>
      </c>
      <c r="L3723">
        <v>6686.89</v>
      </c>
      <c r="M3723" t="s">
        <v>7207</v>
      </c>
      <c r="N3723" t="s">
        <v>91</v>
      </c>
      <c r="O3723">
        <v>16.6</v>
      </c>
      <c r="P3723">
        <v>17.1</v>
      </c>
      <c r="Q3723">
        <v>16.43</v>
      </c>
      <c r="R3723">
        <v>16.69</v>
      </c>
      <c r="S3723">
        <v>32.57</v>
      </c>
      <c r="T3723">
        <v>0.81</v>
      </c>
      <c r="U3723" t="s">
        <v>200</v>
      </c>
    </row>
    <row r="3724" spans="1:21">
      <c r="A3724" t="str">
        <f>"603256"</f>
        <v>603256</v>
      </c>
      <c r="B3724" t="s">
        <v>7208</v>
      </c>
      <c r="C3724">
        <v>3.65</v>
      </c>
      <c r="D3724">
        <v>9.08</v>
      </c>
      <c r="E3724">
        <v>0.32</v>
      </c>
      <c r="F3724">
        <v>9.07</v>
      </c>
      <c r="G3724">
        <v>9.08</v>
      </c>
      <c r="H3724">
        <v>32334</v>
      </c>
      <c r="I3724">
        <v>542</v>
      </c>
      <c r="J3724">
        <v>-0.1</v>
      </c>
      <c r="K3724">
        <v>2.38</v>
      </c>
      <c r="L3724">
        <v>2903.97</v>
      </c>
      <c r="M3724" t="s">
        <v>7209</v>
      </c>
      <c r="N3724" t="s">
        <v>55</v>
      </c>
      <c r="O3724">
        <v>8.76</v>
      </c>
      <c r="P3724">
        <v>9.09</v>
      </c>
      <c r="Q3724">
        <v>8.72</v>
      </c>
      <c r="R3724">
        <v>8.76</v>
      </c>
      <c r="S3724">
        <v>59.31</v>
      </c>
      <c r="T3724">
        <v>1.48</v>
      </c>
      <c r="U3724" t="s">
        <v>848</v>
      </c>
    </row>
    <row r="3725" spans="1:21">
      <c r="A3725" t="str">
        <f>"603258"</f>
        <v>603258</v>
      </c>
      <c r="B3725" t="s">
        <v>7210</v>
      </c>
      <c r="C3725">
        <v>0.07</v>
      </c>
      <c r="D3725">
        <v>28.17</v>
      </c>
      <c r="E3725">
        <v>0.02</v>
      </c>
      <c r="F3725">
        <v>28.16</v>
      </c>
      <c r="G3725">
        <v>28.17</v>
      </c>
      <c r="H3725">
        <v>53408</v>
      </c>
      <c r="I3725">
        <v>827</v>
      </c>
      <c r="J3725">
        <v>0</v>
      </c>
      <c r="K3725">
        <v>2.21</v>
      </c>
      <c r="L3725">
        <v>15101.56</v>
      </c>
      <c r="M3725" t="s">
        <v>7211</v>
      </c>
      <c r="N3725" t="s">
        <v>479</v>
      </c>
      <c r="O3725">
        <v>27.81</v>
      </c>
      <c r="P3725">
        <v>28.79</v>
      </c>
      <c r="Q3725">
        <v>27.71</v>
      </c>
      <c r="R3725">
        <v>28.15</v>
      </c>
      <c r="S3725">
        <v>18.28</v>
      </c>
      <c r="T3725">
        <v>0.55</v>
      </c>
      <c r="U3725" t="s">
        <v>200</v>
      </c>
    </row>
    <row r="3726" spans="1:21">
      <c r="A3726" t="str">
        <f>"603259"</f>
        <v>603259</v>
      </c>
      <c r="B3726" t="s">
        <v>7212</v>
      </c>
      <c r="C3726">
        <v>-0.53</v>
      </c>
      <c r="D3726">
        <v>130.3</v>
      </c>
      <c r="E3726">
        <v>-0.7</v>
      </c>
      <c r="F3726">
        <v>130.29</v>
      </c>
      <c r="G3726">
        <v>130.3</v>
      </c>
      <c r="H3726">
        <v>192875</v>
      </c>
      <c r="I3726">
        <v>3150</v>
      </c>
      <c r="J3726">
        <v>0.18</v>
      </c>
      <c r="K3726">
        <v>0.76</v>
      </c>
      <c r="L3726">
        <v>250105.01</v>
      </c>
      <c r="M3726" t="s">
        <v>7213</v>
      </c>
      <c r="N3726" t="s">
        <v>192</v>
      </c>
      <c r="O3726">
        <v>129.9</v>
      </c>
      <c r="P3726">
        <v>131.6</v>
      </c>
      <c r="Q3726">
        <v>128.6</v>
      </c>
      <c r="R3726">
        <v>131</v>
      </c>
      <c r="S3726">
        <v>81.08</v>
      </c>
      <c r="T3726">
        <v>0.89</v>
      </c>
      <c r="U3726" t="s">
        <v>102</v>
      </c>
    </row>
    <row r="3727" spans="1:21">
      <c r="A3727" t="str">
        <f>"603260"</f>
        <v>603260</v>
      </c>
      <c r="B3727" t="s">
        <v>7214</v>
      </c>
      <c r="C3727">
        <v>0.77</v>
      </c>
      <c r="D3727">
        <v>164.09</v>
      </c>
      <c r="E3727">
        <v>1.25</v>
      </c>
      <c r="F3727">
        <v>164.09</v>
      </c>
      <c r="G3727">
        <v>164.1</v>
      </c>
      <c r="H3727">
        <v>69451</v>
      </c>
      <c r="I3727">
        <v>643</v>
      </c>
      <c r="J3727">
        <v>0</v>
      </c>
      <c r="K3727">
        <v>0.74</v>
      </c>
      <c r="L3727">
        <v>112695.05</v>
      </c>
      <c r="M3727" t="s">
        <v>7215</v>
      </c>
      <c r="N3727" t="s">
        <v>309</v>
      </c>
      <c r="O3727">
        <v>161.66</v>
      </c>
      <c r="P3727">
        <v>164.9</v>
      </c>
      <c r="Q3727">
        <v>158.18</v>
      </c>
      <c r="R3727">
        <v>162.84</v>
      </c>
      <c r="S3727">
        <v>26.42</v>
      </c>
      <c r="T3727">
        <v>0.81</v>
      </c>
      <c r="U3727" t="s">
        <v>200</v>
      </c>
    </row>
    <row r="3728" spans="1:21">
      <c r="A3728" t="str">
        <f>"603266"</f>
        <v>603266</v>
      </c>
      <c r="B3728" t="s">
        <v>7216</v>
      </c>
      <c r="C3728">
        <v>4.46</v>
      </c>
      <c r="D3728">
        <v>11.71</v>
      </c>
      <c r="E3728">
        <v>0.5</v>
      </c>
      <c r="F3728">
        <v>11.7</v>
      </c>
      <c r="G3728">
        <v>11.71</v>
      </c>
      <c r="H3728">
        <v>64021</v>
      </c>
      <c r="I3728">
        <v>352</v>
      </c>
      <c r="J3728">
        <v>-0.08</v>
      </c>
      <c r="K3728">
        <v>3.24</v>
      </c>
      <c r="L3728">
        <v>7491.37</v>
      </c>
      <c r="M3728" t="s">
        <v>7217</v>
      </c>
      <c r="N3728" t="s">
        <v>839</v>
      </c>
      <c r="O3728">
        <v>11.22</v>
      </c>
      <c r="P3728">
        <v>12.15</v>
      </c>
      <c r="Q3728">
        <v>11.18</v>
      </c>
      <c r="R3728">
        <v>11.21</v>
      </c>
      <c r="S3728">
        <v>22.71</v>
      </c>
      <c r="T3728">
        <v>2.47</v>
      </c>
      <c r="U3728" t="s">
        <v>200</v>
      </c>
    </row>
    <row r="3729" spans="1:21">
      <c r="A3729" t="str">
        <f>"603267"</f>
        <v>603267</v>
      </c>
      <c r="B3729" t="s">
        <v>7218</v>
      </c>
      <c r="C3729">
        <v>-0.44</v>
      </c>
      <c r="D3729">
        <v>159.3</v>
      </c>
      <c r="E3729">
        <v>-0.7</v>
      </c>
      <c r="F3729">
        <v>159.3</v>
      </c>
      <c r="G3729">
        <v>159.31</v>
      </c>
      <c r="H3729">
        <v>12310</v>
      </c>
      <c r="I3729">
        <v>58</v>
      </c>
      <c r="J3729">
        <v>0.04</v>
      </c>
      <c r="K3729">
        <v>0.78</v>
      </c>
      <c r="L3729">
        <v>19783.98</v>
      </c>
      <c r="M3729" t="s">
        <v>7219</v>
      </c>
      <c r="N3729" t="s">
        <v>69</v>
      </c>
      <c r="O3729">
        <v>160.86</v>
      </c>
      <c r="P3729">
        <v>163.26</v>
      </c>
      <c r="Q3729">
        <v>158.16</v>
      </c>
      <c r="R3729">
        <v>160</v>
      </c>
      <c r="S3729">
        <v>42.27</v>
      </c>
      <c r="T3729">
        <v>0.56</v>
      </c>
      <c r="U3729" t="s">
        <v>44</v>
      </c>
    </row>
    <row r="3730" spans="1:21">
      <c r="A3730" t="str">
        <f>"603268"</f>
        <v>603268</v>
      </c>
      <c r="B3730" t="s">
        <v>7220</v>
      </c>
      <c r="C3730">
        <v>4.29</v>
      </c>
      <c r="D3730">
        <v>17.02</v>
      </c>
      <c r="E3730">
        <v>0.7</v>
      </c>
      <c r="F3730">
        <v>17.01</v>
      </c>
      <c r="G3730">
        <v>17.02</v>
      </c>
      <c r="H3730">
        <v>12315</v>
      </c>
      <c r="I3730">
        <v>133</v>
      </c>
      <c r="J3730">
        <v>0.12</v>
      </c>
      <c r="K3730">
        <v>0.99</v>
      </c>
      <c r="L3730">
        <v>2079.83</v>
      </c>
      <c r="M3730" t="s">
        <v>1484</v>
      </c>
      <c r="N3730" t="s">
        <v>1413</v>
      </c>
      <c r="O3730">
        <v>16.2</v>
      </c>
      <c r="P3730">
        <v>17.2</v>
      </c>
      <c r="Q3730">
        <v>16.19</v>
      </c>
      <c r="R3730">
        <v>16.32</v>
      </c>
      <c r="S3730" t="s">
        <v>40</v>
      </c>
      <c r="T3730">
        <v>1.77</v>
      </c>
      <c r="U3730" t="s">
        <v>183</v>
      </c>
    </row>
    <row r="3731" spans="1:21">
      <c r="A3731" t="str">
        <f>"603269"</f>
        <v>603269</v>
      </c>
      <c r="B3731" t="s">
        <v>7221</v>
      </c>
      <c r="C3731">
        <v>1.13</v>
      </c>
      <c r="D3731">
        <v>12.57</v>
      </c>
      <c r="E3731">
        <v>0.14</v>
      </c>
      <c r="F3731">
        <v>12.56</v>
      </c>
      <c r="G3731">
        <v>12.57</v>
      </c>
      <c r="H3731">
        <v>13092</v>
      </c>
      <c r="I3731">
        <v>66</v>
      </c>
      <c r="J3731">
        <v>0.16</v>
      </c>
      <c r="K3731">
        <v>1.16</v>
      </c>
      <c r="L3731">
        <v>1636.98</v>
      </c>
      <c r="M3731" t="s">
        <v>7222</v>
      </c>
      <c r="N3731" t="s">
        <v>347</v>
      </c>
      <c r="O3731">
        <v>12.3</v>
      </c>
      <c r="P3731">
        <v>12.62</v>
      </c>
      <c r="Q3731">
        <v>12.17</v>
      </c>
      <c r="R3731">
        <v>12.43</v>
      </c>
      <c r="S3731">
        <v>30.93</v>
      </c>
      <c r="T3731">
        <v>1.07</v>
      </c>
      <c r="U3731" t="s">
        <v>102</v>
      </c>
    </row>
    <row r="3732" spans="1:21">
      <c r="A3732" t="str">
        <f>"603277"</f>
        <v>603277</v>
      </c>
      <c r="B3732" t="s">
        <v>7223</v>
      </c>
      <c r="C3732">
        <v>-3.51</v>
      </c>
      <c r="D3732">
        <v>19.5</v>
      </c>
      <c r="E3732">
        <v>-0.71</v>
      </c>
      <c r="F3732">
        <v>19.45</v>
      </c>
      <c r="G3732">
        <v>19.5</v>
      </c>
      <c r="H3732">
        <v>16526</v>
      </c>
      <c r="I3732">
        <v>165</v>
      </c>
      <c r="J3732">
        <v>0.31</v>
      </c>
      <c r="K3732">
        <v>0.4</v>
      </c>
      <c r="L3732">
        <v>3224.8</v>
      </c>
      <c r="M3732" t="s">
        <v>7224</v>
      </c>
      <c r="N3732" t="s">
        <v>324</v>
      </c>
      <c r="O3732">
        <v>20.15</v>
      </c>
      <c r="P3732">
        <v>20.15</v>
      </c>
      <c r="Q3732">
        <v>19.26</v>
      </c>
      <c r="R3732">
        <v>20.21</v>
      </c>
      <c r="S3732">
        <v>18.85</v>
      </c>
      <c r="T3732">
        <v>0.63</v>
      </c>
      <c r="U3732" t="s">
        <v>200</v>
      </c>
    </row>
    <row r="3733" spans="1:21">
      <c r="A3733" t="str">
        <f>"603278"</f>
        <v>603278</v>
      </c>
      <c r="B3733" t="s">
        <v>7225</v>
      </c>
      <c r="C3733">
        <v>4.28</v>
      </c>
      <c r="D3733">
        <v>10.47</v>
      </c>
      <c r="E3733">
        <v>0.43</v>
      </c>
      <c r="F3733">
        <v>10.47</v>
      </c>
      <c r="G3733">
        <v>10.48</v>
      </c>
      <c r="H3733">
        <v>86706</v>
      </c>
      <c r="I3733">
        <v>1345</v>
      </c>
      <c r="J3733">
        <v>0.29</v>
      </c>
      <c r="K3733">
        <v>3.02</v>
      </c>
      <c r="L3733">
        <v>8858.34</v>
      </c>
      <c r="M3733" t="s">
        <v>7226</v>
      </c>
      <c r="N3733" t="s">
        <v>724</v>
      </c>
      <c r="O3733">
        <v>9.95</v>
      </c>
      <c r="P3733">
        <v>10.61</v>
      </c>
      <c r="Q3733">
        <v>9.8</v>
      </c>
      <c r="R3733">
        <v>10.04</v>
      </c>
      <c r="S3733">
        <v>15.13</v>
      </c>
      <c r="T3733">
        <v>1.12</v>
      </c>
      <c r="U3733" t="s">
        <v>221</v>
      </c>
    </row>
    <row r="3734" spans="1:21">
      <c r="A3734" t="str">
        <f>"603279"</f>
        <v>603279</v>
      </c>
      <c r="B3734" t="s">
        <v>7227</v>
      </c>
      <c r="C3734">
        <v>-0.26</v>
      </c>
      <c r="D3734">
        <v>37.82</v>
      </c>
      <c r="E3734">
        <v>-0.1</v>
      </c>
      <c r="F3734">
        <v>37.82</v>
      </c>
      <c r="G3734">
        <v>37.94</v>
      </c>
      <c r="H3734">
        <v>34751</v>
      </c>
      <c r="I3734">
        <v>155</v>
      </c>
      <c r="J3734">
        <v>-0.1</v>
      </c>
      <c r="K3734">
        <v>1.77</v>
      </c>
      <c r="L3734">
        <v>13157.61</v>
      </c>
      <c r="M3734" t="s">
        <v>7228</v>
      </c>
      <c r="N3734" t="s">
        <v>33</v>
      </c>
      <c r="O3734">
        <v>37.9</v>
      </c>
      <c r="P3734">
        <v>38.58</v>
      </c>
      <c r="Q3734">
        <v>36.63</v>
      </c>
      <c r="R3734">
        <v>37.92</v>
      </c>
      <c r="S3734">
        <v>25.98</v>
      </c>
      <c r="T3734">
        <v>1.65</v>
      </c>
      <c r="U3734" t="s">
        <v>221</v>
      </c>
    </row>
    <row r="3735" spans="1:21">
      <c r="A3735" t="str">
        <f>"603283"</f>
        <v>603283</v>
      </c>
      <c r="B3735" t="s">
        <v>7229</v>
      </c>
      <c r="C3735">
        <v>-1.92</v>
      </c>
      <c r="D3735">
        <v>29.6</v>
      </c>
      <c r="E3735">
        <v>-0.58</v>
      </c>
      <c r="F3735">
        <v>29.58</v>
      </c>
      <c r="G3735">
        <v>29.6</v>
      </c>
      <c r="H3735">
        <v>53918</v>
      </c>
      <c r="I3735">
        <v>975</v>
      </c>
      <c r="J3735">
        <v>0.24</v>
      </c>
      <c r="K3735">
        <v>3.01</v>
      </c>
      <c r="L3735">
        <v>15998.54</v>
      </c>
      <c r="M3735" t="s">
        <v>7230</v>
      </c>
      <c r="N3735" t="s">
        <v>324</v>
      </c>
      <c r="O3735">
        <v>30</v>
      </c>
      <c r="P3735">
        <v>30.45</v>
      </c>
      <c r="Q3735">
        <v>29.1</v>
      </c>
      <c r="R3735">
        <v>30.18</v>
      </c>
      <c r="S3735">
        <v>25.9</v>
      </c>
      <c r="T3735">
        <v>0.77</v>
      </c>
      <c r="U3735" t="s">
        <v>102</v>
      </c>
    </row>
    <row r="3736" spans="1:21">
      <c r="A3736" t="str">
        <f>"603286"</f>
        <v>603286</v>
      </c>
      <c r="B3736" t="s">
        <v>7231</v>
      </c>
      <c r="C3736">
        <v>-1.92</v>
      </c>
      <c r="D3736">
        <v>20.95</v>
      </c>
      <c r="E3736">
        <v>-0.41</v>
      </c>
      <c r="F3736">
        <v>20.95</v>
      </c>
      <c r="G3736">
        <v>20.96</v>
      </c>
      <c r="H3736">
        <v>82558</v>
      </c>
      <c r="I3736">
        <v>1893</v>
      </c>
      <c r="J3736">
        <v>-0.23</v>
      </c>
      <c r="K3736">
        <v>9.37</v>
      </c>
      <c r="L3736">
        <v>17164.33</v>
      </c>
      <c r="M3736" t="s">
        <v>7232</v>
      </c>
      <c r="N3736" t="s">
        <v>91</v>
      </c>
      <c r="O3736">
        <v>20.8</v>
      </c>
      <c r="P3736">
        <v>21.15</v>
      </c>
      <c r="Q3736">
        <v>20.2</v>
      </c>
      <c r="R3736">
        <v>21.36</v>
      </c>
      <c r="S3736">
        <v>85.61</v>
      </c>
      <c r="T3736">
        <v>0.66</v>
      </c>
      <c r="U3736" t="s">
        <v>102</v>
      </c>
    </row>
    <row r="3737" spans="1:21">
      <c r="A3737" t="str">
        <f>"603288"</f>
        <v>603288</v>
      </c>
      <c r="B3737" t="s">
        <v>7233</v>
      </c>
      <c r="C3737">
        <v>0.77</v>
      </c>
      <c r="D3737">
        <v>119.9</v>
      </c>
      <c r="E3737">
        <v>0.92</v>
      </c>
      <c r="F3737">
        <v>119.7</v>
      </c>
      <c r="G3737">
        <v>119.9</v>
      </c>
      <c r="H3737">
        <v>32078</v>
      </c>
      <c r="I3737">
        <v>637</v>
      </c>
      <c r="J3737">
        <v>0.08</v>
      </c>
      <c r="K3737">
        <v>0.08</v>
      </c>
      <c r="L3737">
        <v>38314.74</v>
      </c>
      <c r="M3737" t="s">
        <v>7234</v>
      </c>
      <c r="N3737" t="s">
        <v>299</v>
      </c>
      <c r="O3737">
        <v>119.29</v>
      </c>
      <c r="P3737">
        <v>120.9</v>
      </c>
      <c r="Q3737">
        <v>118</v>
      </c>
      <c r="R3737">
        <v>118.98</v>
      </c>
      <c r="S3737">
        <v>80.47</v>
      </c>
      <c r="T3737">
        <v>0.65</v>
      </c>
      <c r="U3737" t="s">
        <v>183</v>
      </c>
    </row>
    <row r="3738" spans="1:21">
      <c r="A3738" t="str">
        <f>"603289"</f>
        <v>603289</v>
      </c>
      <c r="B3738" t="s">
        <v>7235</v>
      </c>
      <c r="C3738">
        <v>1.51</v>
      </c>
      <c r="D3738">
        <v>9.44</v>
      </c>
      <c r="E3738">
        <v>0.14</v>
      </c>
      <c r="F3738">
        <v>9.44</v>
      </c>
      <c r="G3738">
        <v>9.45</v>
      </c>
      <c r="H3738">
        <v>30327</v>
      </c>
      <c r="I3738">
        <v>79</v>
      </c>
      <c r="J3738">
        <v>0.11</v>
      </c>
      <c r="K3738">
        <v>1.14</v>
      </c>
      <c r="L3738">
        <v>2850.94</v>
      </c>
      <c r="M3738" t="s">
        <v>7236</v>
      </c>
      <c r="N3738" t="s">
        <v>324</v>
      </c>
      <c r="O3738">
        <v>9.26</v>
      </c>
      <c r="P3738">
        <v>9.55</v>
      </c>
      <c r="Q3738">
        <v>9.21</v>
      </c>
      <c r="R3738">
        <v>9.3</v>
      </c>
      <c r="S3738">
        <v>15.71</v>
      </c>
      <c r="T3738">
        <v>1.34</v>
      </c>
      <c r="U3738" t="s">
        <v>200</v>
      </c>
    </row>
    <row r="3739" spans="1:21">
      <c r="A3739" t="str">
        <f>"603290"</f>
        <v>603290</v>
      </c>
      <c r="B3739" t="s">
        <v>7237</v>
      </c>
      <c r="C3739">
        <v>0.45</v>
      </c>
      <c r="D3739">
        <v>453</v>
      </c>
      <c r="E3739">
        <v>2.01</v>
      </c>
      <c r="F3739">
        <v>452.98</v>
      </c>
      <c r="G3739">
        <v>453</v>
      </c>
      <c r="H3739">
        <v>18603</v>
      </c>
      <c r="I3739">
        <v>160</v>
      </c>
      <c r="J3739">
        <v>-0.1</v>
      </c>
      <c r="K3739">
        <v>2.36</v>
      </c>
      <c r="L3739">
        <v>84739.32</v>
      </c>
      <c r="M3739" t="s">
        <v>7238</v>
      </c>
      <c r="N3739" t="s">
        <v>1246</v>
      </c>
      <c r="O3739">
        <v>455.95</v>
      </c>
      <c r="P3739">
        <v>465.5</v>
      </c>
      <c r="Q3739">
        <v>448</v>
      </c>
      <c r="R3739">
        <v>450.99</v>
      </c>
      <c r="S3739">
        <v>217.47</v>
      </c>
      <c r="T3739">
        <v>0.97</v>
      </c>
      <c r="U3739" t="s">
        <v>200</v>
      </c>
    </row>
    <row r="3740" spans="1:21">
      <c r="A3740" t="str">
        <f>"603297"</f>
        <v>603297</v>
      </c>
      <c r="B3740" t="s">
        <v>7239</v>
      </c>
      <c r="C3740">
        <v>-1.9</v>
      </c>
      <c r="D3740">
        <v>87.2</v>
      </c>
      <c r="E3740">
        <v>-1.69</v>
      </c>
      <c r="F3740">
        <v>87.2</v>
      </c>
      <c r="G3740">
        <v>87.23</v>
      </c>
      <c r="H3740">
        <v>17660</v>
      </c>
      <c r="I3740">
        <v>111</v>
      </c>
      <c r="J3740">
        <v>0.35</v>
      </c>
      <c r="K3740">
        <v>1.61</v>
      </c>
      <c r="L3740">
        <v>15366.22</v>
      </c>
      <c r="M3740" t="s">
        <v>7240</v>
      </c>
      <c r="N3740" t="s">
        <v>1028</v>
      </c>
      <c r="O3740">
        <v>88.05</v>
      </c>
      <c r="P3740">
        <v>88.58</v>
      </c>
      <c r="Q3740">
        <v>85.51</v>
      </c>
      <c r="R3740">
        <v>88.89</v>
      </c>
      <c r="S3740">
        <v>33.17</v>
      </c>
      <c r="T3740">
        <v>0.72</v>
      </c>
      <c r="U3740" t="s">
        <v>200</v>
      </c>
    </row>
    <row r="3741" spans="1:21">
      <c r="A3741" t="str">
        <f>"603298"</f>
        <v>603298</v>
      </c>
      <c r="B3741" t="s">
        <v>7241</v>
      </c>
      <c r="C3741">
        <v>1.28</v>
      </c>
      <c r="D3741">
        <v>17.37</v>
      </c>
      <c r="E3741">
        <v>0.22</v>
      </c>
      <c r="F3741">
        <v>17.36</v>
      </c>
      <c r="G3741">
        <v>17.37</v>
      </c>
      <c r="H3741">
        <v>40515</v>
      </c>
      <c r="I3741">
        <v>536</v>
      </c>
      <c r="J3741">
        <v>0.12</v>
      </c>
      <c r="K3741">
        <v>0.47</v>
      </c>
      <c r="L3741">
        <v>7025.14</v>
      </c>
      <c r="M3741" t="s">
        <v>7242</v>
      </c>
      <c r="N3741" t="s">
        <v>324</v>
      </c>
      <c r="O3741">
        <v>17.32</v>
      </c>
      <c r="P3741">
        <v>17.58</v>
      </c>
      <c r="Q3741">
        <v>17.12</v>
      </c>
      <c r="R3741">
        <v>17.15</v>
      </c>
      <c r="S3741">
        <v>15.28</v>
      </c>
      <c r="T3741">
        <v>1.67</v>
      </c>
      <c r="U3741" t="s">
        <v>200</v>
      </c>
    </row>
    <row r="3742" spans="1:21">
      <c r="A3742" t="str">
        <f>"603299"</f>
        <v>603299</v>
      </c>
      <c r="B3742" t="s">
        <v>7243</v>
      </c>
      <c r="C3742">
        <v>1.1</v>
      </c>
      <c r="D3742">
        <v>9.17</v>
      </c>
      <c r="E3742">
        <v>0.1</v>
      </c>
      <c r="F3742">
        <v>9.16</v>
      </c>
      <c r="G3742">
        <v>9.17</v>
      </c>
      <c r="H3742">
        <v>188555</v>
      </c>
      <c r="I3742">
        <v>2853</v>
      </c>
      <c r="J3742">
        <v>0</v>
      </c>
      <c r="K3742">
        <v>3.37</v>
      </c>
      <c r="L3742">
        <v>17317.44</v>
      </c>
      <c r="M3742" t="s">
        <v>7244</v>
      </c>
      <c r="N3742" t="s">
        <v>299</v>
      </c>
      <c r="O3742">
        <v>9.01</v>
      </c>
      <c r="P3742">
        <v>9.28</v>
      </c>
      <c r="Q3742">
        <v>9.01</v>
      </c>
      <c r="R3742">
        <v>9.07</v>
      </c>
      <c r="S3742">
        <v>23.23</v>
      </c>
      <c r="T3742">
        <v>0.81</v>
      </c>
      <c r="U3742" t="s">
        <v>102</v>
      </c>
    </row>
    <row r="3743" spans="1:21">
      <c r="A3743" t="str">
        <f>"603300"</f>
        <v>603300</v>
      </c>
      <c r="B3743" t="s">
        <v>7245</v>
      </c>
      <c r="C3743">
        <v>-1.14</v>
      </c>
      <c r="D3743">
        <v>10.44</v>
      </c>
      <c r="E3743">
        <v>-0.12</v>
      </c>
      <c r="F3743">
        <v>10.43</v>
      </c>
      <c r="G3743">
        <v>10.44</v>
      </c>
      <c r="H3743">
        <v>132386</v>
      </c>
      <c r="I3743">
        <v>1138</v>
      </c>
      <c r="J3743">
        <v>0</v>
      </c>
      <c r="K3743">
        <v>1.49</v>
      </c>
      <c r="L3743">
        <v>13819.87</v>
      </c>
      <c r="M3743" t="s">
        <v>7246</v>
      </c>
      <c r="N3743" t="s">
        <v>121</v>
      </c>
      <c r="O3743">
        <v>10.5</v>
      </c>
      <c r="P3743">
        <v>10.67</v>
      </c>
      <c r="Q3743">
        <v>10.25</v>
      </c>
      <c r="R3743">
        <v>10.56</v>
      </c>
      <c r="S3743">
        <v>21.35</v>
      </c>
      <c r="T3743">
        <v>0.6</v>
      </c>
      <c r="U3743" t="s">
        <v>200</v>
      </c>
    </row>
    <row r="3744" spans="1:21">
      <c r="A3744" t="str">
        <f>"603301"</f>
        <v>603301</v>
      </c>
      <c r="B3744" t="s">
        <v>7247</v>
      </c>
      <c r="C3744">
        <v>-2.68</v>
      </c>
      <c r="D3744">
        <v>43.5</v>
      </c>
      <c r="E3744">
        <v>-1.2</v>
      </c>
      <c r="F3744">
        <v>43.5</v>
      </c>
      <c r="G3744">
        <v>43.52</v>
      </c>
      <c r="H3744">
        <v>38846</v>
      </c>
      <c r="I3744">
        <v>423</v>
      </c>
      <c r="J3744">
        <v>-0.08</v>
      </c>
      <c r="K3744">
        <v>1.71</v>
      </c>
      <c r="L3744">
        <v>16928.57</v>
      </c>
      <c r="M3744" t="s">
        <v>7248</v>
      </c>
      <c r="N3744" t="s">
        <v>186</v>
      </c>
      <c r="O3744">
        <v>44.6</v>
      </c>
      <c r="P3744">
        <v>45.1</v>
      </c>
      <c r="Q3744">
        <v>42.78</v>
      </c>
      <c r="R3744">
        <v>44.7</v>
      </c>
      <c r="S3744">
        <v>15.36</v>
      </c>
      <c r="T3744">
        <v>0.39</v>
      </c>
      <c r="U3744" t="s">
        <v>200</v>
      </c>
    </row>
    <row r="3745" spans="1:21">
      <c r="A3745" t="str">
        <f>"603303"</f>
        <v>603303</v>
      </c>
      <c r="B3745" t="s">
        <v>7249</v>
      </c>
      <c r="C3745">
        <v>-0.83</v>
      </c>
      <c r="D3745">
        <v>15.61</v>
      </c>
      <c r="E3745">
        <v>-0.13</v>
      </c>
      <c r="F3745">
        <v>15.61</v>
      </c>
      <c r="G3745">
        <v>15.62</v>
      </c>
      <c r="H3745">
        <v>12727</v>
      </c>
      <c r="I3745">
        <v>243</v>
      </c>
      <c r="J3745">
        <v>-0.25</v>
      </c>
      <c r="K3745">
        <v>0.27</v>
      </c>
      <c r="L3745">
        <v>1983.16</v>
      </c>
      <c r="M3745" t="s">
        <v>7250</v>
      </c>
      <c r="N3745" t="s">
        <v>60</v>
      </c>
      <c r="O3745">
        <v>15.74</v>
      </c>
      <c r="P3745">
        <v>15.94</v>
      </c>
      <c r="Q3745">
        <v>15.45</v>
      </c>
      <c r="R3745">
        <v>15.74</v>
      </c>
      <c r="S3745">
        <v>19.68</v>
      </c>
      <c r="T3745">
        <v>0.47</v>
      </c>
      <c r="U3745" t="s">
        <v>200</v>
      </c>
    </row>
    <row r="3746" spans="1:21">
      <c r="A3746" t="str">
        <f>"603305"</f>
        <v>603305</v>
      </c>
      <c r="B3746" t="s">
        <v>7251</v>
      </c>
      <c r="C3746">
        <v>4.57</v>
      </c>
      <c r="D3746">
        <v>46.9</v>
      </c>
      <c r="E3746">
        <v>2.05</v>
      </c>
      <c r="F3746">
        <v>46.89</v>
      </c>
      <c r="G3746">
        <v>46.9</v>
      </c>
      <c r="H3746">
        <v>51103</v>
      </c>
      <c r="I3746">
        <v>527</v>
      </c>
      <c r="J3746">
        <v>0.04</v>
      </c>
      <c r="K3746">
        <v>1.14</v>
      </c>
      <c r="L3746">
        <v>23689.35</v>
      </c>
      <c r="M3746" t="s">
        <v>7252</v>
      </c>
      <c r="N3746" t="s">
        <v>91</v>
      </c>
      <c r="O3746">
        <v>45.88</v>
      </c>
      <c r="P3746">
        <v>47.15</v>
      </c>
      <c r="Q3746">
        <v>45.12</v>
      </c>
      <c r="R3746">
        <v>44.85</v>
      </c>
      <c r="S3746">
        <v>47.39</v>
      </c>
      <c r="T3746">
        <v>0.89</v>
      </c>
      <c r="U3746" t="s">
        <v>200</v>
      </c>
    </row>
    <row r="3747" spans="1:21">
      <c r="A3747" t="str">
        <f>"603306"</f>
        <v>603306</v>
      </c>
      <c r="B3747" t="s">
        <v>7253</v>
      </c>
      <c r="C3747">
        <v>0.11</v>
      </c>
      <c r="D3747">
        <v>35.66</v>
      </c>
      <c r="E3747">
        <v>0.04</v>
      </c>
      <c r="F3747">
        <v>35.66</v>
      </c>
      <c r="G3747">
        <v>35.67</v>
      </c>
      <c r="H3747">
        <v>25444</v>
      </c>
      <c r="I3747">
        <v>277</v>
      </c>
      <c r="J3747">
        <v>0.08</v>
      </c>
      <c r="K3747">
        <v>0.83</v>
      </c>
      <c r="L3747">
        <v>9025.56</v>
      </c>
      <c r="M3747" t="s">
        <v>7254</v>
      </c>
      <c r="N3747" t="s">
        <v>91</v>
      </c>
      <c r="O3747">
        <v>35.88</v>
      </c>
      <c r="P3747">
        <v>36</v>
      </c>
      <c r="Q3747">
        <v>35.04</v>
      </c>
      <c r="R3747">
        <v>35.62</v>
      </c>
      <c r="S3747">
        <v>60.74</v>
      </c>
      <c r="T3747">
        <v>0.85</v>
      </c>
      <c r="U3747" t="s">
        <v>339</v>
      </c>
    </row>
    <row r="3748" spans="1:21">
      <c r="A3748" t="str">
        <f>"603308"</f>
        <v>603308</v>
      </c>
      <c r="B3748" t="s">
        <v>7255</v>
      </c>
      <c r="C3748">
        <v>-0.27</v>
      </c>
      <c r="D3748">
        <v>21.79</v>
      </c>
      <c r="E3748">
        <v>-0.06</v>
      </c>
      <c r="F3748">
        <v>21.77</v>
      </c>
      <c r="G3748">
        <v>21.79</v>
      </c>
      <c r="H3748">
        <v>57332</v>
      </c>
      <c r="I3748">
        <v>133</v>
      </c>
      <c r="J3748">
        <v>0.14</v>
      </c>
      <c r="K3748">
        <v>0.84</v>
      </c>
      <c r="L3748">
        <v>12505.05</v>
      </c>
      <c r="M3748" t="s">
        <v>7256</v>
      </c>
      <c r="N3748" t="s">
        <v>324</v>
      </c>
      <c r="O3748">
        <v>21.74</v>
      </c>
      <c r="P3748">
        <v>22.03</v>
      </c>
      <c r="Q3748">
        <v>21.51</v>
      </c>
      <c r="R3748">
        <v>21.85</v>
      </c>
      <c r="S3748">
        <v>74.09</v>
      </c>
      <c r="T3748">
        <v>0.82</v>
      </c>
      <c r="U3748" t="s">
        <v>193</v>
      </c>
    </row>
    <row r="3749" spans="1:21">
      <c r="A3749" t="str">
        <f>"603309"</f>
        <v>603309</v>
      </c>
      <c r="B3749" t="s">
        <v>7257</v>
      </c>
      <c r="C3749">
        <v>1.78</v>
      </c>
      <c r="D3749">
        <v>14.88</v>
      </c>
      <c r="E3749">
        <v>0.26</v>
      </c>
      <c r="F3749">
        <v>14.88</v>
      </c>
      <c r="G3749">
        <v>14.89</v>
      </c>
      <c r="H3749">
        <v>77485</v>
      </c>
      <c r="I3749">
        <v>301</v>
      </c>
      <c r="J3749">
        <v>0.27</v>
      </c>
      <c r="K3749">
        <v>2.98</v>
      </c>
      <c r="L3749">
        <v>11442.88</v>
      </c>
      <c r="M3749" t="s">
        <v>7258</v>
      </c>
      <c r="N3749" t="s">
        <v>186</v>
      </c>
      <c r="O3749">
        <v>14.8</v>
      </c>
      <c r="P3749">
        <v>15.01</v>
      </c>
      <c r="Q3749">
        <v>14.3</v>
      </c>
      <c r="R3749">
        <v>14.62</v>
      </c>
      <c r="S3749">
        <v>35.49</v>
      </c>
      <c r="T3749">
        <v>1.31</v>
      </c>
      <c r="U3749" t="s">
        <v>183</v>
      </c>
    </row>
    <row r="3750" spans="1:21">
      <c r="A3750" t="str">
        <f>"603311"</f>
        <v>603311</v>
      </c>
      <c r="B3750" t="s">
        <v>7259</v>
      </c>
      <c r="C3750">
        <v>1.31</v>
      </c>
      <c r="D3750">
        <v>10.09</v>
      </c>
      <c r="E3750">
        <v>0.13</v>
      </c>
      <c r="F3750">
        <v>10.09</v>
      </c>
      <c r="G3750">
        <v>10.12</v>
      </c>
      <c r="H3750">
        <v>4513</v>
      </c>
      <c r="I3750">
        <v>107</v>
      </c>
      <c r="J3750">
        <v>0</v>
      </c>
      <c r="K3750">
        <v>0.21</v>
      </c>
      <c r="L3750">
        <v>453.76</v>
      </c>
      <c r="M3750" t="s">
        <v>7260</v>
      </c>
      <c r="N3750" t="s">
        <v>60</v>
      </c>
      <c r="O3750">
        <v>9.97</v>
      </c>
      <c r="P3750">
        <v>10.12</v>
      </c>
      <c r="Q3750">
        <v>9.92</v>
      </c>
      <c r="R3750">
        <v>9.96</v>
      </c>
      <c r="S3750">
        <v>22.39</v>
      </c>
      <c r="T3750">
        <v>0.75</v>
      </c>
      <c r="U3750" t="s">
        <v>200</v>
      </c>
    </row>
    <row r="3751" spans="1:21">
      <c r="A3751" t="str">
        <f>"603313"</f>
        <v>603313</v>
      </c>
      <c r="B3751" t="s">
        <v>7261</v>
      </c>
      <c r="C3751">
        <v>3.69</v>
      </c>
      <c r="D3751">
        <v>18.25</v>
      </c>
      <c r="E3751">
        <v>0.65</v>
      </c>
      <c r="F3751">
        <v>18.24</v>
      </c>
      <c r="G3751">
        <v>18.25</v>
      </c>
      <c r="H3751">
        <v>94733</v>
      </c>
      <c r="I3751">
        <v>1419</v>
      </c>
      <c r="J3751">
        <v>0.27</v>
      </c>
      <c r="K3751">
        <v>1.95</v>
      </c>
      <c r="L3751">
        <v>16980.86</v>
      </c>
      <c r="M3751" t="s">
        <v>7262</v>
      </c>
      <c r="N3751" t="s">
        <v>910</v>
      </c>
      <c r="O3751">
        <v>17.57</v>
      </c>
      <c r="P3751">
        <v>18.39</v>
      </c>
      <c r="Q3751">
        <v>17.3</v>
      </c>
      <c r="R3751">
        <v>17.6</v>
      </c>
      <c r="S3751" t="s">
        <v>40</v>
      </c>
      <c r="T3751">
        <v>0.54</v>
      </c>
      <c r="U3751" t="s">
        <v>102</v>
      </c>
    </row>
    <row r="3752" spans="1:21">
      <c r="A3752" t="str">
        <f>"603315"</f>
        <v>603315</v>
      </c>
      <c r="B3752" t="s">
        <v>7263</v>
      </c>
      <c r="C3752">
        <v>0</v>
      </c>
      <c r="D3752">
        <v>27.27</v>
      </c>
      <c r="E3752">
        <v>0</v>
      </c>
      <c r="F3752">
        <v>27.26</v>
      </c>
      <c r="G3752">
        <v>27.27</v>
      </c>
      <c r="H3752">
        <v>17134</v>
      </c>
      <c r="I3752">
        <v>53</v>
      </c>
      <c r="J3752">
        <v>0.04</v>
      </c>
      <c r="K3752">
        <v>0.78</v>
      </c>
      <c r="L3752">
        <v>4675.25</v>
      </c>
      <c r="M3752" t="s">
        <v>7264</v>
      </c>
      <c r="N3752" t="s">
        <v>347</v>
      </c>
      <c r="O3752">
        <v>27.26</v>
      </c>
      <c r="P3752">
        <v>27.5</v>
      </c>
      <c r="Q3752">
        <v>27</v>
      </c>
      <c r="R3752">
        <v>27.27</v>
      </c>
      <c r="S3752">
        <v>124.69</v>
      </c>
      <c r="T3752">
        <v>0.88</v>
      </c>
      <c r="U3752" t="s">
        <v>141</v>
      </c>
    </row>
    <row r="3753" spans="1:21">
      <c r="A3753" t="str">
        <f>"603316"</f>
        <v>603316</v>
      </c>
      <c r="B3753" t="s">
        <v>7265</v>
      </c>
      <c r="C3753">
        <v>0.58</v>
      </c>
      <c r="D3753">
        <v>5.17</v>
      </c>
      <c r="E3753">
        <v>0.03</v>
      </c>
      <c r="F3753">
        <v>5.17</v>
      </c>
      <c r="G3753">
        <v>5.18</v>
      </c>
      <c r="H3753">
        <v>19714</v>
      </c>
      <c r="I3753">
        <v>20</v>
      </c>
      <c r="J3753">
        <v>-0.18</v>
      </c>
      <c r="K3753">
        <v>0.75</v>
      </c>
      <c r="L3753">
        <v>1019.54</v>
      </c>
      <c r="M3753" t="s">
        <v>7266</v>
      </c>
      <c r="N3753" t="s">
        <v>50</v>
      </c>
      <c r="O3753">
        <v>5.15</v>
      </c>
      <c r="P3753">
        <v>5.21</v>
      </c>
      <c r="Q3753">
        <v>5.11</v>
      </c>
      <c r="R3753">
        <v>5.14</v>
      </c>
      <c r="S3753">
        <v>50.66</v>
      </c>
      <c r="T3753">
        <v>0.79</v>
      </c>
      <c r="U3753" t="s">
        <v>200</v>
      </c>
    </row>
    <row r="3754" spans="1:21">
      <c r="A3754" t="str">
        <f>"603317"</f>
        <v>603317</v>
      </c>
      <c r="B3754" t="s">
        <v>7267</v>
      </c>
      <c r="C3754">
        <v>1.01</v>
      </c>
      <c r="D3754">
        <v>26.99</v>
      </c>
      <c r="E3754">
        <v>0.27</v>
      </c>
      <c r="F3754">
        <v>26.98</v>
      </c>
      <c r="G3754">
        <v>26.99</v>
      </c>
      <c r="H3754">
        <v>56160</v>
      </c>
      <c r="I3754">
        <v>1404</v>
      </c>
      <c r="J3754">
        <v>0.04</v>
      </c>
      <c r="K3754">
        <v>3.03</v>
      </c>
      <c r="L3754">
        <v>14976.19</v>
      </c>
      <c r="M3754" t="s">
        <v>7268</v>
      </c>
      <c r="N3754" t="s">
        <v>299</v>
      </c>
      <c r="O3754">
        <v>26.72</v>
      </c>
      <c r="P3754">
        <v>27</v>
      </c>
      <c r="Q3754">
        <v>26.28</v>
      </c>
      <c r="R3754">
        <v>26.72</v>
      </c>
      <c r="S3754">
        <v>190.45</v>
      </c>
      <c r="T3754">
        <v>0.67</v>
      </c>
      <c r="U3754" t="s">
        <v>196</v>
      </c>
    </row>
    <row r="3755" spans="1:21">
      <c r="A3755" t="str">
        <f>"603318"</f>
        <v>603318</v>
      </c>
      <c r="B3755" t="s">
        <v>7269</v>
      </c>
      <c r="C3755">
        <v>0.86</v>
      </c>
      <c r="D3755">
        <v>8.18</v>
      </c>
      <c r="E3755">
        <v>0.07</v>
      </c>
      <c r="F3755">
        <v>8.18</v>
      </c>
      <c r="G3755">
        <v>8.19</v>
      </c>
      <c r="H3755">
        <v>181274</v>
      </c>
      <c r="I3755">
        <v>2476</v>
      </c>
      <c r="J3755">
        <v>0.12</v>
      </c>
      <c r="K3755">
        <v>4.8</v>
      </c>
      <c r="L3755">
        <v>14672.43</v>
      </c>
      <c r="M3755" t="s">
        <v>4635</v>
      </c>
      <c r="N3755" t="s">
        <v>238</v>
      </c>
      <c r="O3755">
        <v>8.02</v>
      </c>
      <c r="P3755">
        <v>8.31</v>
      </c>
      <c r="Q3755">
        <v>7.86</v>
      </c>
      <c r="R3755">
        <v>8.11</v>
      </c>
      <c r="S3755">
        <v>66.8</v>
      </c>
      <c r="T3755">
        <v>1.5</v>
      </c>
      <c r="U3755" t="s">
        <v>141</v>
      </c>
    </row>
    <row r="3756" spans="1:21">
      <c r="A3756" t="str">
        <f>"603319"</f>
        <v>603319</v>
      </c>
      <c r="B3756" t="s">
        <v>7270</v>
      </c>
      <c r="C3756">
        <v>1.41</v>
      </c>
      <c r="D3756">
        <v>21.59</v>
      </c>
      <c r="E3756">
        <v>0.3</v>
      </c>
      <c r="F3756">
        <v>21.59</v>
      </c>
      <c r="G3756">
        <v>21.6</v>
      </c>
      <c r="H3756">
        <v>30632</v>
      </c>
      <c r="I3756">
        <v>309</v>
      </c>
      <c r="J3756">
        <v>0</v>
      </c>
      <c r="K3756">
        <v>1.91</v>
      </c>
      <c r="L3756">
        <v>6628.86</v>
      </c>
      <c r="M3756" t="s">
        <v>7271</v>
      </c>
      <c r="N3756" t="s">
        <v>91</v>
      </c>
      <c r="O3756">
        <v>21.35</v>
      </c>
      <c r="P3756">
        <v>22.03</v>
      </c>
      <c r="Q3756">
        <v>21.25</v>
      </c>
      <c r="R3756">
        <v>21.29</v>
      </c>
      <c r="S3756">
        <v>19.91</v>
      </c>
      <c r="T3756">
        <v>0.7</v>
      </c>
      <c r="U3756" t="s">
        <v>204</v>
      </c>
    </row>
    <row r="3757" spans="1:21">
      <c r="A3757" t="str">
        <f>"603320"</f>
        <v>603320</v>
      </c>
      <c r="B3757" t="s">
        <v>7272</v>
      </c>
      <c r="C3757">
        <v>1.69</v>
      </c>
      <c r="D3757">
        <v>13.24</v>
      </c>
      <c r="E3757">
        <v>0.22</v>
      </c>
      <c r="F3757">
        <v>13.24</v>
      </c>
      <c r="G3757">
        <v>13.25</v>
      </c>
      <c r="H3757">
        <v>17670</v>
      </c>
      <c r="I3757">
        <v>154</v>
      </c>
      <c r="J3757">
        <v>0</v>
      </c>
      <c r="K3757">
        <v>1.36</v>
      </c>
      <c r="L3757">
        <v>2323.39</v>
      </c>
      <c r="M3757" t="s">
        <v>3352</v>
      </c>
      <c r="N3757" t="s">
        <v>347</v>
      </c>
      <c r="O3757">
        <v>13</v>
      </c>
      <c r="P3757">
        <v>13.32</v>
      </c>
      <c r="Q3757">
        <v>12.73</v>
      </c>
      <c r="R3757">
        <v>13.02</v>
      </c>
      <c r="S3757">
        <v>20.32</v>
      </c>
      <c r="T3757">
        <v>0.69</v>
      </c>
      <c r="U3757" t="s">
        <v>200</v>
      </c>
    </row>
    <row r="3758" spans="1:21">
      <c r="A3758" t="str">
        <f>"603321"</f>
        <v>603321</v>
      </c>
      <c r="B3758" t="s">
        <v>7273</v>
      </c>
      <c r="C3758">
        <v>0.15</v>
      </c>
      <c r="D3758">
        <v>6.75</v>
      </c>
      <c r="E3758">
        <v>0.01</v>
      </c>
      <c r="F3758">
        <v>6.75</v>
      </c>
      <c r="G3758">
        <v>6.76</v>
      </c>
      <c r="H3758">
        <v>8075</v>
      </c>
      <c r="I3758">
        <v>84</v>
      </c>
      <c r="J3758">
        <v>-0.29</v>
      </c>
      <c r="K3758">
        <v>0.26</v>
      </c>
      <c r="L3758">
        <v>545.24</v>
      </c>
      <c r="M3758" t="s">
        <v>7274</v>
      </c>
      <c r="N3758" t="s">
        <v>43</v>
      </c>
      <c r="O3758">
        <v>6.7</v>
      </c>
      <c r="P3758">
        <v>6.78</v>
      </c>
      <c r="Q3758">
        <v>6.7</v>
      </c>
      <c r="R3758">
        <v>6.74</v>
      </c>
      <c r="S3758">
        <v>45.51</v>
      </c>
      <c r="T3758">
        <v>0.93</v>
      </c>
      <c r="U3758" t="s">
        <v>200</v>
      </c>
    </row>
    <row r="3759" spans="1:21">
      <c r="A3759" t="str">
        <f>"603322"</f>
        <v>603322</v>
      </c>
      <c r="B3759" t="s">
        <v>7275</v>
      </c>
      <c r="C3759">
        <v>2.45</v>
      </c>
      <c r="D3759">
        <v>12.55</v>
      </c>
      <c r="E3759">
        <v>0.3</v>
      </c>
      <c r="F3759">
        <v>12.55</v>
      </c>
      <c r="G3759">
        <v>12.57</v>
      </c>
      <c r="H3759">
        <v>14460</v>
      </c>
      <c r="I3759">
        <v>571</v>
      </c>
      <c r="J3759">
        <v>0</v>
      </c>
      <c r="K3759">
        <v>0.92</v>
      </c>
      <c r="L3759">
        <v>1805.55</v>
      </c>
      <c r="M3759" t="s">
        <v>3092</v>
      </c>
      <c r="N3759" t="s">
        <v>153</v>
      </c>
      <c r="O3759">
        <v>12.26</v>
      </c>
      <c r="P3759">
        <v>12.64</v>
      </c>
      <c r="Q3759">
        <v>12.24</v>
      </c>
      <c r="R3759">
        <v>12.25</v>
      </c>
      <c r="S3759">
        <v>769.64</v>
      </c>
      <c r="T3759">
        <v>0.97</v>
      </c>
      <c r="U3759" t="s">
        <v>183</v>
      </c>
    </row>
    <row r="3760" spans="1:21">
      <c r="A3760" t="str">
        <f>"603323"</f>
        <v>603323</v>
      </c>
      <c r="B3760" t="s">
        <v>7276</v>
      </c>
      <c r="C3760">
        <v>1.67</v>
      </c>
      <c r="D3760">
        <v>4.86</v>
      </c>
      <c r="E3760">
        <v>0.08</v>
      </c>
      <c r="F3760">
        <v>4.85</v>
      </c>
      <c r="G3760">
        <v>4.86</v>
      </c>
      <c r="H3760">
        <v>123033</v>
      </c>
      <c r="I3760">
        <v>1601</v>
      </c>
      <c r="J3760">
        <v>-0.2</v>
      </c>
      <c r="K3760">
        <v>0.85</v>
      </c>
      <c r="L3760">
        <v>5943.22</v>
      </c>
      <c r="M3760" t="s">
        <v>4018</v>
      </c>
      <c r="N3760" t="s">
        <v>23</v>
      </c>
      <c r="O3760">
        <v>4.78</v>
      </c>
      <c r="P3760">
        <v>4.9</v>
      </c>
      <c r="Q3760">
        <v>4.77</v>
      </c>
      <c r="R3760">
        <v>4.78</v>
      </c>
      <c r="S3760">
        <v>6.33</v>
      </c>
      <c r="T3760">
        <v>0.97</v>
      </c>
      <c r="U3760" t="s">
        <v>102</v>
      </c>
    </row>
    <row r="3761" spans="1:21">
      <c r="A3761" t="str">
        <f>"603324"</f>
        <v>603324</v>
      </c>
      <c r="B3761" t="s">
        <v>7277</v>
      </c>
      <c r="C3761">
        <v>1.66</v>
      </c>
      <c r="D3761">
        <v>65.37</v>
      </c>
      <c r="E3761">
        <v>1.07</v>
      </c>
      <c r="F3761">
        <v>65.35</v>
      </c>
      <c r="G3761">
        <v>65.37</v>
      </c>
      <c r="H3761">
        <v>18024</v>
      </c>
      <c r="I3761">
        <v>385</v>
      </c>
      <c r="J3761">
        <v>0.8</v>
      </c>
      <c r="K3761">
        <v>5.82</v>
      </c>
      <c r="L3761">
        <v>11734.34</v>
      </c>
      <c r="M3761" t="s">
        <v>7278</v>
      </c>
      <c r="N3761" t="s">
        <v>33</v>
      </c>
      <c r="O3761">
        <v>64.8</v>
      </c>
      <c r="P3761">
        <v>65.66</v>
      </c>
      <c r="Q3761">
        <v>64.28</v>
      </c>
      <c r="R3761">
        <v>64.3</v>
      </c>
      <c r="S3761">
        <v>69.25</v>
      </c>
      <c r="T3761">
        <v>0.79</v>
      </c>
      <c r="U3761" t="s">
        <v>848</v>
      </c>
    </row>
    <row r="3762" spans="1:21">
      <c r="A3762" t="str">
        <f>"603326"</f>
        <v>603326</v>
      </c>
      <c r="B3762" t="s">
        <v>7279</v>
      </c>
      <c r="C3762">
        <v>0.21</v>
      </c>
      <c r="D3762">
        <v>9.5</v>
      </c>
      <c r="E3762">
        <v>0.02</v>
      </c>
      <c r="F3762">
        <v>9.5</v>
      </c>
      <c r="G3762">
        <v>9.51</v>
      </c>
      <c r="H3762">
        <v>4783</v>
      </c>
      <c r="I3762">
        <v>123</v>
      </c>
      <c r="J3762">
        <v>-0.1</v>
      </c>
      <c r="K3762">
        <v>0.15</v>
      </c>
      <c r="L3762">
        <v>452.75</v>
      </c>
      <c r="M3762" t="s">
        <v>7280</v>
      </c>
      <c r="N3762" t="s">
        <v>910</v>
      </c>
      <c r="O3762">
        <v>9.4</v>
      </c>
      <c r="P3762">
        <v>9.7</v>
      </c>
      <c r="Q3762">
        <v>9.4</v>
      </c>
      <c r="R3762">
        <v>9.48</v>
      </c>
      <c r="S3762">
        <v>22.52</v>
      </c>
      <c r="T3762">
        <v>0.36</v>
      </c>
      <c r="U3762" t="s">
        <v>102</v>
      </c>
    </row>
    <row r="3763" spans="1:21">
      <c r="A3763" t="str">
        <f>"603327"</f>
        <v>603327</v>
      </c>
      <c r="B3763" t="s">
        <v>7281</v>
      </c>
      <c r="C3763">
        <v>9.99</v>
      </c>
      <c r="D3763">
        <v>16.18</v>
      </c>
      <c r="E3763">
        <v>1.47</v>
      </c>
      <c r="F3763">
        <v>16.18</v>
      </c>
      <c r="G3763" t="s">
        <v>40</v>
      </c>
      <c r="H3763">
        <v>42893</v>
      </c>
      <c r="I3763">
        <v>49</v>
      </c>
      <c r="J3763">
        <v>0</v>
      </c>
      <c r="K3763">
        <v>4.19</v>
      </c>
      <c r="L3763">
        <v>6840.13</v>
      </c>
      <c r="M3763" t="s">
        <v>7282</v>
      </c>
      <c r="N3763" t="s">
        <v>69</v>
      </c>
      <c r="O3763">
        <v>14.65</v>
      </c>
      <c r="P3763">
        <v>16.18</v>
      </c>
      <c r="Q3763">
        <v>14.65</v>
      </c>
      <c r="R3763">
        <v>14.71</v>
      </c>
      <c r="S3763">
        <v>22.06</v>
      </c>
      <c r="T3763">
        <v>3.14</v>
      </c>
      <c r="U3763" t="s">
        <v>196</v>
      </c>
    </row>
    <row r="3764" spans="1:21">
      <c r="A3764" t="str">
        <f>"603328"</f>
        <v>603328</v>
      </c>
      <c r="B3764" t="s">
        <v>7283</v>
      </c>
      <c r="C3764">
        <v>0.95</v>
      </c>
      <c r="D3764">
        <v>7.47</v>
      </c>
      <c r="E3764">
        <v>0.07</v>
      </c>
      <c r="F3764">
        <v>7.46</v>
      </c>
      <c r="G3764">
        <v>7.47</v>
      </c>
      <c r="H3764">
        <v>52296</v>
      </c>
      <c r="I3764">
        <v>569</v>
      </c>
      <c r="J3764">
        <v>0.13</v>
      </c>
      <c r="K3764">
        <v>0.52</v>
      </c>
      <c r="L3764">
        <v>3909.87</v>
      </c>
      <c r="M3764" t="s">
        <v>7284</v>
      </c>
      <c r="N3764" t="s">
        <v>69</v>
      </c>
      <c r="O3764">
        <v>7.37</v>
      </c>
      <c r="P3764">
        <v>7.54</v>
      </c>
      <c r="Q3764">
        <v>7.37</v>
      </c>
      <c r="R3764">
        <v>7.4</v>
      </c>
      <c r="S3764">
        <v>47.54</v>
      </c>
      <c r="T3764">
        <v>0.72</v>
      </c>
      <c r="U3764" t="s">
        <v>183</v>
      </c>
    </row>
    <row r="3765" spans="1:21">
      <c r="A3765" t="str">
        <f>"603329"</f>
        <v>603329</v>
      </c>
      <c r="B3765" t="s">
        <v>7285</v>
      </c>
      <c r="C3765">
        <v>3.39</v>
      </c>
      <c r="D3765">
        <v>13.74</v>
      </c>
      <c r="E3765">
        <v>0.45</v>
      </c>
      <c r="F3765">
        <v>13.73</v>
      </c>
      <c r="G3765">
        <v>13.74</v>
      </c>
      <c r="H3765">
        <v>63149</v>
      </c>
      <c r="I3765">
        <v>852</v>
      </c>
      <c r="J3765">
        <v>0</v>
      </c>
      <c r="K3765">
        <v>4.08</v>
      </c>
      <c r="L3765">
        <v>8703.18</v>
      </c>
      <c r="M3765" t="s">
        <v>2374</v>
      </c>
      <c r="N3765" t="s">
        <v>1049</v>
      </c>
      <c r="O3765">
        <v>13.25</v>
      </c>
      <c r="P3765">
        <v>14.04</v>
      </c>
      <c r="Q3765">
        <v>13.21</v>
      </c>
      <c r="R3765">
        <v>13.29</v>
      </c>
      <c r="S3765">
        <v>15.33</v>
      </c>
      <c r="T3765">
        <v>2.48</v>
      </c>
      <c r="U3765" t="s">
        <v>848</v>
      </c>
    </row>
    <row r="3766" spans="1:21">
      <c r="A3766" t="str">
        <f>"603330"</f>
        <v>603330</v>
      </c>
      <c r="B3766" t="s">
        <v>7286</v>
      </c>
      <c r="C3766">
        <v>6.03</v>
      </c>
      <c r="D3766">
        <v>19.69</v>
      </c>
      <c r="E3766">
        <v>1.12</v>
      </c>
      <c r="F3766">
        <v>19.68</v>
      </c>
      <c r="G3766">
        <v>19.69</v>
      </c>
      <c r="H3766">
        <v>102619</v>
      </c>
      <c r="I3766">
        <v>1613</v>
      </c>
      <c r="J3766">
        <v>-0.04</v>
      </c>
      <c r="K3766">
        <v>4.32</v>
      </c>
      <c r="L3766">
        <v>19617.53</v>
      </c>
      <c r="M3766" t="s">
        <v>7287</v>
      </c>
      <c r="N3766" t="s">
        <v>839</v>
      </c>
      <c r="O3766">
        <v>18.59</v>
      </c>
      <c r="P3766">
        <v>20</v>
      </c>
      <c r="Q3766">
        <v>18.27</v>
      </c>
      <c r="R3766">
        <v>18.57</v>
      </c>
      <c r="S3766">
        <v>40.85</v>
      </c>
      <c r="T3766">
        <v>1.85</v>
      </c>
      <c r="U3766" t="s">
        <v>848</v>
      </c>
    </row>
    <row r="3767" spans="1:21">
      <c r="A3767" t="str">
        <f>"603331"</f>
        <v>603331</v>
      </c>
      <c r="B3767" t="s">
        <v>7288</v>
      </c>
      <c r="C3767">
        <v>0.09</v>
      </c>
      <c r="D3767">
        <v>11.58</v>
      </c>
      <c r="E3767">
        <v>0.01</v>
      </c>
      <c r="F3767">
        <v>11.57</v>
      </c>
      <c r="G3767">
        <v>11.58</v>
      </c>
      <c r="H3767">
        <v>10425</v>
      </c>
      <c r="I3767">
        <v>172</v>
      </c>
      <c r="J3767">
        <v>0</v>
      </c>
      <c r="K3767">
        <v>0.59</v>
      </c>
      <c r="L3767">
        <v>1201.73</v>
      </c>
      <c r="M3767" t="s">
        <v>2636</v>
      </c>
      <c r="N3767" t="s">
        <v>324</v>
      </c>
      <c r="O3767">
        <v>11.58</v>
      </c>
      <c r="P3767">
        <v>11.7</v>
      </c>
      <c r="Q3767">
        <v>11.36</v>
      </c>
      <c r="R3767">
        <v>11.57</v>
      </c>
      <c r="S3767">
        <v>21.54</v>
      </c>
      <c r="T3767">
        <v>1.17</v>
      </c>
      <c r="U3767" t="s">
        <v>200</v>
      </c>
    </row>
    <row r="3768" spans="1:21">
      <c r="A3768" t="str">
        <f>"603332"</f>
        <v>603332</v>
      </c>
      <c r="B3768" t="s">
        <v>7289</v>
      </c>
      <c r="C3768">
        <v>0.7</v>
      </c>
      <c r="D3768">
        <v>15.81</v>
      </c>
      <c r="E3768">
        <v>0.11</v>
      </c>
      <c r="F3768">
        <v>15.81</v>
      </c>
      <c r="G3768">
        <v>15.86</v>
      </c>
      <c r="H3768">
        <v>8292</v>
      </c>
      <c r="I3768">
        <v>255</v>
      </c>
      <c r="J3768">
        <v>-0.12</v>
      </c>
      <c r="K3768">
        <v>2.79</v>
      </c>
      <c r="L3768">
        <v>1307.82</v>
      </c>
      <c r="M3768" t="s">
        <v>7290</v>
      </c>
      <c r="N3768" t="s">
        <v>216</v>
      </c>
      <c r="O3768">
        <v>15.69</v>
      </c>
      <c r="P3768">
        <v>15.95</v>
      </c>
      <c r="Q3768">
        <v>15.55</v>
      </c>
      <c r="R3768">
        <v>15.7</v>
      </c>
      <c r="S3768">
        <v>43.81</v>
      </c>
      <c r="T3768">
        <v>0.82</v>
      </c>
      <c r="U3768" t="s">
        <v>102</v>
      </c>
    </row>
    <row r="3769" spans="1:21">
      <c r="A3769" t="str">
        <f>"603333"</f>
        <v>603333</v>
      </c>
      <c r="B3769" t="s">
        <v>7291</v>
      </c>
      <c r="C3769">
        <v>-0.42</v>
      </c>
      <c r="D3769">
        <v>7.14</v>
      </c>
      <c r="E3769">
        <v>-0.03</v>
      </c>
      <c r="F3769">
        <v>7.14</v>
      </c>
      <c r="G3769">
        <v>7.15</v>
      </c>
      <c r="H3769">
        <v>100363</v>
      </c>
      <c r="I3769">
        <v>1496</v>
      </c>
      <c r="J3769">
        <v>0.42</v>
      </c>
      <c r="K3769">
        <v>1.94</v>
      </c>
      <c r="L3769">
        <v>7138.5</v>
      </c>
      <c r="M3769" t="s">
        <v>3686</v>
      </c>
      <c r="N3769" t="s">
        <v>47</v>
      </c>
      <c r="O3769">
        <v>7.28</v>
      </c>
      <c r="P3769">
        <v>7.33</v>
      </c>
      <c r="Q3769">
        <v>7.01</v>
      </c>
      <c r="R3769">
        <v>7.17</v>
      </c>
      <c r="S3769">
        <v>170.98</v>
      </c>
      <c r="T3769">
        <v>1</v>
      </c>
      <c r="U3769" t="s">
        <v>196</v>
      </c>
    </row>
    <row r="3770" spans="1:21">
      <c r="A3770" t="str">
        <f>"603335"</f>
        <v>603335</v>
      </c>
      <c r="B3770" t="s">
        <v>7292</v>
      </c>
      <c r="C3770">
        <v>2.58</v>
      </c>
      <c r="D3770">
        <v>5.16</v>
      </c>
      <c r="E3770">
        <v>0.13</v>
      </c>
      <c r="F3770">
        <v>5.15</v>
      </c>
      <c r="G3770">
        <v>5.16</v>
      </c>
      <c r="H3770">
        <v>89686</v>
      </c>
      <c r="I3770">
        <v>1817</v>
      </c>
      <c r="J3770">
        <v>0</v>
      </c>
      <c r="K3770">
        <v>2.09</v>
      </c>
      <c r="L3770">
        <v>4593.68</v>
      </c>
      <c r="M3770" t="s">
        <v>7293</v>
      </c>
      <c r="N3770" t="s">
        <v>91</v>
      </c>
      <c r="O3770">
        <v>5.03</v>
      </c>
      <c r="P3770">
        <v>5.21</v>
      </c>
      <c r="Q3770">
        <v>5.01</v>
      </c>
      <c r="R3770">
        <v>5.03</v>
      </c>
      <c r="S3770">
        <v>38.42</v>
      </c>
      <c r="T3770">
        <v>0.76</v>
      </c>
      <c r="U3770" t="s">
        <v>183</v>
      </c>
    </row>
    <row r="3771" spans="1:21">
      <c r="A3771" t="str">
        <f>"603336"</f>
        <v>603336</v>
      </c>
      <c r="B3771" t="s">
        <v>7294</v>
      </c>
      <c r="C3771">
        <v>2.84</v>
      </c>
      <c r="D3771">
        <v>7.97</v>
      </c>
      <c r="E3771">
        <v>0.22</v>
      </c>
      <c r="F3771">
        <v>7.96</v>
      </c>
      <c r="G3771">
        <v>7.97</v>
      </c>
      <c r="H3771">
        <v>150177</v>
      </c>
      <c r="I3771">
        <v>4295</v>
      </c>
      <c r="J3771">
        <v>0.38</v>
      </c>
      <c r="K3771">
        <v>3.42</v>
      </c>
      <c r="L3771">
        <v>11821.64</v>
      </c>
      <c r="M3771" t="s">
        <v>7295</v>
      </c>
      <c r="N3771" t="s">
        <v>147</v>
      </c>
      <c r="O3771">
        <v>7.78</v>
      </c>
      <c r="P3771">
        <v>7.97</v>
      </c>
      <c r="Q3771">
        <v>7.72</v>
      </c>
      <c r="R3771">
        <v>7.75</v>
      </c>
      <c r="S3771">
        <v>74.44</v>
      </c>
      <c r="T3771">
        <v>0.82</v>
      </c>
      <c r="U3771" t="s">
        <v>183</v>
      </c>
    </row>
    <row r="3772" spans="1:21">
      <c r="A3772" t="str">
        <f>"603337"</f>
        <v>603337</v>
      </c>
      <c r="B3772" t="s">
        <v>7296</v>
      </c>
      <c r="C3772">
        <v>2.75</v>
      </c>
      <c r="D3772">
        <v>27.25</v>
      </c>
      <c r="E3772">
        <v>0.73</v>
      </c>
      <c r="F3772">
        <v>27.24</v>
      </c>
      <c r="G3772">
        <v>27.25</v>
      </c>
      <c r="H3772">
        <v>43112</v>
      </c>
      <c r="I3772">
        <v>339</v>
      </c>
      <c r="J3772">
        <v>0</v>
      </c>
      <c r="K3772">
        <v>0.97</v>
      </c>
      <c r="L3772">
        <v>11670.85</v>
      </c>
      <c r="M3772" t="s">
        <v>7297</v>
      </c>
      <c r="N3772" t="s">
        <v>1135</v>
      </c>
      <c r="O3772">
        <v>26.88</v>
      </c>
      <c r="P3772">
        <v>27.74</v>
      </c>
      <c r="Q3772">
        <v>26.08</v>
      </c>
      <c r="R3772">
        <v>26.52</v>
      </c>
      <c r="S3772">
        <v>27.08</v>
      </c>
      <c r="T3772">
        <v>1.03</v>
      </c>
      <c r="U3772" t="s">
        <v>200</v>
      </c>
    </row>
    <row r="3773" spans="1:21">
      <c r="A3773" t="str">
        <f>"603338"</f>
        <v>603338</v>
      </c>
      <c r="B3773" t="s">
        <v>7298</v>
      </c>
      <c r="C3773">
        <v>-3.19</v>
      </c>
      <c r="D3773">
        <v>77.45</v>
      </c>
      <c r="E3773">
        <v>-2.55</v>
      </c>
      <c r="F3773">
        <v>77.45</v>
      </c>
      <c r="G3773">
        <v>77.47</v>
      </c>
      <c r="H3773">
        <v>97775</v>
      </c>
      <c r="I3773">
        <v>1384</v>
      </c>
      <c r="J3773">
        <v>-0.07</v>
      </c>
      <c r="K3773">
        <v>2.01</v>
      </c>
      <c r="L3773">
        <v>77629.75</v>
      </c>
      <c r="M3773" t="s">
        <v>7299</v>
      </c>
      <c r="N3773" t="s">
        <v>324</v>
      </c>
      <c r="O3773">
        <v>82.81</v>
      </c>
      <c r="P3773">
        <v>82.81</v>
      </c>
      <c r="Q3773">
        <v>77.23</v>
      </c>
      <c r="R3773">
        <v>80</v>
      </c>
      <c r="S3773">
        <v>38.64</v>
      </c>
      <c r="T3773">
        <v>2</v>
      </c>
      <c r="U3773" t="s">
        <v>200</v>
      </c>
    </row>
    <row r="3774" spans="1:21">
      <c r="A3774" t="str">
        <f>"603339"</f>
        <v>603339</v>
      </c>
      <c r="B3774" t="s">
        <v>7300</v>
      </c>
      <c r="C3774">
        <v>1.6</v>
      </c>
      <c r="D3774">
        <v>12.03</v>
      </c>
      <c r="E3774">
        <v>0.19</v>
      </c>
      <c r="F3774">
        <v>12.03</v>
      </c>
      <c r="G3774">
        <v>12.04</v>
      </c>
      <c r="H3774">
        <v>28521</v>
      </c>
      <c r="I3774">
        <v>831</v>
      </c>
      <c r="J3774">
        <v>0.08</v>
      </c>
      <c r="K3774">
        <v>0.92</v>
      </c>
      <c r="L3774">
        <v>3412.18</v>
      </c>
      <c r="M3774" t="s">
        <v>4748</v>
      </c>
      <c r="N3774" t="s">
        <v>324</v>
      </c>
      <c r="O3774">
        <v>11.94</v>
      </c>
      <c r="P3774">
        <v>12.08</v>
      </c>
      <c r="Q3774">
        <v>11.76</v>
      </c>
      <c r="R3774">
        <v>11.84</v>
      </c>
      <c r="S3774">
        <v>21.34</v>
      </c>
      <c r="T3774">
        <v>0.88</v>
      </c>
      <c r="U3774" t="s">
        <v>102</v>
      </c>
    </row>
    <row r="3775" spans="1:21">
      <c r="A3775" t="str">
        <f>"603345"</f>
        <v>603345</v>
      </c>
      <c r="B3775" t="s">
        <v>7301</v>
      </c>
      <c r="C3775">
        <v>-1.51</v>
      </c>
      <c r="D3775">
        <v>178.26</v>
      </c>
      <c r="E3775">
        <v>-2.73</v>
      </c>
      <c r="F3775">
        <v>178.26</v>
      </c>
      <c r="G3775">
        <v>178.28</v>
      </c>
      <c r="H3775">
        <v>13772</v>
      </c>
      <c r="I3775">
        <v>114</v>
      </c>
      <c r="J3775">
        <v>0.03</v>
      </c>
      <c r="K3775">
        <v>0.57</v>
      </c>
      <c r="L3775">
        <v>24430.49</v>
      </c>
      <c r="M3775" t="s">
        <v>7302</v>
      </c>
      <c r="N3775" t="s">
        <v>299</v>
      </c>
      <c r="O3775">
        <v>180.99</v>
      </c>
      <c r="P3775">
        <v>182.06</v>
      </c>
      <c r="Q3775">
        <v>175.33</v>
      </c>
      <c r="R3775">
        <v>180.99</v>
      </c>
      <c r="S3775">
        <v>66.18</v>
      </c>
      <c r="T3775">
        <v>0.75</v>
      </c>
      <c r="U3775" t="s">
        <v>339</v>
      </c>
    </row>
    <row r="3776" spans="1:21">
      <c r="A3776" t="str">
        <f>"603348"</f>
        <v>603348</v>
      </c>
      <c r="B3776" t="s">
        <v>7303</v>
      </c>
      <c r="C3776">
        <v>5.25</v>
      </c>
      <c r="D3776">
        <v>45.89</v>
      </c>
      <c r="E3776">
        <v>2.29</v>
      </c>
      <c r="F3776">
        <v>45.84</v>
      </c>
      <c r="G3776">
        <v>45.89</v>
      </c>
      <c r="H3776">
        <v>51535</v>
      </c>
      <c r="I3776">
        <v>254</v>
      </c>
      <c r="J3776">
        <v>0.04</v>
      </c>
      <c r="K3776">
        <v>2</v>
      </c>
      <c r="L3776">
        <v>23134.81</v>
      </c>
      <c r="M3776" t="s">
        <v>7304</v>
      </c>
      <c r="N3776" t="s">
        <v>91</v>
      </c>
      <c r="O3776">
        <v>43.27</v>
      </c>
      <c r="P3776">
        <v>46.3</v>
      </c>
      <c r="Q3776">
        <v>43.27</v>
      </c>
      <c r="R3776">
        <v>43.6</v>
      </c>
      <c r="S3776">
        <v>131.1</v>
      </c>
      <c r="T3776">
        <v>0.88</v>
      </c>
      <c r="U3776" t="s">
        <v>183</v>
      </c>
    </row>
    <row r="3777" spans="1:21">
      <c r="A3777" t="str">
        <f>"603351"</f>
        <v>603351</v>
      </c>
      <c r="B3777" t="s">
        <v>7305</v>
      </c>
      <c r="C3777">
        <v>-1.81</v>
      </c>
      <c r="D3777">
        <v>25</v>
      </c>
      <c r="E3777">
        <v>-0.46</v>
      </c>
      <c r="F3777">
        <v>25</v>
      </c>
      <c r="G3777">
        <v>25.01</v>
      </c>
      <c r="H3777">
        <v>28781</v>
      </c>
      <c r="I3777">
        <v>493</v>
      </c>
      <c r="J3777">
        <v>0</v>
      </c>
      <c r="K3777">
        <v>4.82</v>
      </c>
      <c r="L3777">
        <v>7168.84</v>
      </c>
      <c r="M3777" t="s">
        <v>925</v>
      </c>
      <c r="N3777" t="s">
        <v>192</v>
      </c>
      <c r="O3777">
        <v>25.53</v>
      </c>
      <c r="P3777">
        <v>25.85</v>
      </c>
      <c r="Q3777">
        <v>24.71</v>
      </c>
      <c r="R3777">
        <v>25.46</v>
      </c>
      <c r="S3777">
        <v>30.3</v>
      </c>
      <c r="T3777">
        <v>0.64</v>
      </c>
      <c r="U3777" t="s">
        <v>102</v>
      </c>
    </row>
    <row r="3778" spans="1:21">
      <c r="A3778" t="str">
        <f>"603353"</f>
        <v>603353</v>
      </c>
      <c r="B3778" t="s">
        <v>7306</v>
      </c>
      <c r="C3778">
        <v>0.9</v>
      </c>
      <c r="D3778">
        <v>22.43</v>
      </c>
      <c r="E3778">
        <v>0.2</v>
      </c>
      <c r="F3778">
        <v>22.43</v>
      </c>
      <c r="G3778">
        <v>22.44</v>
      </c>
      <c r="H3778">
        <v>7467</v>
      </c>
      <c r="I3778">
        <v>64</v>
      </c>
      <c r="J3778">
        <v>0.09</v>
      </c>
      <c r="K3778">
        <v>1.21</v>
      </c>
      <c r="L3778">
        <v>1661.56</v>
      </c>
      <c r="M3778" t="s">
        <v>7307</v>
      </c>
      <c r="N3778" t="s">
        <v>177</v>
      </c>
      <c r="O3778">
        <v>22.02</v>
      </c>
      <c r="P3778">
        <v>22.55</v>
      </c>
      <c r="Q3778">
        <v>21.96</v>
      </c>
      <c r="R3778">
        <v>22.23</v>
      </c>
      <c r="S3778">
        <v>35.17</v>
      </c>
      <c r="T3778">
        <v>0.86</v>
      </c>
      <c r="U3778" t="s">
        <v>204</v>
      </c>
    </row>
    <row r="3779" spans="1:21">
      <c r="A3779" t="str">
        <f>"603355"</f>
        <v>603355</v>
      </c>
      <c r="B3779" t="s">
        <v>7308</v>
      </c>
      <c r="C3779">
        <v>1.32</v>
      </c>
      <c r="D3779">
        <v>26.02</v>
      </c>
      <c r="E3779">
        <v>0.34</v>
      </c>
      <c r="F3779">
        <v>26.01</v>
      </c>
      <c r="G3779">
        <v>26.02</v>
      </c>
      <c r="H3779">
        <v>47239</v>
      </c>
      <c r="I3779">
        <v>905</v>
      </c>
      <c r="J3779">
        <v>-0.45</v>
      </c>
      <c r="K3779">
        <v>0.84</v>
      </c>
      <c r="L3779">
        <v>12231.21</v>
      </c>
      <c r="M3779" t="s">
        <v>7309</v>
      </c>
      <c r="N3779" t="s">
        <v>60</v>
      </c>
      <c r="O3779">
        <v>25.5</v>
      </c>
      <c r="P3779">
        <v>26.39</v>
      </c>
      <c r="Q3779">
        <v>25.06</v>
      </c>
      <c r="R3779">
        <v>25.68</v>
      </c>
      <c r="S3779">
        <v>23.48</v>
      </c>
      <c r="T3779">
        <v>0.87</v>
      </c>
      <c r="U3779" t="s">
        <v>102</v>
      </c>
    </row>
    <row r="3780" spans="1:21">
      <c r="A3780" t="str">
        <f>"603356"</f>
        <v>603356</v>
      </c>
      <c r="B3780" t="s">
        <v>7310</v>
      </c>
      <c r="C3780">
        <v>7.56</v>
      </c>
      <c r="D3780">
        <v>14.52</v>
      </c>
      <c r="E3780">
        <v>1.02</v>
      </c>
      <c r="F3780">
        <v>14.52</v>
      </c>
      <c r="G3780">
        <v>14.53</v>
      </c>
      <c r="H3780">
        <v>69720</v>
      </c>
      <c r="I3780">
        <v>685</v>
      </c>
      <c r="J3780">
        <v>0.14</v>
      </c>
      <c r="K3780">
        <v>5.23</v>
      </c>
      <c r="L3780">
        <v>9980.7</v>
      </c>
      <c r="M3780" t="s">
        <v>7311</v>
      </c>
      <c r="N3780" t="s">
        <v>43</v>
      </c>
      <c r="O3780">
        <v>13.29</v>
      </c>
      <c r="P3780">
        <v>14.85</v>
      </c>
      <c r="Q3780">
        <v>13.29</v>
      </c>
      <c r="R3780">
        <v>13.5</v>
      </c>
      <c r="S3780" t="s">
        <v>40</v>
      </c>
      <c r="T3780">
        <v>2.23</v>
      </c>
      <c r="U3780" t="s">
        <v>193</v>
      </c>
    </row>
    <row r="3781" spans="1:21">
      <c r="A3781" t="str">
        <f>"603357"</f>
        <v>603357</v>
      </c>
      <c r="B3781" t="s">
        <v>7312</v>
      </c>
      <c r="C3781">
        <v>0.7</v>
      </c>
      <c r="D3781">
        <v>8.59</v>
      </c>
      <c r="E3781">
        <v>0.06</v>
      </c>
      <c r="F3781">
        <v>8.59</v>
      </c>
      <c r="G3781">
        <v>8.6</v>
      </c>
      <c r="H3781">
        <v>12266</v>
      </c>
      <c r="I3781">
        <v>117</v>
      </c>
      <c r="J3781">
        <v>-0.11</v>
      </c>
      <c r="K3781">
        <v>0.27</v>
      </c>
      <c r="L3781">
        <v>1049.36</v>
      </c>
      <c r="M3781" t="s">
        <v>4041</v>
      </c>
      <c r="N3781" t="s">
        <v>50</v>
      </c>
      <c r="O3781">
        <v>8.56</v>
      </c>
      <c r="P3781">
        <v>8.62</v>
      </c>
      <c r="Q3781">
        <v>8.49</v>
      </c>
      <c r="R3781">
        <v>8.53</v>
      </c>
      <c r="S3781">
        <v>9.34</v>
      </c>
      <c r="T3781">
        <v>0.62</v>
      </c>
      <c r="U3781" t="s">
        <v>193</v>
      </c>
    </row>
    <row r="3782" spans="1:21">
      <c r="A3782" t="str">
        <f>"603358"</f>
        <v>603358</v>
      </c>
      <c r="B3782" t="s">
        <v>7313</v>
      </c>
      <c r="C3782">
        <v>-4.26</v>
      </c>
      <c r="D3782">
        <v>19.8</v>
      </c>
      <c r="E3782">
        <v>-0.88</v>
      </c>
      <c r="F3782">
        <v>19.8</v>
      </c>
      <c r="G3782">
        <v>19.81</v>
      </c>
      <c r="H3782">
        <v>66803</v>
      </c>
      <c r="I3782">
        <v>983</v>
      </c>
      <c r="J3782">
        <v>-0.04</v>
      </c>
      <c r="K3782">
        <v>1.52</v>
      </c>
      <c r="L3782">
        <v>13154.96</v>
      </c>
      <c r="M3782" t="s">
        <v>7314</v>
      </c>
      <c r="N3782" t="s">
        <v>91</v>
      </c>
      <c r="O3782">
        <v>20.66</v>
      </c>
      <c r="P3782">
        <v>20.66</v>
      </c>
      <c r="Q3782">
        <v>19.06</v>
      </c>
      <c r="R3782">
        <v>20.68</v>
      </c>
      <c r="S3782">
        <v>27.49</v>
      </c>
      <c r="T3782">
        <v>1.23</v>
      </c>
      <c r="U3782" t="s">
        <v>102</v>
      </c>
    </row>
    <row r="3783" spans="1:21">
      <c r="A3783" t="str">
        <f>"603359"</f>
        <v>603359</v>
      </c>
      <c r="B3783" t="s">
        <v>7315</v>
      </c>
      <c r="C3783">
        <v>2.29</v>
      </c>
      <c r="D3783">
        <v>13.82</v>
      </c>
      <c r="E3783">
        <v>0.31</v>
      </c>
      <c r="F3783">
        <v>13.82</v>
      </c>
      <c r="G3783">
        <v>13.83</v>
      </c>
      <c r="H3783">
        <v>88972</v>
      </c>
      <c r="I3783">
        <v>1133</v>
      </c>
      <c r="J3783">
        <v>0.07</v>
      </c>
      <c r="K3783">
        <v>1.99</v>
      </c>
      <c r="L3783">
        <v>12243.25</v>
      </c>
      <c r="M3783" t="s">
        <v>7316</v>
      </c>
      <c r="N3783" t="s">
        <v>33</v>
      </c>
      <c r="O3783">
        <v>13.5</v>
      </c>
      <c r="P3783">
        <v>14.08</v>
      </c>
      <c r="Q3783">
        <v>13.41</v>
      </c>
      <c r="R3783">
        <v>13.51</v>
      </c>
      <c r="S3783">
        <v>12.84</v>
      </c>
      <c r="T3783">
        <v>1.17</v>
      </c>
      <c r="U3783" t="s">
        <v>102</v>
      </c>
    </row>
    <row r="3784" spans="1:21">
      <c r="A3784" t="str">
        <f>"603360"</f>
        <v>603360</v>
      </c>
      <c r="B3784" t="s">
        <v>7317</v>
      </c>
      <c r="C3784">
        <v>-1</v>
      </c>
      <c r="D3784">
        <v>13.81</v>
      </c>
      <c r="E3784">
        <v>-0.14</v>
      </c>
      <c r="F3784">
        <v>13.81</v>
      </c>
      <c r="G3784">
        <v>13.82</v>
      </c>
      <c r="H3784">
        <v>27722</v>
      </c>
      <c r="I3784">
        <v>658</v>
      </c>
      <c r="J3784">
        <v>-0.13</v>
      </c>
      <c r="K3784">
        <v>1.08</v>
      </c>
      <c r="L3784">
        <v>3835.38</v>
      </c>
      <c r="M3784" t="s">
        <v>7318</v>
      </c>
      <c r="N3784" t="s">
        <v>309</v>
      </c>
      <c r="O3784">
        <v>13.97</v>
      </c>
      <c r="P3784">
        <v>14.17</v>
      </c>
      <c r="Q3784">
        <v>13.62</v>
      </c>
      <c r="R3784">
        <v>13.95</v>
      </c>
      <c r="S3784">
        <v>16.9</v>
      </c>
      <c r="T3784">
        <v>0.37</v>
      </c>
      <c r="U3784" t="s">
        <v>141</v>
      </c>
    </row>
    <row r="3785" spans="1:21">
      <c r="A3785" t="str">
        <f>"603363"</f>
        <v>603363</v>
      </c>
      <c r="B3785" t="s">
        <v>7319</v>
      </c>
      <c r="C3785">
        <v>-3.56</v>
      </c>
      <c r="D3785">
        <v>11.37</v>
      </c>
      <c r="E3785">
        <v>-0.42</v>
      </c>
      <c r="F3785">
        <v>11.37</v>
      </c>
      <c r="G3785">
        <v>11.39</v>
      </c>
      <c r="H3785">
        <v>126516</v>
      </c>
      <c r="I3785">
        <v>1935</v>
      </c>
      <c r="J3785">
        <v>-0.17</v>
      </c>
      <c r="K3785">
        <v>1.93</v>
      </c>
      <c r="L3785">
        <v>14535.26</v>
      </c>
      <c r="M3785" t="s">
        <v>7320</v>
      </c>
      <c r="N3785" t="s">
        <v>124</v>
      </c>
      <c r="O3785">
        <v>11.7</v>
      </c>
      <c r="P3785">
        <v>11.81</v>
      </c>
      <c r="Q3785">
        <v>11.33</v>
      </c>
      <c r="R3785">
        <v>11.79</v>
      </c>
      <c r="S3785" t="s">
        <v>40</v>
      </c>
      <c r="T3785">
        <v>0.86</v>
      </c>
      <c r="U3785" t="s">
        <v>339</v>
      </c>
    </row>
    <row r="3786" spans="1:21">
      <c r="A3786" t="str">
        <f>"603365"</f>
        <v>603365</v>
      </c>
      <c r="B3786" t="s">
        <v>7321</v>
      </c>
      <c r="C3786">
        <v>-0.68</v>
      </c>
      <c r="D3786">
        <v>16.14</v>
      </c>
      <c r="E3786">
        <v>-0.11</v>
      </c>
      <c r="F3786">
        <v>16.13</v>
      </c>
      <c r="G3786">
        <v>16.14</v>
      </c>
      <c r="H3786">
        <v>10824</v>
      </c>
      <c r="I3786">
        <v>108</v>
      </c>
      <c r="J3786">
        <v>0</v>
      </c>
      <c r="K3786">
        <v>0.41</v>
      </c>
      <c r="L3786">
        <v>1747.03</v>
      </c>
      <c r="M3786" t="s">
        <v>1482</v>
      </c>
      <c r="N3786" t="s">
        <v>664</v>
      </c>
      <c r="O3786">
        <v>16.19</v>
      </c>
      <c r="P3786">
        <v>16.29</v>
      </c>
      <c r="Q3786">
        <v>16.01</v>
      </c>
      <c r="R3786">
        <v>16.25</v>
      </c>
      <c r="S3786">
        <v>12.91</v>
      </c>
      <c r="T3786">
        <v>0.67</v>
      </c>
      <c r="U3786" t="s">
        <v>848</v>
      </c>
    </row>
    <row r="3787" spans="1:21">
      <c r="A3787" t="str">
        <f>"603366"</f>
        <v>603366</v>
      </c>
      <c r="B3787" t="s">
        <v>7322</v>
      </c>
      <c r="C3787">
        <v>0.96</v>
      </c>
      <c r="D3787">
        <v>5.27</v>
      </c>
      <c r="E3787">
        <v>0.05</v>
      </c>
      <c r="F3787">
        <v>5.27</v>
      </c>
      <c r="G3787">
        <v>5.28</v>
      </c>
      <c r="H3787">
        <v>118277</v>
      </c>
      <c r="I3787">
        <v>2857</v>
      </c>
      <c r="J3787">
        <v>0</v>
      </c>
      <c r="K3787">
        <v>1.48</v>
      </c>
      <c r="L3787">
        <v>6196.71</v>
      </c>
      <c r="M3787" t="s">
        <v>3350</v>
      </c>
      <c r="N3787" t="s">
        <v>60</v>
      </c>
      <c r="O3787">
        <v>5.23</v>
      </c>
      <c r="P3787">
        <v>5.3</v>
      </c>
      <c r="Q3787">
        <v>5.16</v>
      </c>
      <c r="R3787">
        <v>5.22</v>
      </c>
      <c r="S3787">
        <v>53.05</v>
      </c>
      <c r="T3787">
        <v>0.75</v>
      </c>
      <c r="U3787" t="s">
        <v>102</v>
      </c>
    </row>
    <row r="3788" spans="1:21">
      <c r="A3788" t="str">
        <f>"603367"</f>
        <v>603367</v>
      </c>
      <c r="B3788" t="s">
        <v>7323</v>
      </c>
      <c r="C3788">
        <v>-0.56</v>
      </c>
      <c r="D3788">
        <v>12.38</v>
      </c>
      <c r="E3788">
        <v>-0.07</v>
      </c>
      <c r="F3788">
        <v>12.37</v>
      </c>
      <c r="G3788">
        <v>12.38</v>
      </c>
      <c r="H3788">
        <v>18973</v>
      </c>
      <c r="I3788">
        <v>167</v>
      </c>
      <c r="J3788">
        <v>0.08</v>
      </c>
      <c r="K3788">
        <v>0.42</v>
      </c>
      <c r="L3788">
        <v>2355.59</v>
      </c>
      <c r="M3788" t="s">
        <v>7324</v>
      </c>
      <c r="N3788" t="s">
        <v>192</v>
      </c>
      <c r="O3788">
        <v>12.45</v>
      </c>
      <c r="P3788">
        <v>12.54</v>
      </c>
      <c r="Q3788">
        <v>12.34</v>
      </c>
      <c r="R3788">
        <v>12.45</v>
      </c>
      <c r="S3788">
        <v>14.74</v>
      </c>
      <c r="T3788">
        <v>1.16</v>
      </c>
      <c r="U3788" t="s">
        <v>221</v>
      </c>
    </row>
    <row r="3789" spans="1:21">
      <c r="A3789" t="str">
        <f>"603368"</f>
        <v>603368</v>
      </c>
      <c r="B3789" t="s">
        <v>7325</v>
      </c>
      <c r="C3789">
        <v>0.38</v>
      </c>
      <c r="D3789">
        <v>15.75</v>
      </c>
      <c r="E3789">
        <v>0.06</v>
      </c>
      <c r="F3789">
        <v>15.74</v>
      </c>
      <c r="G3789">
        <v>15.75</v>
      </c>
      <c r="H3789">
        <v>13518</v>
      </c>
      <c r="I3789">
        <v>103</v>
      </c>
      <c r="J3789">
        <v>0.06</v>
      </c>
      <c r="K3789">
        <v>0.37</v>
      </c>
      <c r="L3789">
        <v>2121.27</v>
      </c>
      <c r="M3789" t="s">
        <v>5944</v>
      </c>
      <c r="N3789" t="s">
        <v>86</v>
      </c>
      <c r="O3789">
        <v>15.69</v>
      </c>
      <c r="P3789">
        <v>15.76</v>
      </c>
      <c r="Q3789">
        <v>15.61</v>
      </c>
      <c r="R3789">
        <v>15.69</v>
      </c>
      <c r="S3789">
        <v>8.59</v>
      </c>
      <c r="T3789">
        <v>0.84</v>
      </c>
      <c r="U3789" t="s">
        <v>342</v>
      </c>
    </row>
    <row r="3790" spans="1:21">
      <c r="A3790" t="str">
        <f>"603369"</f>
        <v>603369</v>
      </c>
      <c r="B3790" t="s">
        <v>7326</v>
      </c>
      <c r="C3790">
        <v>2.26</v>
      </c>
      <c r="D3790">
        <v>58.85</v>
      </c>
      <c r="E3790">
        <v>1.3</v>
      </c>
      <c r="F3790">
        <v>58.84</v>
      </c>
      <c r="G3790">
        <v>58.85</v>
      </c>
      <c r="H3790">
        <v>103872</v>
      </c>
      <c r="I3790">
        <v>654</v>
      </c>
      <c r="J3790">
        <v>0.02</v>
      </c>
      <c r="K3790">
        <v>0.83</v>
      </c>
      <c r="L3790">
        <v>61251.74</v>
      </c>
      <c r="M3790" t="s">
        <v>7327</v>
      </c>
      <c r="N3790" t="s">
        <v>423</v>
      </c>
      <c r="O3790">
        <v>57.52</v>
      </c>
      <c r="P3790">
        <v>60.16</v>
      </c>
      <c r="Q3790">
        <v>57.2</v>
      </c>
      <c r="R3790">
        <v>57.55</v>
      </c>
      <c r="S3790">
        <v>32.6</v>
      </c>
      <c r="T3790">
        <v>1.01</v>
      </c>
      <c r="U3790" t="s">
        <v>102</v>
      </c>
    </row>
    <row r="3791" spans="1:21">
      <c r="A3791" t="str">
        <f>"603377"</f>
        <v>603377</v>
      </c>
      <c r="B3791" t="s">
        <v>7328</v>
      </c>
      <c r="C3791">
        <v>0.47</v>
      </c>
      <c r="D3791">
        <v>8.49</v>
      </c>
      <c r="E3791">
        <v>0.04</v>
      </c>
      <c r="F3791">
        <v>8.48</v>
      </c>
      <c r="G3791">
        <v>8.49</v>
      </c>
      <c r="H3791">
        <v>130002</v>
      </c>
      <c r="I3791">
        <v>2440</v>
      </c>
      <c r="J3791">
        <v>0.12</v>
      </c>
      <c r="K3791">
        <v>1.79</v>
      </c>
      <c r="L3791">
        <v>10977.27</v>
      </c>
      <c r="M3791" t="s">
        <v>7329</v>
      </c>
      <c r="N3791" t="s">
        <v>78</v>
      </c>
      <c r="O3791">
        <v>8.43</v>
      </c>
      <c r="P3791">
        <v>8.53</v>
      </c>
      <c r="Q3791">
        <v>8.33</v>
      </c>
      <c r="R3791">
        <v>8.45</v>
      </c>
      <c r="S3791">
        <v>27.35</v>
      </c>
      <c r="T3791">
        <v>0.48</v>
      </c>
      <c r="U3791" t="s">
        <v>44</v>
      </c>
    </row>
    <row r="3792" spans="1:21">
      <c r="A3792" t="str">
        <f>"603378"</f>
        <v>603378</v>
      </c>
      <c r="B3792" t="s">
        <v>7330</v>
      </c>
      <c r="C3792">
        <v>1.08</v>
      </c>
      <c r="D3792">
        <v>25.3</v>
      </c>
      <c r="E3792">
        <v>0.27</v>
      </c>
      <c r="F3792">
        <v>25.29</v>
      </c>
      <c r="G3792">
        <v>25.3</v>
      </c>
      <c r="H3792">
        <v>35040</v>
      </c>
      <c r="I3792">
        <v>951</v>
      </c>
      <c r="J3792">
        <v>0.12</v>
      </c>
      <c r="K3792">
        <v>1.26</v>
      </c>
      <c r="L3792">
        <v>8729.01</v>
      </c>
      <c r="M3792" t="s">
        <v>7331</v>
      </c>
      <c r="N3792" t="s">
        <v>416</v>
      </c>
      <c r="O3792">
        <v>25</v>
      </c>
      <c r="P3792">
        <v>25.49</v>
      </c>
      <c r="Q3792">
        <v>24.6</v>
      </c>
      <c r="R3792">
        <v>25.03</v>
      </c>
      <c r="S3792">
        <v>43.29</v>
      </c>
      <c r="T3792">
        <v>0.68</v>
      </c>
      <c r="U3792" t="s">
        <v>848</v>
      </c>
    </row>
    <row r="3793" spans="1:21">
      <c r="A3793" t="str">
        <f>"603379"</f>
        <v>603379</v>
      </c>
      <c r="B3793" t="s">
        <v>7332</v>
      </c>
      <c r="C3793">
        <v>1.02</v>
      </c>
      <c r="D3793">
        <v>23.88</v>
      </c>
      <c r="E3793">
        <v>0.24</v>
      </c>
      <c r="F3793">
        <v>23.87</v>
      </c>
      <c r="G3793">
        <v>23.88</v>
      </c>
      <c r="H3793">
        <v>138888</v>
      </c>
      <c r="I3793">
        <v>1283</v>
      </c>
      <c r="J3793">
        <v>0</v>
      </c>
      <c r="K3793">
        <v>7.19</v>
      </c>
      <c r="L3793">
        <v>32698.99</v>
      </c>
      <c r="M3793" t="s">
        <v>7141</v>
      </c>
      <c r="N3793" t="s">
        <v>309</v>
      </c>
      <c r="O3793">
        <v>23.65</v>
      </c>
      <c r="P3793">
        <v>24.2</v>
      </c>
      <c r="Q3793">
        <v>22.98</v>
      </c>
      <c r="R3793">
        <v>23.64</v>
      </c>
      <c r="S3793">
        <v>45</v>
      </c>
      <c r="T3793">
        <v>1.63</v>
      </c>
      <c r="U3793" t="s">
        <v>200</v>
      </c>
    </row>
    <row r="3794" spans="1:21">
      <c r="A3794" t="str">
        <f>"603380"</f>
        <v>603380</v>
      </c>
      <c r="B3794" t="s">
        <v>7333</v>
      </c>
      <c r="C3794">
        <v>1.54</v>
      </c>
      <c r="D3794">
        <v>39.5</v>
      </c>
      <c r="E3794">
        <v>0.6</v>
      </c>
      <c r="F3794">
        <v>39.5</v>
      </c>
      <c r="G3794">
        <v>39.51</v>
      </c>
      <c r="H3794">
        <v>14641</v>
      </c>
      <c r="I3794">
        <v>107</v>
      </c>
      <c r="J3794">
        <v>-0.24</v>
      </c>
      <c r="K3794">
        <v>0.92</v>
      </c>
      <c r="L3794">
        <v>5792.02</v>
      </c>
      <c r="M3794" t="s">
        <v>5232</v>
      </c>
      <c r="N3794" t="s">
        <v>69</v>
      </c>
      <c r="O3794">
        <v>38.86</v>
      </c>
      <c r="P3794">
        <v>40.25</v>
      </c>
      <c r="Q3794">
        <v>38.62</v>
      </c>
      <c r="R3794">
        <v>38.9</v>
      </c>
      <c r="S3794">
        <v>28.11</v>
      </c>
      <c r="T3794">
        <v>0.53</v>
      </c>
      <c r="U3794" t="s">
        <v>102</v>
      </c>
    </row>
    <row r="3795" spans="1:21">
      <c r="A3795" t="str">
        <f>"603383"</f>
        <v>603383</v>
      </c>
      <c r="B3795" t="s">
        <v>7334</v>
      </c>
      <c r="C3795">
        <v>2.73</v>
      </c>
      <c r="D3795">
        <v>34.95</v>
      </c>
      <c r="E3795">
        <v>0.93</v>
      </c>
      <c r="F3795">
        <v>34.94</v>
      </c>
      <c r="G3795">
        <v>34.95</v>
      </c>
      <c r="H3795">
        <v>19103</v>
      </c>
      <c r="I3795">
        <v>125</v>
      </c>
      <c r="J3795">
        <v>0.03</v>
      </c>
      <c r="K3795">
        <v>1.14</v>
      </c>
      <c r="L3795">
        <v>6572.46</v>
      </c>
      <c r="M3795" t="s">
        <v>7335</v>
      </c>
      <c r="N3795" t="s">
        <v>30</v>
      </c>
      <c r="O3795">
        <v>33.8</v>
      </c>
      <c r="P3795">
        <v>35.53</v>
      </c>
      <c r="Q3795">
        <v>33.23</v>
      </c>
      <c r="R3795">
        <v>34.02</v>
      </c>
      <c r="S3795">
        <v>58.14</v>
      </c>
      <c r="T3795">
        <v>0.94</v>
      </c>
      <c r="U3795" t="s">
        <v>339</v>
      </c>
    </row>
    <row r="3796" spans="1:21">
      <c r="A3796" t="str">
        <f>"603385"</f>
        <v>603385</v>
      </c>
      <c r="B3796" t="s">
        <v>7336</v>
      </c>
      <c r="C3796">
        <v>2.23</v>
      </c>
      <c r="D3796">
        <v>9.18</v>
      </c>
      <c r="E3796">
        <v>0.2</v>
      </c>
      <c r="F3796">
        <v>9.18</v>
      </c>
      <c r="G3796">
        <v>9.19</v>
      </c>
      <c r="H3796">
        <v>27963</v>
      </c>
      <c r="I3796">
        <v>813</v>
      </c>
      <c r="J3796">
        <v>0.11</v>
      </c>
      <c r="K3796">
        <v>0.76</v>
      </c>
      <c r="L3796">
        <v>2538.39</v>
      </c>
      <c r="M3796" t="s">
        <v>7337</v>
      </c>
      <c r="N3796" t="s">
        <v>910</v>
      </c>
      <c r="O3796">
        <v>8.97</v>
      </c>
      <c r="P3796">
        <v>9.18</v>
      </c>
      <c r="Q3796">
        <v>8.95</v>
      </c>
      <c r="R3796">
        <v>8.98</v>
      </c>
      <c r="S3796">
        <v>11.69</v>
      </c>
      <c r="T3796">
        <v>1.15</v>
      </c>
      <c r="U3796" t="s">
        <v>207</v>
      </c>
    </row>
    <row r="3797" spans="1:21">
      <c r="A3797" t="str">
        <f>"603386"</f>
        <v>603386</v>
      </c>
      <c r="B3797" t="s">
        <v>7338</v>
      </c>
      <c r="C3797">
        <v>1.54</v>
      </c>
      <c r="D3797">
        <v>25.1</v>
      </c>
      <c r="E3797">
        <v>0.38</v>
      </c>
      <c r="F3797">
        <v>25.1</v>
      </c>
      <c r="G3797">
        <v>25.11</v>
      </c>
      <c r="H3797">
        <v>78155</v>
      </c>
      <c r="I3797">
        <v>1174</v>
      </c>
      <c r="J3797">
        <v>0.04</v>
      </c>
      <c r="K3797">
        <v>3.52</v>
      </c>
      <c r="L3797">
        <v>19509.91</v>
      </c>
      <c r="M3797" t="s">
        <v>7339</v>
      </c>
      <c r="N3797" t="s">
        <v>69</v>
      </c>
      <c r="O3797">
        <v>24.4</v>
      </c>
      <c r="P3797">
        <v>25.5</v>
      </c>
      <c r="Q3797">
        <v>24.3</v>
      </c>
      <c r="R3797">
        <v>24.72</v>
      </c>
      <c r="S3797">
        <v>24.79</v>
      </c>
      <c r="T3797">
        <v>0.46</v>
      </c>
      <c r="U3797" t="s">
        <v>183</v>
      </c>
    </row>
    <row r="3798" spans="1:21">
      <c r="A3798" t="str">
        <f>"603387"</f>
        <v>603387</v>
      </c>
      <c r="B3798" t="s">
        <v>7340</v>
      </c>
      <c r="C3798">
        <v>-0.72</v>
      </c>
      <c r="D3798">
        <v>17.93</v>
      </c>
      <c r="E3798">
        <v>-0.13</v>
      </c>
      <c r="F3798">
        <v>17.93</v>
      </c>
      <c r="G3798">
        <v>17.95</v>
      </c>
      <c r="H3798">
        <v>20619</v>
      </c>
      <c r="I3798">
        <v>146</v>
      </c>
      <c r="J3798">
        <v>-0.05</v>
      </c>
      <c r="K3798">
        <v>0.57</v>
      </c>
      <c r="L3798">
        <v>3687.25</v>
      </c>
      <c r="M3798" t="s">
        <v>7341</v>
      </c>
      <c r="N3798" t="s">
        <v>186</v>
      </c>
      <c r="O3798">
        <v>17.95</v>
      </c>
      <c r="P3798">
        <v>18</v>
      </c>
      <c r="Q3798">
        <v>17.76</v>
      </c>
      <c r="R3798">
        <v>18.06</v>
      </c>
      <c r="S3798">
        <v>19.33</v>
      </c>
      <c r="T3798">
        <v>0.84</v>
      </c>
      <c r="U3798" t="s">
        <v>102</v>
      </c>
    </row>
    <row r="3799" spans="1:21">
      <c r="A3799" t="str">
        <f>"603388"</f>
        <v>603388</v>
      </c>
      <c r="B3799" t="s">
        <v>7342</v>
      </c>
      <c r="C3799">
        <v>7.39</v>
      </c>
      <c r="D3799">
        <v>7.85</v>
      </c>
      <c r="E3799">
        <v>0.54</v>
      </c>
      <c r="F3799">
        <v>7.84</v>
      </c>
      <c r="G3799">
        <v>7.85</v>
      </c>
      <c r="H3799">
        <v>71013</v>
      </c>
      <c r="I3799">
        <v>1408</v>
      </c>
      <c r="J3799">
        <v>0</v>
      </c>
      <c r="K3799">
        <v>2.49</v>
      </c>
      <c r="L3799">
        <v>5463.83</v>
      </c>
      <c r="M3799" t="s">
        <v>5415</v>
      </c>
      <c r="N3799" t="s">
        <v>50</v>
      </c>
      <c r="O3799">
        <v>7.31</v>
      </c>
      <c r="P3799">
        <v>7.87</v>
      </c>
      <c r="Q3799">
        <v>7.31</v>
      </c>
      <c r="R3799">
        <v>7.31</v>
      </c>
      <c r="S3799">
        <v>36.7</v>
      </c>
      <c r="T3799">
        <v>3.65</v>
      </c>
      <c r="U3799" t="s">
        <v>200</v>
      </c>
    </row>
    <row r="3800" spans="1:21">
      <c r="A3800" t="str">
        <f>"603389"</f>
        <v>603389</v>
      </c>
      <c r="B3800" t="s">
        <v>7343</v>
      </c>
      <c r="C3800">
        <v>1.39</v>
      </c>
      <c r="D3800">
        <v>5.1</v>
      </c>
      <c r="E3800">
        <v>0.07</v>
      </c>
      <c r="F3800">
        <v>5.09</v>
      </c>
      <c r="G3800">
        <v>5.1</v>
      </c>
      <c r="H3800">
        <v>11185</v>
      </c>
      <c r="I3800">
        <v>75</v>
      </c>
      <c r="J3800">
        <v>0</v>
      </c>
      <c r="K3800">
        <v>0.43</v>
      </c>
      <c r="L3800">
        <v>569.7</v>
      </c>
      <c r="M3800" t="s">
        <v>7344</v>
      </c>
      <c r="N3800" t="s">
        <v>910</v>
      </c>
      <c r="O3800">
        <v>5.03</v>
      </c>
      <c r="P3800">
        <v>5.17</v>
      </c>
      <c r="Q3800">
        <v>5</v>
      </c>
      <c r="R3800">
        <v>5.03</v>
      </c>
      <c r="S3800" t="s">
        <v>40</v>
      </c>
      <c r="T3800">
        <v>0.82</v>
      </c>
      <c r="U3800" t="s">
        <v>102</v>
      </c>
    </row>
    <row r="3801" spans="1:21">
      <c r="A3801" t="str">
        <f>"603390"</f>
        <v>603390</v>
      </c>
      <c r="B3801" t="s">
        <v>7345</v>
      </c>
      <c r="C3801">
        <v>1</v>
      </c>
      <c r="D3801">
        <v>9.08</v>
      </c>
      <c r="E3801">
        <v>0.09</v>
      </c>
      <c r="F3801">
        <v>9.07</v>
      </c>
      <c r="G3801">
        <v>9.08</v>
      </c>
      <c r="H3801">
        <v>35434</v>
      </c>
      <c r="I3801">
        <v>433</v>
      </c>
      <c r="J3801">
        <v>0</v>
      </c>
      <c r="K3801">
        <v>2.76</v>
      </c>
      <c r="L3801">
        <v>3195.11</v>
      </c>
      <c r="M3801" t="s">
        <v>2924</v>
      </c>
      <c r="N3801" t="s">
        <v>91</v>
      </c>
      <c r="O3801">
        <v>8.86</v>
      </c>
      <c r="P3801">
        <v>9.23</v>
      </c>
      <c r="Q3801">
        <v>8.74</v>
      </c>
      <c r="R3801">
        <v>8.99</v>
      </c>
      <c r="S3801">
        <v>221.74</v>
      </c>
      <c r="T3801">
        <v>0.98</v>
      </c>
      <c r="U3801" t="s">
        <v>183</v>
      </c>
    </row>
    <row r="3802" spans="1:21">
      <c r="A3802" t="str">
        <f>"603392"</f>
        <v>603392</v>
      </c>
      <c r="B3802" t="s">
        <v>7346</v>
      </c>
      <c r="C3802">
        <v>-0.36</v>
      </c>
      <c r="D3802">
        <v>253.27</v>
      </c>
      <c r="E3802">
        <v>-0.91</v>
      </c>
      <c r="F3802">
        <v>253.2</v>
      </c>
      <c r="G3802">
        <v>253.27</v>
      </c>
      <c r="H3802">
        <v>15823</v>
      </c>
      <c r="I3802">
        <v>142</v>
      </c>
      <c r="J3802">
        <v>0</v>
      </c>
      <c r="K3802">
        <v>1.05</v>
      </c>
      <c r="L3802">
        <v>40305.99</v>
      </c>
      <c r="M3802" t="s">
        <v>7347</v>
      </c>
      <c r="N3802" t="s">
        <v>186</v>
      </c>
      <c r="O3802">
        <v>258.5</v>
      </c>
      <c r="P3802">
        <v>263</v>
      </c>
      <c r="Q3802">
        <v>248.4</v>
      </c>
      <c r="R3802">
        <v>254.18</v>
      </c>
      <c r="S3802">
        <v>97.04</v>
      </c>
      <c r="T3802">
        <v>0.82</v>
      </c>
      <c r="U3802" t="s">
        <v>44</v>
      </c>
    </row>
    <row r="3803" spans="1:21">
      <c r="A3803" t="str">
        <f>"603393"</f>
        <v>603393</v>
      </c>
      <c r="B3803" t="s">
        <v>7348</v>
      </c>
      <c r="C3803">
        <v>2.18</v>
      </c>
      <c r="D3803">
        <v>27.69</v>
      </c>
      <c r="E3803">
        <v>0.59</v>
      </c>
      <c r="F3803">
        <v>27.69</v>
      </c>
      <c r="G3803">
        <v>27.7</v>
      </c>
      <c r="H3803">
        <v>245500</v>
      </c>
      <c r="I3803">
        <v>1599</v>
      </c>
      <c r="J3803">
        <v>0</v>
      </c>
      <c r="K3803">
        <v>6.53</v>
      </c>
      <c r="L3803">
        <v>67270.11</v>
      </c>
      <c r="M3803" t="s">
        <v>7349</v>
      </c>
      <c r="N3803" t="s">
        <v>238</v>
      </c>
      <c r="O3803">
        <v>26.7</v>
      </c>
      <c r="P3803">
        <v>28.3</v>
      </c>
      <c r="Q3803">
        <v>26.3</v>
      </c>
      <c r="R3803">
        <v>27.1</v>
      </c>
      <c r="S3803">
        <v>9.7</v>
      </c>
      <c r="T3803">
        <v>1.3</v>
      </c>
      <c r="U3803" t="s">
        <v>210</v>
      </c>
    </row>
    <row r="3804" spans="1:21">
      <c r="A3804" t="str">
        <f>"603396"</f>
        <v>603396</v>
      </c>
      <c r="B3804" t="s">
        <v>7350</v>
      </c>
      <c r="C3804">
        <v>4.05</v>
      </c>
      <c r="D3804">
        <v>134.94</v>
      </c>
      <c r="E3804">
        <v>5.25</v>
      </c>
      <c r="F3804">
        <v>134.93</v>
      </c>
      <c r="G3804">
        <v>134.94</v>
      </c>
      <c r="H3804">
        <v>56557</v>
      </c>
      <c r="I3804">
        <v>616</v>
      </c>
      <c r="J3804">
        <v>-0.03</v>
      </c>
      <c r="K3804">
        <v>5.35</v>
      </c>
      <c r="L3804">
        <v>73605.16</v>
      </c>
      <c r="M3804" t="s">
        <v>7351</v>
      </c>
      <c r="N3804" t="s">
        <v>324</v>
      </c>
      <c r="O3804">
        <v>130.49</v>
      </c>
      <c r="P3804">
        <v>135.71</v>
      </c>
      <c r="Q3804">
        <v>125.05</v>
      </c>
      <c r="R3804">
        <v>129.69</v>
      </c>
      <c r="S3804">
        <v>149.55</v>
      </c>
      <c r="T3804">
        <v>1.12</v>
      </c>
      <c r="U3804" t="s">
        <v>141</v>
      </c>
    </row>
    <row r="3805" spans="1:21">
      <c r="A3805" t="str">
        <f>"603398"</f>
        <v>603398</v>
      </c>
      <c r="B3805" t="s">
        <v>7352</v>
      </c>
      <c r="C3805">
        <v>1.45</v>
      </c>
      <c r="D3805">
        <v>14</v>
      </c>
      <c r="E3805">
        <v>0.2</v>
      </c>
      <c r="F3805">
        <v>13.99</v>
      </c>
      <c r="G3805">
        <v>14</v>
      </c>
      <c r="H3805">
        <v>123862</v>
      </c>
      <c r="I3805">
        <v>2385</v>
      </c>
      <c r="J3805">
        <v>0.14</v>
      </c>
      <c r="K3805">
        <v>3.61</v>
      </c>
      <c r="L3805">
        <v>17313.62</v>
      </c>
      <c r="M3805" t="s">
        <v>7353</v>
      </c>
      <c r="N3805" t="s">
        <v>63</v>
      </c>
      <c r="O3805">
        <v>13.78</v>
      </c>
      <c r="P3805">
        <v>14.07</v>
      </c>
      <c r="Q3805">
        <v>13.7</v>
      </c>
      <c r="R3805">
        <v>13.8</v>
      </c>
      <c r="S3805">
        <v>111.23</v>
      </c>
      <c r="T3805">
        <v>1.06</v>
      </c>
      <c r="U3805" t="s">
        <v>235</v>
      </c>
    </row>
    <row r="3806" spans="1:21">
      <c r="A3806" t="str">
        <f>"603399"</f>
        <v>603399</v>
      </c>
      <c r="B3806" t="s">
        <v>7354</v>
      </c>
      <c r="C3806">
        <v>-0.96</v>
      </c>
      <c r="D3806">
        <v>7.25</v>
      </c>
      <c r="E3806">
        <v>-0.07</v>
      </c>
      <c r="F3806">
        <v>7.24</v>
      </c>
      <c r="G3806">
        <v>7.25</v>
      </c>
      <c r="H3806">
        <v>113836</v>
      </c>
      <c r="I3806">
        <v>1100</v>
      </c>
      <c r="J3806">
        <v>-0.67</v>
      </c>
      <c r="K3806">
        <v>2.24</v>
      </c>
      <c r="L3806">
        <v>8350.83</v>
      </c>
      <c r="M3806" t="s">
        <v>4166</v>
      </c>
      <c r="N3806" t="s">
        <v>523</v>
      </c>
      <c r="O3806">
        <v>7.48</v>
      </c>
      <c r="P3806">
        <v>7.56</v>
      </c>
      <c r="Q3806">
        <v>7.23</v>
      </c>
      <c r="R3806">
        <v>7.32</v>
      </c>
      <c r="S3806">
        <v>64.45</v>
      </c>
      <c r="T3806">
        <v>0.7</v>
      </c>
      <c r="U3806" t="s">
        <v>141</v>
      </c>
    </row>
    <row r="3807" spans="1:21">
      <c r="A3807" t="str">
        <f>"603408"</f>
        <v>603408</v>
      </c>
      <c r="B3807" t="s">
        <v>7355</v>
      </c>
      <c r="C3807">
        <v>0.36</v>
      </c>
      <c r="D3807">
        <v>14.01</v>
      </c>
      <c r="E3807">
        <v>0.05</v>
      </c>
      <c r="F3807">
        <v>14.01</v>
      </c>
      <c r="G3807">
        <v>14.02</v>
      </c>
      <c r="H3807">
        <v>9618</v>
      </c>
      <c r="I3807">
        <v>69</v>
      </c>
      <c r="J3807">
        <v>0</v>
      </c>
      <c r="K3807">
        <v>0.97</v>
      </c>
      <c r="L3807">
        <v>1341.06</v>
      </c>
      <c r="M3807" t="s">
        <v>7356</v>
      </c>
      <c r="N3807" t="s">
        <v>910</v>
      </c>
      <c r="O3807">
        <v>13.98</v>
      </c>
      <c r="P3807">
        <v>14.08</v>
      </c>
      <c r="Q3807">
        <v>13.78</v>
      </c>
      <c r="R3807">
        <v>13.96</v>
      </c>
      <c r="S3807">
        <v>15.58</v>
      </c>
      <c r="T3807">
        <v>0.82</v>
      </c>
      <c r="U3807" t="s">
        <v>339</v>
      </c>
    </row>
    <row r="3808" spans="1:21">
      <c r="A3808" t="str">
        <f>"603416"</f>
        <v>603416</v>
      </c>
      <c r="B3808" t="s">
        <v>7357</v>
      </c>
      <c r="C3808">
        <v>0.82</v>
      </c>
      <c r="D3808">
        <v>46.92</v>
      </c>
      <c r="E3808">
        <v>0.38</v>
      </c>
      <c r="F3808">
        <v>46.91</v>
      </c>
      <c r="G3808">
        <v>46.92</v>
      </c>
      <c r="H3808">
        <v>5219</v>
      </c>
      <c r="I3808">
        <v>111</v>
      </c>
      <c r="J3808">
        <v>-0.03</v>
      </c>
      <c r="K3808">
        <v>0.57</v>
      </c>
      <c r="L3808">
        <v>2437.65</v>
      </c>
      <c r="M3808" t="s">
        <v>7358</v>
      </c>
      <c r="N3808" t="s">
        <v>47</v>
      </c>
      <c r="O3808">
        <v>46.12</v>
      </c>
      <c r="P3808">
        <v>47.08</v>
      </c>
      <c r="Q3808">
        <v>46.12</v>
      </c>
      <c r="R3808">
        <v>46.54</v>
      </c>
      <c r="S3808">
        <v>21.5</v>
      </c>
      <c r="T3808">
        <v>0.49</v>
      </c>
      <c r="U3808" t="s">
        <v>102</v>
      </c>
    </row>
    <row r="3809" spans="1:21">
      <c r="A3809" t="str">
        <f>"603421"</f>
        <v>603421</v>
      </c>
      <c r="B3809" t="s">
        <v>7359</v>
      </c>
      <c r="C3809">
        <v>1.36</v>
      </c>
      <c r="D3809">
        <v>7.45</v>
      </c>
      <c r="E3809">
        <v>0.1</v>
      </c>
      <c r="F3809">
        <v>7.44</v>
      </c>
      <c r="G3809">
        <v>7.45</v>
      </c>
      <c r="H3809">
        <v>11605</v>
      </c>
      <c r="I3809">
        <v>37</v>
      </c>
      <c r="J3809">
        <v>-0.12</v>
      </c>
      <c r="K3809">
        <v>0.18</v>
      </c>
      <c r="L3809">
        <v>861.6</v>
      </c>
      <c r="M3809" t="s">
        <v>2745</v>
      </c>
      <c r="N3809" t="s">
        <v>153</v>
      </c>
      <c r="O3809">
        <v>7.36</v>
      </c>
      <c r="P3809">
        <v>7.47</v>
      </c>
      <c r="Q3809">
        <v>7.36</v>
      </c>
      <c r="R3809">
        <v>7.35</v>
      </c>
      <c r="S3809" t="s">
        <v>40</v>
      </c>
      <c r="T3809">
        <v>0.73</v>
      </c>
      <c r="U3809" t="s">
        <v>221</v>
      </c>
    </row>
    <row r="3810" spans="1:21">
      <c r="A3810" t="str">
        <f>"603429"</f>
        <v>603429</v>
      </c>
      <c r="B3810" t="s">
        <v>7360</v>
      </c>
      <c r="C3810">
        <v>-3.68</v>
      </c>
      <c r="D3810">
        <v>27.48</v>
      </c>
      <c r="E3810">
        <v>-1.05</v>
      </c>
      <c r="F3810">
        <v>27.47</v>
      </c>
      <c r="G3810">
        <v>27.48</v>
      </c>
      <c r="H3810">
        <v>52565</v>
      </c>
      <c r="I3810">
        <v>1220</v>
      </c>
      <c r="J3810">
        <v>-0.1</v>
      </c>
      <c r="K3810">
        <v>1.41</v>
      </c>
      <c r="L3810">
        <v>14470.29</v>
      </c>
      <c r="M3810" t="s">
        <v>7361</v>
      </c>
      <c r="N3810" t="s">
        <v>482</v>
      </c>
      <c r="O3810">
        <v>27.53</v>
      </c>
      <c r="P3810">
        <v>28.2</v>
      </c>
      <c r="Q3810">
        <v>26.66</v>
      </c>
      <c r="R3810">
        <v>28.53</v>
      </c>
      <c r="S3810">
        <v>85.37</v>
      </c>
      <c r="T3810">
        <v>0.46</v>
      </c>
      <c r="U3810" t="s">
        <v>193</v>
      </c>
    </row>
    <row r="3811" spans="1:21">
      <c r="A3811" t="str">
        <f>"603439"</f>
        <v>603439</v>
      </c>
      <c r="B3811" t="s">
        <v>7362</v>
      </c>
      <c r="C3811">
        <v>1.77</v>
      </c>
      <c r="D3811">
        <v>13.81</v>
      </c>
      <c r="E3811">
        <v>0.24</v>
      </c>
      <c r="F3811">
        <v>13.8</v>
      </c>
      <c r="G3811">
        <v>13.81</v>
      </c>
      <c r="H3811">
        <v>33716</v>
      </c>
      <c r="I3811">
        <v>407</v>
      </c>
      <c r="J3811">
        <v>0</v>
      </c>
      <c r="K3811">
        <v>2.08</v>
      </c>
      <c r="L3811">
        <v>4638.4</v>
      </c>
      <c r="M3811" t="s">
        <v>7363</v>
      </c>
      <c r="N3811" t="s">
        <v>270</v>
      </c>
      <c r="O3811">
        <v>13.53</v>
      </c>
      <c r="P3811">
        <v>13.84</v>
      </c>
      <c r="Q3811">
        <v>13.53</v>
      </c>
      <c r="R3811">
        <v>13.57</v>
      </c>
      <c r="S3811">
        <v>38.02</v>
      </c>
      <c r="T3811">
        <v>0.6</v>
      </c>
      <c r="U3811" t="s">
        <v>368</v>
      </c>
    </row>
    <row r="3812" spans="1:21">
      <c r="A3812" t="str">
        <f>"603444"</f>
        <v>603444</v>
      </c>
      <c r="B3812" t="s">
        <v>7364</v>
      </c>
      <c r="C3812">
        <v>1.72</v>
      </c>
      <c r="D3812">
        <v>392.03</v>
      </c>
      <c r="E3812">
        <v>6.62</v>
      </c>
      <c r="F3812">
        <v>392.03</v>
      </c>
      <c r="G3812">
        <v>392.05</v>
      </c>
      <c r="H3812">
        <v>10646</v>
      </c>
      <c r="I3812">
        <v>82</v>
      </c>
      <c r="J3812">
        <v>-0.11</v>
      </c>
      <c r="K3812">
        <v>1.48</v>
      </c>
      <c r="L3812">
        <v>41534.09</v>
      </c>
      <c r="M3812" t="s">
        <v>7365</v>
      </c>
      <c r="N3812" t="s">
        <v>479</v>
      </c>
      <c r="O3812">
        <v>384.42</v>
      </c>
      <c r="P3812">
        <v>393.6</v>
      </c>
      <c r="Q3812">
        <v>381.58</v>
      </c>
      <c r="R3812">
        <v>385.41</v>
      </c>
      <c r="S3812">
        <v>17.53</v>
      </c>
      <c r="T3812">
        <v>0.58</v>
      </c>
      <c r="U3812" t="s">
        <v>339</v>
      </c>
    </row>
    <row r="3813" spans="1:21">
      <c r="A3813" t="str">
        <f>"603456"</f>
        <v>603456</v>
      </c>
      <c r="B3813" t="s">
        <v>7366</v>
      </c>
      <c r="C3813">
        <v>-2.8</v>
      </c>
      <c r="D3813">
        <v>54.1</v>
      </c>
      <c r="E3813">
        <v>-1.56</v>
      </c>
      <c r="F3813">
        <v>54.1</v>
      </c>
      <c r="G3813">
        <v>54.12</v>
      </c>
      <c r="H3813">
        <v>74210</v>
      </c>
      <c r="I3813">
        <v>659</v>
      </c>
      <c r="J3813">
        <v>-0.05</v>
      </c>
      <c r="K3813">
        <v>0.89</v>
      </c>
      <c r="L3813">
        <v>40253.3</v>
      </c>
      <c r="M3813" t="s">
        <v>7367</v>
      </c>
      <c r="N3813" t="s">
        <v>192</v>
      </c>
      <c r="O3813">
        <v>55.43</v>
      </c>
      <c r="P3813">
        <v>55.62</v>
      </c>
      <c r="Q3813">
        <v>53.45</v>
      </c>
      <c r="R3813">
        <v>55.66</v>
      </c>
      <c r="S3813">
        <v>71.4</v>
      </c>
      <c r="T3813">
        <v>0.89</v>
      </c>
      <c r="U3813" t="s">
        <v>200</v>
      </c>
    </row>
    <row r="3814" spans="1:21">
      <c r="A3814" t="str">
        <f>"603458"</f>
        <v>603458</v>
      </c>
      <c r="B3814" t="s">
        <v>7368</v>
      </c>
      <c r="C3814">
        <v>-5.17</v>
      </c>
      <c r="D3814">
        <v>12.66</v>
      </c>
      <c r="E3814">
        <v>-0.69</v>
      </c>
      <c r="F3814">
        <v>12.66</v>
      </c>
      <c r="G3814">
        <v>12.67</v>
      </c>
      <c r="H3814">
        <v>231371</v>
      </c>
      <c r="I3814">
        <v>6593</v>
      </c>
      <c r="J3814">
        <v>-0.77</v>
      </c>
      <c r="K3814">
        <v>7.52</v>
      </c>
      <c r="L3814">
        <v>29668.69</v>
      </c>
      <c r="M3814" t="s">
        <v>2604</v>
      </c>
      <c r="N3814" t="s">
        <v>50</v>
      </c>
      <c r="O3814">
        <v>13</v>
      </c>
      <c r="P3814">
        <v>13.21</v>
      </c>
      <c r="Q3814">
        <v>12.56</v>
      </c>
      <c r="R3814">
        <v>13.35</v>
      </c>
      <c r="S3814">
        <v>10.28</v>
      </c>
      <c r="T3814">
        <v>0.87</v>
      </c>
      <c r="U3814" t="s">
        <v>368</v>
      </c>
    </row>
    <row r="3815" spans="1:21">
      <c r="A3815" t="str">
        <f>"603466"</f>
        <v>603466</v>
      </c>
      <c r="B3815" t="s">
        <v>7369</v>
      </c>
      <c r="C3815">
        <v>-0.67</v>
      </c>
      <c r="D3815">
        <v>19.41</v>
      </c>
      <c r="E3815">
        <v>-0.13</v>
      </c>
      <c r="F3815">
        <v>19.4</v>
      </c>
      <c r="G3815">
        <v>19.41</v>
      </c>
      <c r="H3815">
        <v>142320</v>
      </c>
      <c r="I3815">
        <v>2941</v>
      </c>
      <c r="J3815">
        <v>-0.2</v>
      </c>
      <c r="K3815">
        <v>3.39</v>
      </c>
      <c r="L3815">
        <v>27894.56</v>
      </c>
      <c r="M3815" t="s">
        <v>7370</v>
      </c>
      <c r="N3815" t="s">
        <v>63</v>
      </c>
      <c r="O3815">
        <v>19.22</v>
      </c>
      <c r="P3815">
        <v>20.09</v>
      </c>
      <c r="Q3815">
        <v>19</v>
      </c>
      <c r="R3815">
        <v>19.54</v>
      </c>
      <c r="S3815">
        <v>15.71</v>
      </c>
      <c r="T3815">
        <v>0.68</v>
      </c>
      <c r="U3815" t="s">
        <v>848</v>
      </c>
    </row>
    <row r="3816" spans="1:21">
      <c r="A3816" t="str">
        <f>"603477"</f>
        <v>603477</v>
      </c>
      <c r="B3816" t="s">
        <v>7371</v>
      </c>
      <c r="C3816">
        <v>-1.66</v>
      </c>
      <c r="D3816">
        <v>13.04</v>
      </c>
      <c r="E3816">
        <v>-0.22</v>
      </c>
      <c r="F3816">
        <v>13.04</v>
      </c>
      <c r="G3816">
        <v>13.05</v>
      </c>
      <c r="H3816">
        <v>102448</v>
      </c>
      <c r="I3816">
        <v>1107</v>
      </c>
      <c r="J3816">
        <v>-0.07</v>
      </c>
      <c r="K3816">
        <v>2.31</v>
      </c>
      <c r="L3816">
        <v>13359.24</v>
      </c>
      <c r="M3816" t="s">
        <v>7372</v>
      </c>
      <c r="N3816" t="s">
        <v>147</v>
      </c>
      <c r="O3816">
        <v>13.2</v>
      </c>
      <c r="P3816">
        <v>13.29</v>
      </c>
      <c r="Q3816">
        <v>12.81</v>
      </c>
      <c r="R3816">
        <v>13.26</v>
      </c>
      <c r="S3816">
        <v>24.43</v>
      </c>
      <c r="T3816">
        <v>0.99</v>
      </c>
      <c r="U3816" t="s">
        <v>196</v>
      </c>
    </row>
    <row r="3817" spans="1:21">
      <c r="A3817" t="str">
        <f>"603486"</f>
        <v>603486</v>
      </c>
      <c r="B3817" t="s">
        <v>7373</v>
      </c>
      <c r="C3817">
        <v>-0.12</v>
      </c>
      <c r="D3817">
        <v>172.8</v>
      </c>
      <c r="E3817">
        <v>-0.2</v>
      </c>
      <c r="F3817">
        <v>172.8</v>
      </c>
      <c r="G3817">
        <v>172.85</v>
      </c>
      <c r="H3817">
        <v>20059</v>
      </c>
      <c r="I3817">
        <v>315</v>
      </c>
      <c r="J3817">
        <v>-0.11</v>
      </c>
      <c r="K3817">
        <v>0.36</v>
      </c>
      <c r="L3817">
        <v>34804.14</v>
      </c>
      <c r="M3817" t="s">
        <v>7374</v>
      </c>
      <c r="N3817" t="s">
        <v>60</v>
      </c>
      <c r="O3817">
        <v>174.95</v>
      </c>
      <c r="P3817">
        <v>176.52</v>
      </c>
      <c r="Q3817">
        <v>171.22</v>
      </c>
      <c r="R3817">
        <v>173</v>
      </c>
      <c r="S3817">
        <v>55.72</v>
      </c>
      <c r="T3817">
        <v>0.56</v>
      </c>
      <c r="U3817" t="s">
        <v>102</v>
      </c>
    </row>
    <row r="3818" spans="1:21">
      <c r="A3818" t="str">
        <f>"603488"</f>
        <v>603488</v>
      </c>
      <c r="B3818" t="s">
        <v>7375</v>
      </c>
      <c r="C3818">
        <v>-1.06</v>
      </c>
      <c r="D3818">
        <v>8.41</v>
      </c>
      <c r="E3818">
        <v>-0.09</v>
      </c>
      <c r="F3818">
        <v>8.4</v>
      </c>
      <c r="G3818">
        <v>8.41</v>
      </c>
      <c r="H3818">
        <v>58090</v>
      </c>
      <c r="I3818">
        <v>971</v>
      </c>
      <c r="J3818">
        <v>0.12</v>
      </c>
      <c r="K3818">
        <v>1.99</v>
      </c>
      <c r="L3818">
        <v>4913.45</v>
      </c>
      <c r="M3818" t="s">
        <v>7376</v>
      </c>
      <c r="N3818" t="s">
        <v>47</v>
      </c>
      <c r="O3818">
        <v>8.55</v>
      </c>
      <c r="P3818">
        <v>8.59</v>
      </c>
      <c r="Q3818">
        <v>8.38</v>
      </c>
      <c r="R3818">
        <v>8.5</v>
      </c>
      <c r="S3818">
        <v>34.26</v>
      </c>
      <c r="T3818">
        <v>0.57</v>
      </c>
      <c r="U3818" t="s">
        <v>102</v>
      </c>
    </row>
    <row r="3819" spans="1:21">
      <c r="A3819" t="str">
        <f>"603489"</f>
        <v>603489</v>
      </c>
      <c r="B3819" t="s">
        <v>7377</v>
      </c>
      <c r="C3819">
        <v>10</v>
      </c>
      <c r="D3819">
        <v>253.2</v>
      </c>
      <c r="E3819">
        <v>23.02</v>
      </c>
      <c r="F3819">
        <v>253.2</v>
      </c>
      <c r="G3819" t="s">
        <v>40</v>
      </c>
      <c r="H3819">
        <v>8475</v>
      </c>
      <c r="I3819">
        <v>8</v>
      </c>
      <c r="J3819">
        <v>0</v>
      </c>
      <c r="K3819">
        <v>1.19</v>
      </c>
      <c r="L3819">
        <v>21325.21</v>
      </c>
      <c r="M3819" t="s">
        <v>7378</v>
      </c>
      <c r="N3819" t="s">
        <v>47</v>
      </c>
      <c r="O3819">
        <v>243.89</v>
      </c>
      <c r="P3819">
        <v>253.2</v>
      </c>
      <c r="Q3819">
        <v>243.5</v>
      </c>
      <c r="R3819">
        <v>230.18</v>
      </c>
      <c r="S3819">
        <v>52.64</v>
      </c>
      <c r="T3819">
        <v>2.94</v>
      </c>
      <c r="U3819" t="s">
        <v>102</v>
      </c>
    </row>
    <row r="3820" spans="1:21">
      <c r="A3820" t="str">
        <f>"603496"</f>
        <v>603496</v>
      </c>
      <c r="B3820" t="s">
        <v>7379</v>
      </c>
      <c r="C3820">
        <v>0.76</v>
      </c>
      <c r="D3820">
        <v>14.62</v>
      </c>
      <c r="E3820">
        <v>0.11</v>
      </c>
      <c r="F3820">
        <v>14.6</v>
      </c>
      <c r="G3820">
        <v>14.62</v>
      </c>
      <c r="H3820">
        <v>20211</v>
      </c>
      <c r="I3820">
        <v>220</v>
      </c>
      <c r="J3820">
        <v>0.34</v>
      </c>
      <c r="K3820">
        <v>1.02</v>
      </c>
      <c r="L3820">
        <v>2932.87</v>
      </c>
      <c r="M3820" t="s">
        <v>7380</v>
      </c>
      <c r="N3820" t="s">
        <v>72</v>
      </c>
      <c r="O3820">
        <v>14.5</v>
      </c>
      <c r="P3820">
        <v>14.7</v>
      </c>
      <c r="Q3820">
        <v>14.31</v>
      </c>
      <c r="R3820">
        <v>14.51</v>
      </c>
      <c r="S3820">
        <v>55.5</v>
      </c>
      <c r="T3820">
        <v>0.89</v>
      </c>
      <c r="U3820" t="s">
        <v>848</v>
      </c>
    </row>
    <row r="3821" spans="1:21">
      <c r="A3821" t="str">
        <f>"603499"</f>
        <v>603499</v>
      </c>
      <c r="B3821" t="s">
        <v>7381</v>
      </c>
      <c r="C3821">
        <v>1.53</v>
      </c>
      <c r="D3821">
        <v>7.95</v>
      </c>
      <c r="E3821">
        <v>0.12</v>
      </c>
      <c r="F3821">
        <v>7.95</v>
      </c>
      <c r="G3821">
        <v>7.96</v>
      </c>
      <c r="H3821">
        <v>17525</v>
      </c>
      <c r="I3821">
        <v>252</v>
      </c>
      <c r="J3821">
        <v>0.38</v>
      </c>
      <c r="K3821">
        <v>0.87</v>
      </c>
      <c r="L3821">
        <v>1384.92</v>
      </c>
      <c r="M3821" t="s">
        <v>7382</v>
      </c>
      <c r="N3821" t="s">
        <v>482</v>
      </c>
      <c r="O3821">
        <v>7.81</v>
      </c>
      <c r="P3821">
        <v>7.98</v>
      </c>
      <c r="Q3821">
        <v>7.76</v>
      </c>
      <c r="R3821">
        <v>7.83</v>
      </c>
      <c r="S3821" t="s">
        <v>40</v>
      </c>
      <c r="T3821">
        <v>1.22</v>
      </c>
      <c r="U3821" t="s">
        <v>848</v>
      </c>
    </row>
    <row r="3822" spans="1:21">
      <c r="A3822" t="str">
        <f>"603500"</f>
        <v>603500</v>
      </c>
      <c r="B3822" t="s">
        <v>7383</v>
      </c>
      <c r="C3822">
        <v>5.29</v>
      </c>
      <c r="D3822">
        <v>9.35</v>
      </c>
      <c r="E3822">
        <v>0.47</v>
      </c>
      <c r="F3822">
        <v>9.34</v>
      </c>
      <c r="G3822">
        <v>9.35</v>
      </c>
      <c r="H3822">
        <v>44462</v>
      </c>
      <c r="I3822">
        <v>382</v>
      </c>
      <c r="J3822">
        <v>0.21</v>
      </c>
      <c r="K3822">
        <v>1.81</v>
      </c>
      <c r="L3822">
        <v>4101.98</v>
      </c>
      <c r="M3822" t="s">
        <v>7384</v>
      </c>
      <c r="N3822" t="s">
        <v>43</v>
      </c>
      <c r="O3822">
        <v>8.9</v>
      </c>
      <c r="P3822">
        <v>9.37</v>
      </c>
      <c r="Q3822">
        <v>8.9</v>
      </c>
      <c r="R3822">
        <v>8.88</v>
      </c>
      <c r="S3822">
        <v>36.2</v>
      </c>
      <c r="T3822">
        <v>1.85</v>
      </c>
      <c r="U3822" t="s">
        <v>200</v>
      </c>
    </row>
    <row r="3823" spans="1:21">
      <c r="A3823" t="str">
        <f>"603501"</f>
        <v>603501</v>
      </c>
      <c r="B3823" t="s">
        <v>7385</v>
      </c>
      <c r="C3823">
        <v>1.65</v>
      </c>
      <c r="D3823">
        <v>269</v>
      </c>
      <c r="E3823">
        <v>4.36</v>
      </c>
      <c r="F3823">
        <v>268.99</v>
      </c>
      <c r="G3823">
        <v>269</v>
      </c>
      <c r="H3823">
        <v>51027</v>
      </c>
      <c r="I3823">
        <v>1125</v>
      </c>
      <c r="J3823">
        <v>0.37</v>
      </c>
      <c r="K3823">
        <v>0.65</v>
      </c>
      <c r="L3823">
        <v>135761.11</v>
      </c>
      <c r="M3823" t="s">
        <v>7386</v>
      </c>
      <c r="N3823" t="s">
        <v>1246</v>
      </c>
      <c r="O3823">
        <v>264.2</v>
      </c>
      <c r="P3823">
        <v>269.62</v>
      </c>
      <c r="Q3823">
        <v>262.01</v>
      </c>
      <c r="R3823">
        <v>264.64</v>
      </c>
      <c r="S3823">
        <v>49.83</v>
      </c>
      <c r="T3823">
        <v>1.04</v>
      </c>
      <c r="U3823" t="s">
        <v>848</v>
      </c>
    </row>
    <row r="3824" spans="1:21">
      <c r="A3824" t="str">
        <f>"603505"</f>
        <v>603505</v>
      </c>
      <c r="B3824" t="s">
        <v>7387</v>
      </c>
      <c r="C3824">
        <v>-0.28</v>
      </c>
      <c r="D3824">
        <v>39.89</v>
      </c>
      <c r="E3824">
        <v>-0.11</v>
      </c>
      <c r="F3824">
        <v>39.88</v>
      </c>
      <c r="G3824">
        <v>39.89</v>
      </c>
      <c r="H3824">
        <v>52861</v>
      </c>
      <c r="I3824">
        <v>281</v>
      </c>
      <c r="J3824">
        <v>-0.02</v>
      </c>
      <c r="K3824">
        <v>1.71</v>
      </c>
      <c r="L3824">
        <v>21205.01</v>
      </c>
      <c r="M3824" t="s">
        <v>7388</v>
      </c>
      <c r="N3824" t="s">
        <v>750</v>
      </c>
      <c r="O3824">
        <v>39.2</v>
      </c>
      <c r="P3824">
        <v>40.69</v>
      </c>
      <c r="Q3824">
        <v>39.18</v>
      </c>
      <c r="R3824">
        <v>40</v>
      </c>
      <c r="S3824">
        <v>54.95</v>
      </c>
      <c r="T3824">
        <v>0.57</v>
      </c>
      <c r="U3824" t="s">
        <v>200</v>
      </c>
    </row>
    <row r="3825" spans="1:21">
      <c r="A3825" t="str">
        <f>"603506"</f>
        <v>603506</v>
      </c>
      <c r="B3825" t="s">
        <v>7389</v>
      </c>
      <c r="C3825">
        <v>2.49</v>
      </c>
      <c r="D3825">
        <v>15.23</v>
      </c>
      <c r="E3825">
        <v>0.37</v>
      </c>
      <c r="F3825">
        <v>15.22</v>
      </c>
      <c r="G3825">
        <v>15.23</v>
      </c>
      <c r="H3825">
        <v>7304</v>
      </c>
      <c r="I3825">
        <v>97</v>
      </c>
      <c r="J3825">
        <v>0.13</v>
      </c>
      <c r="K3825">
        <v>0.39</v>
      </c>
      <c r="L3825">
        <v>1103.4</v>
      </c>
      <c r="M3825" t="s">
        <v>7390</v>
      </c>
      <c r="N3825" t="s">
        <v>134</v>
      </c>
      <c r="O3825">
        <v>14.86</v>
      </c>
      <c r="P3825">
        <v>15.33</v>
      </c>
      <c r="Q3825">
        <v>14.85</v>
      </c>
      <c r="R3825">
        <v>14.86</v>
      </c>
      <c r="S3825">
        <v>15.88</v>
      </c>
      <c r="T3825">
        <v>0.63</v>
      </c>
      <c r="U3825" t="s">
        <v>200</v>
      </c>
    </row>
    <row r="3826" spans="1:21">
      <c r="A3826" t="str">
        <f>"603507"</f>
        <v>603507</v>
      </c>
      <c r="B3826" t="s">
        <v>7391</v>
      </c>
      <c r="C3826">
        <v>-2.51</v>
      </c>
      <c r="D3826">
        <v>52.45</v>
      </c>
      <c r="E3826">
        <v>-1.35</v>
      </c>
      <c r="F3826">
        <v>52.45</v>
      </c>
      <c r="G3826">
        <v>52.49</v>
      </c>
      <c r="H3826">
        <v>66625</v>
      </c>
      <c r="I3826">
        <v>1028</v>
      </c>
      <c r="J3826">
        <v>0.25</v>
      </c>
      <c r="K3826">
        <v>5.36</v>
      </c>
      <c r="L3826">
        <v>34684.76</v>
      </c>
      <c r="M3826" t="s">
        <v>7392</v>
      </c>
      <c r="N3826" t="s">
        <v>724</v>
      </c>
      <c r="O3826">
        <v>53.41</v>
      </c>
      <c r="P3826">
        <v>53.48</v>
      </c>
      <c r="Q3826">
        <v>50.71</v>
      </c>
      <c r="R3826">
        <v>53.8</v>
      </c>
      <c r="S3826">
        <v>37.78</v>
      </c>
      <c r="T3826">
        <v>1.01</v>
      </c>
      <c r="U3826" t="s">
        <v>102</v>
      </c>
    </row>
    <row r="3827" spans="1:21">
      <c r="A3827" t="str">
        <f>"603508"</f>
        <v>603508</v>
      </c>
      <c r="B3827" t="s">
        <v>7393</v>
      </c>
      <c r="C3827">
        <v>1.57</v>
      </c>
      <c r="D3827">
        <v>21.34</v>
      </c>
      <c r="E3827">
        <v>0.33</v>
      </c>
      <c r="F3827">
        <v>21.34</v>
      </c>
      <c r="G3827">
        <v>21.35</v>
      </c>
      <c r="H3827">
        <v>11480</v>
      </c>
      <c r="I3827">
        <v>445</v>
      </c>
      <c r="J3827">
        <v>-0.04</v>
      </c>
      <c r="K3827">
        <v>0.5</v>
      </c>
      <c r="L3827">
        <v>2436.31</v>
      </c>
      <c r="M3827" t="s">
        <v>7394</v>
      </c>
      <c r="N3827" t="s">
        <v>30</v>
      </c>
      <c r="O3827">
        <v>21.04</v>
      </c>
      <c r="P3827">
        <v>21.45</v>
      </c>
      <c r="Q3827">
        <v>20.89</v>
      </c>
      <c r="R3827">
        <v>21.01</v>
      </c>
      <c r="S3827">
        <v>16.63</v>
      </c>
      <c r="T3827">
        <v>0.85</v>
      </c>
      <c r="U3827" t="s">
        <v>224</v>
      </c>
    </row>
    <row r="3828" spans="1:21">
      <c r="A3828" t="str">
        <f>"603511"</f>
        <v>603511</v>
      </c>
      <c r="B3828" t="s">
        <v>7395</v>
      </c>
      <c r="C3828">
        <v>0.59</v>
      </c>
      <c r="D3828">
        <v>22.3</v>
      </c>
      <c r="E3828">
        <v>0.13</v>
      </c>
      <c r="F3828">
        <v>22.29</v>
      </c>
      <c r="G3828">
        <v>22.3</v>
      </c>
      <c r="H3828">
        <v>11278</v>
      </c>
      <c r="I3828">
        <v>600</v>
      </c>
      <c r="J3828">
        <v>0.41</v>
      </c>
      <c r="K3828">
        <v>2.82</v>
      </c>
      <c r="L3828">
        <v>2485.8</v>
      </c>
      <c r="M3828" t="s">
        <v>7396</v>
      </c>
      <c r="N3828" t="s">
        <v>1061</v>
      </c>
      <c r="O3828">
        <v>22.16</v>
      </c>
      <c r="P3828">
        <v>22.3</v>
      </c>
      <c r="Q3828">
        <v>21.85</v>
      </c>
      <c r="R3828">
        <v>22.17</v>
      </c>
      <c r="S3828">
        <v>25.83</v>
      </c>
      <c r="T3828">
        <v>0.84</v>
      </c>
      <c r="U3828" t="s">
        <v>44</v>
      </c>
    </row>
    <row r="3829" spans="1:21">
      <c r="A3829" t="str">
        <f>"603515"</f>
        <v>603515</v>
      </c>
      <c r="B3829" t="s">
        <v>7397</v>
      </c>
      <c r="C3829">
        <v>0.25</v>
      </c>
      <c r="D3829">
        <v>19.67</v>
      </c>
      <c r="E3829">
        <v>0.05</v>
      </c>
      <c r="F3829">
        <v>19.66</v>
      </c>
      <c r="G3829">
        <v>19.67</v>
      </c>
      <c r="H3829">
        <v>21926</v>
      </c>
      <c r="I3829">
        <v>270</v>
      </c>
      <c r="J3829">
        <v>-0.09</v>
      </c>
      <c r="K3829">
        <v>0.29</v>
      </c>
      <c r="L3829">
        <v>4295.15</v>
      </c>
      <c r="M3829" t="s">
        <v>7398</v>
      </c>
      <c r="N3829" t="s">
        <v>47</v>
      </c>
      <c r="O3829">
        <v>19.53</v>
      </c>
      <c r="P3829">
        <v>19.78</v>
      </c>
      <c r="Q3829">
        <v>19.43</v>
      </c>
      <c r="R3829">
        <v>19.62</v>
      </c>
      <c r="S3829">
        <v>17.84</v>
      </c>
      <c r="T3829">
        <v>0.97</v>
      </c>
      <c r="U3829" t="s">
        <v>848</v>
      </c>
    </row>
    <row r="3830" spans="1:21">
      <c r="A3830" t="str">
        <f>"603516"</f>
        <v>603516</v>
      </c>
      <c r="B3830" t="s">
        <v>7399</v>
      </c>
      <c r="C3830">
        <v>2.08</v>
      </c>
      <c r="D3830">
        <v>17.7</v>
      </c>
      <c r="E3830">
        <v>0.36</v>
      </c>
      <c r="F3830">
        <v>17.7</v>
      </c>
      <c r="G3830">
        <v>17.71</v>
      </c>
      <c r="H3830">
        <v>8361</v>
      </c>
      <c r="I3830">
        <v>64</v>
      </c>
      <c r="J3830">
        <v>-0.05</v>
      </c>
      <c r="K3830">
        <v>0.45</v>
      </c>
      <c r="L3830">
        <v>1474.2</v>
      </c>
      <c r="M3830" t="s">
        <v>1160</v>
      </c>
      <c r="N3830" t="s">
        <v>153</v>
      </c>
      <c r="O3830">
        <v>17.38</v>
      </c>
      <c r="P3830">
        <v>17.8</v>
      </c>
      <c r="Q3830">
        <v>17.38</v>
      </c>
      <c r="R3830">
        <v>17.34</v>
      </c>
      <c r="S3830">
        <v>48.51</v>
      </c>
      <c r="T3830">
        <v>0.58</v>
      </c>
      <c r="U3830" t="s">
        <v>44</v>
      </c>
    </row>
    <row r="3831" spans="1:21">
      <c r="A3831" t="str">
        <f>"603517"</f>
        <v>603517</v>
      </c>
      <c r="B3831" t="s">
        <v>7400</v>
      </c>
      <c r="C3831">
        <v>-0.03</v>
      </c>
      <c r="D3831">
        <v>65.48</v>
      </c>
      <c r="E3831">
        <v>-0.02</v>
      </c>
      <c r="F3831">
        <v>65.48</v>
      </c>
      <c r="G3831">
        <v>65.49</v>
      </c>
      <c r="H3831">
        <v>51318</v>
      </c>
      <c r="I3831">
        <v>257</v>
      </c>
      <c r="J3831">
        <v>-0.01</v>
      </c>
      <c r="K3831">
        <v>0.84</v>
      </c>
      <c r="L3831">
        <v>33631.16</v>
      </c>
      <c r="M3831" t="s">
        <v>7401</v>
      </c>
      <c r="N3831" t="s">
        <v>299</v>
      </c>
      <c r="O3831">
        <v>66</v>
      </c>
      <c r="P3831">
        <v>66.48</v>
      </c>
      <c r="Q3831">
        <v>64.81</v>
      </c>
      <c r="R3831">
        <v>65.5</v>
      </c>
      <c r="S3831">
        <v>31.29</v>
      </c>
      <c r="T3831">
        <v>0.71</v>
      </c>
      <c r="U3831" t="s">
        <v>204</v>
      </c>
    </row>
    <row r="3832" spans="1:21">
      <c r="A3832" t="str">
        <f>"603518"</f>
        <v>603518</v>
      </c>
      <c r="B3832" t="s">
        <v>7402</v>
      </c>
      <c r="C3832">
        <v>-0.25</v>
      </c>
      <c r="D3832">
        <v>11.8</v>
      </c>
      <c r="E3832">
        <v>-0.03</v>
      </c>
      <c r="F3832">
        <v>11.8</v>
      </c>
      <c r="G3832">
        <v>11.81</v>
      </c>
      <c r="H3832">
        <v>33639</v>
      </c>
      <c r="I3832">
        <v>238</v>
      </c>
      <c r="J3832">
        <v>0</v>
      </c>
      <c r="K3832">
        <v>1.13</v>
      </c>
      <c r="L3832">
        <v>3937.51</v>
      </c>
      <c r="M3832" t="s">
        <v>7403</v>
      </c>
      <c r="N3832" t="s">
        <v>1061</v>
      </c>
      <c r="O3832">
        <v>11.84</v>
      </c>
      <c r="P3832">
        <v>11.85</v>
      </c>
      <c r="Q3832">
        <v>11.59</v>
      </c>
      <c r="R3832">
        <v>11.83</v>
      </c>
      <c r="S3832">
        <v>18.67</v>
      </c>
      <c r="T3832">
        <v>0.95</v>
      </c>
      <c r="U3832" t="s">
        <v>102</v>
      </c>
    </row>
    <row r="3833" spans="1:21">
      <c r="A3833" t="str">
        <f>"603519"</f>
        <v>603519</v>
      </c>
      <c r="B3833" t="s">
        <v>7404</v>
      </c>
      <c r="C3833">
        <v>3.33</v>
      </c>
      <c r="D3833">
        <v>14.6</v>
      </c>
      <c r="E3833">
        <v>0.47</v>
      </c>
      <c r="F3833">
        <v>14.59</v>
      </c>
      <c r="G3833">
        <v>14.6</v>
      </c>
      <c r="H3833">
        <v>42270</v>
      </c>
      <c r="I3833">
        <v>571</v>
      </c>
      <c r="J3833">
        <v>0.14</v>
      </c>
      <c r="K3833">
        <v>1.59</v>
      </c>
      <c r="L3833">
        <v>6103.79</v>
      </c>
      <c r="M3833" t="s">
        <v>937</v>
      </c>
      <c r="N3833" t="s">
        <v>60</v>
      </c>
      <c r="O3833">
        <v>14.27</v>
      </c>
      <c r="P3833">
        <v>14.61</v>
      </c>
      <c r="Q3833">
        <v>14.03</v>
      </c>
      <c r="R3833">
        <v>14.13</v>
      </c>
      <c r="S3833">
        <v>38.94</v>
      </c>
      <c r="T3833">
        <v>1.54</v>
      </c>
      <c r="U3833" t="s">
        <v>102</v>
      </c>
    </row>
    <row r="3834" spans="1:21">
      <c r="A3834" t="str">
        <f>"603520"</f>
        <v>603520</v>
      </c>
      <c r="B3834" t="s">
        <v>7405</v>
      </c>
      <c r="C3834">
        <v>0.37</v>
      </c>
      <c r="D3834">
        <v>62.61</v>
      </c>
      <c r="E3834">
        <v>0.23</v>
      </c>
      <c r="F3834">
        <v>62.6</v>
      </c>
      <c r="G3834">
        <v>62.61</v>
      </c>
      <c r="H3834">
        <v>33820</v>
      </c>
      <c r="I3834">
        <v>409</v>
      </c>
      <c r="J3834">
        <v>0.53</v>
      </c>
      <c r="K3834">
        <v>1.38</v>
      </c>
      <c r="L3834">
        <v>20931.46</v>
      </c>
      <c r="M3834" t="s">
        <v>7406</v>
      </c>
      <c r="N3834" t="s">
        <v>192</v>
      </c>
      <c r="O3834">
        <v>61.88</v>
      </c>
      <c r="P3834">
        <v>63.1</v>
      </c>
      <c r="Q3834">
        <v>60.12</v>
      </c>
      <c r="R3834">
        <v>62.38</v>
      </c>
      <c r="S3834">
        <v>52.42</v>
      </c>
      <c r="T3834">
        <v>1.06</v>
      </c>
      <c r="U3834" t="s">
        <v>200</v>
      </c>
    </row>
    <row r="3835" spans="1:21">
      <c r="A3835" t="str">
        <f>"603527"</f>
        <v>603527</v>
      </c>
      <c r="B3835" t="s">
        <v>7407</v>
      </c>
      <c r="C3835">
        <v>4.49</v>
      </c>
      <c r="D3835">
        <v>13.03</v>
      </c>
      <c r="E3835">
        <v>0.56</v>
      </c>
      <c r="F3835">
        <v>13.02</v>
      </c>
      <c r="G3835">
        <v>13.03</v>
      </c>
      <c r="H3835">
        <v>196231</v>
      </c>
      <c r="I3835">
        <v>2342</v>
      </c>
      <c r="J3835">
        <v>1.48</v>
      </c>
      <c r="K3835">
        <v>8.05</v>
      </c>
      <c r="L3835">
        <v>24725.4</v>
      </c>
      <c r="M3835" t="s">
        <v>1836</v>
      </c>
      <c r="N3835" t="s">
        <v>526</v>
      </c>
      <c r="O3835">
        <v>12.75</v>
      </c>
      <c r="P3835">
        <v>13.2</v>
      </c>
      <c r="Q3835">
        <v>11.99</v>
      </c>
      <c r="R3835">
        <v>12.47</v>
      </c>
      <c r="S3835">
        <v>22.23</v>
      </c>
      <c r="T3835">
        <v>3.04</v>
      </c>
      <c r="U3835" t="s">
        <v>193</v>
      </c>
    </row>
    <row r="3836" spans="1:21">
      <c r="A3836" t="str">
        <f>"603528"</f>
        <v>603528</v>
      </c>
      <c r="B3836" t="s">
        <v>7408</v>
      </c>
      <c r="C3836">
        <v>0.15</v>
      </c>
      <c r="D3836">
        <v>6.61</v>
      </c>
      <c r="E3836">
        <v>0.01</v>
      </c>
      <c r="F3836">
        <v>6.61</v>
      </c>
      <c r="G3836">
        <v>6.62</v>
      </c>
      <c r="H3836">
        <v>21587</v>
      </c>
      <c r="I3836">
        <v>173</v>
      </c>
      <c r="J3836">
        <v>-0.29</v>
      </c>
      <c r="K3836">
        <v>0.35</v>
      </c>
      <c r="L3836">
        <v>1417.81</v>
      </c>
      <c r="M3836" t="s">
        <v>7409</v>
      </c>
      <c r="N3836" t="s">
        <v>30</v>
      </c>
      <c r="O3836">
        <v>6.6</v>
      </c>
      <c r="P3836">
        <v>6.65</v>
      </c>
      <c r="Q3836">
        <v>6.49</v>
      </c>
      <c r="R3836">
        <v>6.6</v>
      </c>
      <c r="S3836">
        <v>204.76</v>
      </c>
      <c r="T3836">
        <v>1.03</v>
      </c>
      <c r="U3836" t="s">
        <v>102</v>
      </c>
    </row>
    <row r="3837" spans="1:21">
      <c r="A3837" t="str">
        <f>"603529"</f>
        <v>603529</v>
      </c>
      <c r="B3837" t="s">
        <v>7410</v>
      </c>
      <c r="C3837">
        <v>-0.82</v>
      </c>
      <c r="D3837">
        <v>40.03</v>
      </c>
      <c r="E3837">
        <v>-0.33</v>
      </c>
      <c r="F3837">
        <v>40.03</v>
      </c>
      <c r="G3837">
        <v>40.04</v>
      </c>
      <c r="H3837">
        <v>22798</v>
      </c>
      <c r="I3837">
        <v>455</v>
      </c>
      <c r="J3837">
        <v>-0.24</v>
      </c>
      <c r="K3837">
        <v>3.51</v>
      </c>
      <c r="L3837">
        <v>9120.27</v>
      </c>
      <c r="M3837" t="s">
        <v>7411</v>
      </c>
      <c r="N3837" t="s">
        <v>917</v>
      </c>
      <c r="O3837">
        <v>40.06</v>
      </c>
      <c r="P3837">
        <v>40.44</v>
      </c>
      <c r="Q3837">
        <v>39.7</v>
      </c>
      <c r="R3837">
        <v>40.36</v>
      </c>
      <c r="S3837">
        <v>20.98</v>
      </c>
      <c r="T3837">
        <v>0.51</v>
      </c>
      <c r="U3837" t="s">
        <v>360</v>
      </c>
    </row>
    <row r="3838" spans="1:21">
      <c r="A3838" t="str">
        <f>"603530"</f>
        <v>603530</v>
      </c>
      <c r="B3838" t="s">
        <v>7412</v>
      </c>
      <c r="C3838">
        <v>2</v>
      </c>
      <c r="D3838">
        <v>19.9</v>
      </c>
      <c r="E3838">
        <v>0.39</v>
      </c>
      <c r="F3838">
        <v>19.89</v>
      </c>
      <c r="G3838">
        <v>19.9</v>
      </c>
      <c r="H3838">
        <v>37582</v>
      </c>
      <c r="I3838">
        <v>749</v>
      </c>
      <c r="J3838">
        <v>0.15</v>
      </c>
      <c r="K3838">
        <v>9.39</v>
      </c>
      <c r="L3838">
        <v>7342.59</v>
      </c>
      <c r="M3838" t="s">
        <v>7413</v>
      </c>
      <c r="N3838" t="s">
        <v>47</v>
      </c>
      <c r="O3838">
        <v>19.39</v>
      </c>
      <c r="P3838">
        <v>19.96</v>
      </c>
      <c r="Q3838">
        <v>19.06</v>
      </c>
      <c r="R3838">
        <v>19.51</v>
      </c>
      <c r="S3838">
        <v>101.3</v>
      </c>
      <c r="T3838">
        <v>0.88</v>
      </c>
      <c r="U3838" t="s">
        <v>102</v>
      </c>
    </row>
    <row r="3839" spans="1:21">
      <c r="A3839" t="str">
        <f>"603533"</f>
        <v>603533</v>
      </c>
      <c r="B3839" t="s">
        <v>7414</v>
      </c>
      <c r="C3839">
        <v>0.62</v>
      </c>
      <c r="D3839">
        <v>21.01</v>
      </c>
      <c r="E3839">
        <v>0.13</v>
      </c>
      <c r="F3839">
        <v>21.01</v>
      </c>
      <c r="G3839">
        <v>21.02</v>
      </c>
      <c r="H3839">
        <v>55748</v>
      </c>
      <c r="I3839">
        <v>1381</v>
      </c>
      <c r="J3839">
        <v>0.05</v>
      </c>
      <c r="K3839">
        <v>1.27</v>
      </c>
      <c r="L3839">
        <v>11673.5</v>
      </c>
      <c r="M3839" t="s">
        <v>7415</v>
      </c>
      <c r="N3839" t="s">
        <v>479</v>
      </c>
      <c r="O3839">
        <v>20.83</v>
      </c>
      <c r="P3839">
        <v>21.1</v>
      </c>
      <c r="Q3839">
        <v>20.6</v>
      </c>
      <c r="R3839">
        <v>20.88</v>
      </c>
      <c r="S3839">
        <v>46.5</v>
      </c>
      <c r="T3839">
        <v>0.45</v>
      </c>
      <c r="U3839" t="s">
        <v>44</v>
      </c>
    </row>
    <row r="3840" spans="1:21">
      <c r="A3840" t="str">
        <f>"603535"</f>
        <v>603535</v>
      </c>
      <c r="B3840" t="s">
        <v>7416</v>
      </c>
      <c r="C3840">
        <v>2.97</v>
      </c>
      <c r="D3840">
        <v>32.54</v>
      </c>
      <c r="E3840">
        <v>0.94</v>
      </c>
      <c r="F3840">
        <v>32.53</v>
      </c>
      <c r="G3840">
        <v>32.54</v>
      </c>
      <c r="H3840">
        <v>11993</v>
      </c>
      <c r="I3840">
        <v>308</v>
      </c>
      <c r="J3840">
        <v>-0.17</v>
      </c>
      <c r="K3840">
        <v>0.8</v>
      </c>
      <c r="L3840">
        <v>3892.74</v>
      </c>
      <c r="M3840" t="s">
        <v>3985</v>
      </c>
      <c r="N3840" t="s">
        <v>1049</v>
      </c>
      <c r="O3840">
        <v>31.48</v>
      </c>
      <c r="P3840">
        <v>33.07</v>
      </c>
      <c r="Q3840">
        <v>31.35</v>
      </c>
      <c r="R3840">
        <v>31.6</v>
      </c>
      <c r="S3840">
        <v>24.53</v>
      </c>
      <c r="T3840">
        <v>1.72</v>
      </c>
      <c r="U3840" t="s">
        <v>183</v>
      </c>
    </row>
    <row r="3841" spans="1:21">
      <c r="A3841" t="str">
        <f>"603536"</f>
        <v>603536</v>
      </c>
      <c r="B3841" t="s">
        <v>7417</v>
      </c>
      <c r="C3841">
        <v>0.42</v>
      </c>
      <c r="D3841">
        <v>9.59</v>
      </c>
      <c r="E3841">
        <v>0.04</v>
      </c>
      <c r="F3841">
        <v>9.59</v>
      </c>
      <c r="G3841">
        <v>9.6</v>
      </c>
      <c r="H3841">
        <v>23672</v>
      </c>
      <c r="I3841">
        <v>244</v>
      </c>
      <c r="J3841">
        <v>-0.2</v>
      </c>
      <c r="K3841">
        <v>1.41</v>
      </c>
      <c r="L3841">
        <v>2252.07</v>
      </c>
      <c r="M3841" t="s">
        <v>7418</v>
      </c>
      <c r="N3841" t="s">
        <v>299</v>
      </c>
      <c r="O3841">
        <v>9.54</v>
      </c>
      <c r="P3841">
        <v>9.67</v>
      </c>
      <c r="Q3841">
        <v>9.33</v>
      </c>
      <c r="R3841">
        <v>9.55</v>
      </c>
      <c r="S3841" t="s">
        <v>40</v>
      </c>
      <c r="T3841">
        <v>0.77</v>
      </c>
      <c r="U3841" t="s">
        <v>221</v>
      </c>
    </row>
    <row r="3842" spans="1:21">
      <c r="A3842" t="str">
        <f>"603538"</f>
        <v>603538</v>
      </c>
      <c r="B3842" t="s">
        <v>7419</v>
      </c>
      <c r="C3842">
        <v>2.15</v>
      </c>
      <c r="D3842">
        <v>32.75</v>
      </c>
      <c r="E3842">
        <v>0.69</v>
      </c>
      <c r="F3842">
        <v>32.74</v>
      </c>
      <c r="G3842">
        <v>32.75</v>
      </c>
      <c r="H3842">
        <v>33470</v>
      </c>
      <c r="I3842">
        <v>256</v>
      </c>
      <c r="J3842">
        <v>0</v>
      </c>
      <c r="K3842">
        <v>2.24</v>
      </c>
      <c r="L3842">
        <v>10823.67</v>
      </c>
      <c r="M3842" t="s">
        <v>3385</v>
      </c>
      <c r="N3842" t="s">
        <v>192</v>
      </c>
      <c r="O3842">
        <v>32.1</v>
      </c>
      <c r="P3842">
        <v>32.8</v>
      </c>
      <c r="Q3842">
        <v>31.61</v>
      </c>
      <c r="R3842">
        <v>32.06</v>
      </c>
      <c r="S3842">
        <v>27.14</v>
      </c>
      <c r="T3842">
        <v>0.88</v>
      </c>
      <c r="U3842" t="s">
        <v>200</v>
      </c>
    </row>
    <row r="3843" spans="1:21">
      <c r="A3843" t="str">
        <f>"603551"</f>
        <v>603551</v>
      </c>
      <c r="B3843" t="s">
        <v>7420</v>
      </c>
      <c r="C3843">
        <v>2.98</v>
      </c>
      <c r="D3843">
        <v>10.7</v>
      </c>
      <c r="E3843">
        <v>0.31</v>
      </c>
      <c r="F3843">
        <v>10.69</v>
      </c>
      <c r="G3843">
        <v>10.7</v>
      </c>
      <c r="H3843">
        <v>17218</v>
      </c>
      <c r="I3843">
        <v>437</v>
      </c>
      <c r="J3843">
        <v>0</v>
      </c>
      <c r="K3843">
        <v>1.29</v>
      </c>
      <c r="L3843">
        <v>1828.81</v>
      </c>
      <c r="M3843" t="s">
        <v>7421</v>
      </c>
      <c r="N3843" t="s">
        <v>910</v>
      </c>
      <c r="O3843">
        <v>10.27</v>
      </c>
      <c r="P3843">
        <v>10.76</v>
      </c>
      <c r="Q3843">
        <v>10.27</v>
      </c>
      <c r="R3843">
        <v>10.39</v>
      </c>
      <c r="S3843">
        <v>23.17</v>
      </c>
      <c r="T3843">
        <v>2.39</v>
      </c>
      <c r="U3843" t="s">
        <v>200</v>
      </c>
    </row>
    <row r="3844" spans="1:21">
      <c r="A3844" t="str">
        <f>"603555"</f>
        <v>603555</v>
      </c>
      <c r="B3844" t="s">
        <v>7422</v>
      </c>
      <c r="C3844">
        <v>0.73</v>
      </c>
      <c r="D3844">
        <v>2.75</v>
      </c>
      <c r="E3844">
        <v>0.02</v>
      </c>
      <c r="F3844">
        <v>2.74</v>
      </c>
      <c r="G3844">
        <v>2.75</v>
      </c>
      <c r="H3844">
        <v>70547</v>
      </c>
      <c r="I3844">
        <v>639</v>
      </c>
      <c r="J3844">
        <v>0.36</v>
      </c>
      <c r="K3844">
        <v>0.45</v>
      </c>
      <c r="L3844">
        <v>1932.62</v>
      </c>
      <c r="M3844" t="s">
        <v>7423</v>
      </c>
      <c r="N3844" t="s">
        <v>1061</v>
      </c>
      <c r="O3844">
        <v>2.72</v>
      </c>
      <c r="P3844">
        <v>2.76</v>
      </c>
      <c r="Q3844">
        <v>2.71</v>
      </c>
      <c r="R3844">
        <v>2.73</v>
      </c>
      <c r="S3844">
        <v>8.11</v>
      </c>
      <c r="T3844">
        <v>0.89</v>
      </c>
      <c r="U3844" t="s">
        <v>339</v>
      </c>
    </row>
    <row r="3845" spans="1:21">
      <c r="A3845" t="str">
        <f>"603556"</f>
        <v>603556</v>
      </c>
      <c r="B3845" t="s">
        <v>7424</v>
      </c>
      <c r="C3845">
        <v>-2.36</v>
      </c>
      <c r="D3845">
        <v>13.64</v>
      </c>
      <c r="E3845">
        <v>-0.33</v>
      </c>
      <c r="F3845">
        <v>13.64</v>
      </c>
      <c r="G3845">
        <v>13.65</v>
      </c>
      <c r="H3845">
        <v>53992</v>
      </c>
      <c r="I3845">
        <v>1787</v>
      </c>
      <c r="J3845">
        <v>-0.14</v>
      </c>
      <c r="K3845">
        <v>1.1</v>
      </c>
      <c r="L3845">
        <v>7421</v>
      </c>
      <c r="M3845" t="s">
        <v>7425</v>
      </c>
      <c r="N3845" t="s">
        <v>1028</v>
      </c>
      <c r="O3845">
        <v>13.91</v>
      </c>
      <c r="P3845">
        <v>14.02</v>
      </c>
      <c r="Q3845">
        <v>13.64</v>
      </c>
      <c r="R3845">
        <v>13.97</v>
      </c>
      <c r="S3845">
        <v>28.14</v>
      </c>
      <c r="T3845">
        <v>0.57</v>
      </c>
      <c r="U3845" t="s">
        <v>200</v>
      </c>
    </row>
    <row r="3846" spans="1:21">
      <c r="A3846" t="str">
        <f>"603557"</f>
        <v>603557</v>
      </c>
      <c r="B3846" t="s">
        <v>7426</v>
      </c>
      <c r="C3846">
        <v>0</v>
      </c>
      <c r="D3846">
        <v>5.67</v>
      </c>
      <c r="E3846">
        <v>0</v>
      </c>
      <c r="F3846">
        <v>5.67</v>
      </c>
      <c r="G3846">
        <v>5.68</v>
      </c>
      <c r="H3846">
        <v>86916</v>
      </c>
      <c r="I3846">
        <v>1107</v>
      </c>
      <c r="J3846">
        <v>0.18</v>
      </c>
      <c r="K3846">
        <v>1.76</v>
      </c>
      <c r="L3846">
        <v>4948.15</v>
      </c>
      <c r="M3846" t="s">
        <v>7427</v>
      </c>
      <c r="N3846" t="s">
        <v>1061</v>
      </c>
      <c r="O3846">
        <v>5.71</v>
      </c>
      <c r="P3846">
        <v>5.81</v>
      </c>
      <c r="Q3846">
        <v>5.63</v>
      </c>
      <c r="R3846">
        <v>5.67</v>
      </c>
      <c r="S3846" t="s">
        <v>40</v>
      </c>
      <c r="T3846">
        <v>0.34</v>
      </c>
      <c r="U3846" t="s">
        <v>200</v>
      </c>
    </row>
    <row r="3847" spans="1:21">
      <c r="A3847" t="str">
        <f>"603558"</f>
        <v>603558</v>
      </c>
      <c r="B3847" t="s">
        <v>7428</v>
      </c>
      <c r="C3847">
        <v>6.89</v>
      </c>
      <c r="D3847">
        <v>11.95</v>
      </c>
      <c r="E3847">
        <v>0.77</v>
      </c>
      <c r="F3847">
        <v>11.94</v>
      </c>
      <c r="G3847">
        <v>11.95</v>
      </c>
      <c r="H3847">
        <v>161663</v>
      </c>
      <c r="I3847">
        <v>3463</v>
      </c>
      <c r="J3847">
        <v>0.5</v>
      </c>
      <c r="K3847">
        <v>4.11</v>
      </c>
      <c r="L3847">
        <v>18666.47</v>
      </c>
      <c r="M3847" t="s">
        <v>7429</v>
      </c>
      <c r="N3847" t="s">
        <v>664</v>
      </c>
      <c r="O3847">
        <v>10.95</v>
      </c>
      <c r="P3847">
        <v>12.03</v>
      </c>
      <c r="Q3847">
        <v>10.8</v>
      </c>
      <c r="R3847">
        <v>11.18</v>
      </c>
      <c r="S3847">
        <v>19.44</v>
      </c>
      <c r="T3847">
        <v>2.06</v>
      </c>
      <c r="U3847" t="s">
        <v>200</v>
      </c>
    </row>
    <row r="3848" spans="1:21">
      <c r="A3848" t="str">
        <f>"603559"</f>
        <v>603559</v>
      </c>
      <c r="B3848" t="s">
        <v>7430</v>
      </c>
      <c r="C3848">
        <v>0.74</v>
      </c>
      <c r="D3848">
        <v>12.2</v>
      </c>
      <c r="E3848">
        <v>0.09</v>
      </c>
      <c r="F3848">
        <v>12.18</v>
      </c>
      <c r="G3848">
        <v>12.2</v>
      </c>
      <c r="H3848">
        <v>32005</v>
      </c>
      <c r="I3848">
        <v>262</v>
      </c>
      <c r="J3848">
        <v>0.08</v>
      </c>
      <c r="K3848">
        <v>2.23</v>
      </c>
      <c r="L3848">
        <v>3888.36</v>
      </c>
      <c r="M3848" t="s">
        <v>7431</v>
      </c>
      <c r="N3848" t="s">
        <v>153</v>
      </c>
      <c r="O3848">
        <v>12.1</v>
      </c>
      <c r="P3848">
        <v>12.3</v>
      </c>
      <c r="Q3848">
        <v>12</v>
      </c>
      <c r="R3848">
        <v>12.11</v>
      </c>
      <c r="S3848" t="s">
        <v>40</v>
      </c>
      <c r="T3848">
        <v>1</v>
      </c>
      <c r="U3848" t="s">
        <v>92</v>
      </c>
    </row>
    <row r="3849" spans="1:21">
      <c r="A3849" t="str">
        <f>"603565"</f>
        <v>603565</v>
      </c>
      <c r="B3849" t="s">
        <v>7432</v>
      </c>
      <c r="C3849">
        <v>1.71</v>
      </c>
      <c r="D3849">
        <v>30.37</v>
      </c>
      <c r="E3849">
        <v>0.51</v>
      </c>
      <c r="F3849">
        <v>30.36</v>
      </c>
      <c r="G3849">
        <v>30.37</v>
      </c>
      <c r="H3849">
        <v>24659</v>
      </c>
      <c r="I3849">
        <v>387</v>
      </c>
      <c r="J3849">
        <v>-0.02</v>
      </c>
      <c r="K3849">
        <v>1.22</v>
      </c>
      <c r="L3849">
        <v>7473.67</v>
      </c>
      <c r="M3849" t="s">
        <v>7433</v>
      </c>
      <c r="N3849" t="s">
        <v>1049</v>
      </c>
      <c r="O3849">
        <v>29.83</v>
      </c>
      <c r="P3849">
        <v>30.59</v>
      </c>
      <c r="Q3849">
        <v>29.63</v>
      </c>
      <c r="R3849">
        <v>29.86</v>
      </c>
      <c r="S3849">
        <v>14.08</v>
      </c>
      <c r="T3849">
        <v>0.93</v>
      </c>
      <c r="U3849" t="s">
        <v>848</v>
      </c>
    </row>
    <row r="3850" spans="1:21">
      <c r="A3850" t="str">
        <f>"603566"</f>
        <v>603566</v>
      </c>
      <c r="B3850" t="s">
        <v>7434</v>
      </c>
      <c r="C3850">
        <v>1.87</v>
      </c>
      <c r="D3850">
        <v>19.6</v>
      </c>
      <c r="E3850">
        <v>0.36</v>
      </c>
      <c r="F3850">
        <v>19.59</v>
      </c>
      <c r="G3850">
        <v>19.6</v>
      </c>
      <c r="H3850">
        <v>32350</v>
      </c>
      <c r="I3850">
        <v>527</v>
      </c>
      <c r="J3850">
        <v>0.15</v>
      </c>
      <c r="K3850">
        <v>1.01</v>
      </c>
      <c r="L3850">
        <v>6307.46</v>
      </c>
      <c r="M3850" t="s">
        <v>7435</v>
      </c>
      <c r="N3850" t="s">
        <v>147</v>
      </c>
      <c r="O3850">
        <v>19.21</v>
      </c>
      <c r="P3850">
        <v>19.66</v>
      </c>
      <c r="Q3850">
        <v>19.21</v>
      </c>
      <c r="R3850">
        <v>19.24</v>
      </c>
      <c r="S3850">
        <v>20.49</v>
      </c>
      <c r="T3850">
        <v>1.04</v>
      </c>
      <c r="U3850" t="s">
        <v>224</v>
      </c>
    </row>
    <row r="3851" spans="1:21">
      <c r="A3851" t="str">
        <f>"603567"</f>
        <v>603567</v>
      </c>
      <c r="B3851" t="s">
        <v>7436</v>
      </c>
      <c r="C3851">
        <v>1.05</v>
      </c>
      <c r="D3851">
        <v>15.47</v>
      </c>
      <c r="E3851">
        <v>0.16</v>
      </c>
      <c r="F3851">
        <v>15.45</v>
      </c>
      <c r="G3851">
        <v>15.47</v>
      </c>
      <c r="H3851">
        <v>25762</v>
      </c>
      <c r="I3851">
        <v>686</v>
      </c>
      <c r="J3851">
        <v>-0.12</v>
      </c>
      <c r="K3851">
        <v>0.3</v>
      </c>
      <c r="L3851">
        <v>3975.72</v>
      </c>
      <c r="M3851" t="s">
        <v>7437</v>
      </c>
      <c r="N3851" t="s">
        <v>270</v>
      </c>
      <c r="O3851">
        <v>15.31</v>
      </c>
      <c r="P3851">
        <v>15.52</v>
      </c>
      <c r="Q3851">
        <v>15.29</v>
      </c>
      <c r="R3851">
        <v>15.31</v>
      </c>
      <c r="S3851">
        <v>45.08</v>
      </c>
      <c r="T3851">
        <v>1.68</v>
      </c>
      <c r="U3851" t="s">
        <v>445</v>
      </c>
    </row>
    <row r="3852" spans="1:21">
      <c r="A3852" t="str">
        <f>"603568"</f>
        <v>603568</v>
      </c>
      <c r="B3852" t="s">
        <v>7438</v>
      </c>
      <c r="C3852">
        <v>0.86</v>
      </c>
      <c r="D3852">
        <v>29.41</v>
      </c>
      <c r="E3852">
        <v>0.25</v>
      </c>
      <c r="F3852">
        <v>29.4</v>
      </c>
      <c r="G3852">
        <v>29.41</v>
      </c>
      <c r="H3852">
        <v>23008</v>
      </c>
      <c r="I3852">
        <v>902</v>
      </c>
      <c r="J3852">
        <v>0.1</v>
      </c>
      <c r="K3852">
        <v>0.18</v>
      </c>
      <c r="L3852">
        <v>6754.9</v>
      </c>
      <c r="M3852" t="s">
        <v>7439</v>
      </c>
      <c r="N3852" t="s">
        <v>33</v>
      </c>
      <c r="O3852">
        <v>29.15</v>
      </c>
      <c r="P3852">
        <v>29.73</v>
      </c>
      <c r="Q3852">
        <v>29</v>
      </c>
      <c r="R3852">
        <v>29.16</v>
      </c>
      <c r="S3852">
        <v>23.16</v>
      </c>
      <c r="T3852">
        <v>0.74</v>
      </c>
      <c r="U3852" t="s">
        <v>200</v>
      </c>
    </row>
    <row r="3853" spans="1:21">
      <c r="A3853" t="str">
        <f>"603569"</f>
        <v>603569</v>
      </c>
      <c r="B3853" t="s">
        <v>7440</v>
      </c>
      <c r="C3853">
        <v>1.09</v>
      </c>
      <c r="D3853">
        <v>6.48</v>
      </c>
      <c r="E3853">
        <v>0.07</v>
      </c>
      <c r="F3853">
        <v>6.48</v>
      </c>
      <c r="G3853">
        <v>6.49</v>
      </c>
      <c r="H3853">
        <v>7294</v>
      </c>
      <c r="I3853">
        <v>32</v>
      </c>
      <c r="J3853">
        <v>-0.14</v>
      </c>
      <c r="K3853">
        <v>0.13</v>
      </c>
      <c r="L3853">
        <v>473.23</v>
      </c>
      <c r="M3853" t="s">
        <v>6468</v>
      </c>
      <c r="N3853" t="s">
        <v>1049</v>
      </c>
      <c r="O3853">
        <v>6.41</v>
      </c>
      <c r="P3853">
        <v>6.52</v>
      </c>
      <c r="Q3853">
        <v>6.39</v>
      </c>
      <c r="R3853">
        <v>6.41</v>
      </c>
      <c r="S3853">
        <v>56.72</v>
      </c>
      <c r="T3853">
        <v>1.01</v>
      </c>
      <c r="U3853" t="s">
        <v>44</v>
      </c>
    </row>
    <row r="3854" spans="1:21">
      <c r="A3854" t="str">
        <f>"603577"</f>
        <v>603577</v>
      </c>
      <c r="B3854" t="s">
        <v>7441</v>
      </c>
      <c r="C3854">
        <v>1.82</v>
      </c>
      <c r="D3854">
        <v>8.93</v>
      </c>
      <c r="E3854">
        <v>0.16</v>
      </c>
      <c r="F3854">
        <v>8.92</v>
      </c>
      <c r="G3854">
        <v>8.93</v>
      </c>
      <c r="H3854">
        <v>23969</v>
      </c>
      <c r="I3854">
        <v>318</v>
      </c>
      <c r="J3854">
        <v>0.22</v>
      </c>
      <c r="K3854">
        <v>0.98</v>
      </c>
      <c r="L3854">
        <v>2136.39</v>
      </c>
      <c r="M3854" t="s">
        <v>7442</v>
      </c>
      <c r="N3854" t="s">
        <v>47</v>
      </c>
      <c r="O3854">
        <v>8.78</v>
      </c>
      <c r="P3854">
        <v>9</v>
      </c>
      <c r="Q3854">
        <v>8.73</v>
      </c>
      <c r="R3854">
        <v>8.77</v>
      </c>
      <c r="S3854">
        <v>31.45</v>
      </c>
      <c r="T3854">
        <v>1.3</v>
      </c>
      <c r="U3854" t="s">
        <v>221</v>
      </c>
    </row>
    <row r="3855" spans="1:21">
      <c r="A3855" t="str">
        <f>"603578"</f>
        <v>603578</v>
      </c>
      <c r="B3855" t="s">
        <v>7443</v>
      </c>
      <c r="C3855">
        <v>10</v>
      </c>
      <c r="D3855">
        <v>18.15</v>
      </c>
      <c r="E3855">
        <v>1.65</v>
      </c>
      <c r="F3855">
        <v>18.15</v>
      </c>
      <c r="G3855" t="s">
        <v>40</v>
      </c>
      <c r="H3855">
        <v>40091</v>
      </c>
      <c r="I3855">
        <v>50</v>
      </c>
      <c r="J3855">
        <v>0</v>
      </c>
      <c r="K3855">
        <v>3.13</v>
      </c>
      <c r="L3855">
        <v>7074.44</v>
      </c>
      <c r="M3855" t="s">
        <v>7444</v>
      </c>
      <c r="N3855" t="s">
        <v>55</v>
      </c>
      <c r="O3855">
        <v>16.63</v>
      </c>
      <c r="P3855">
        <v>18.15</v>
      </c>
      <c r="Q3855">
        <v>16.53</v>
      </c>
      <c r="R3855">
        <v>16.5</v>
      </c>
      <c r="S3855">
        <v>20.63</v>
      </c>
      <c r="T3855">
        <v>1.84</v>
      </c>
      <c r="U3855" t="s">
        <v>200</v>
      </c>
    </row>
    <row r="3856" spans="1:21">
      <c r="A3856" t="str">
        <f>"603579"</f>
        <v>603579</v>
      </c>
      <c r="B3856" t="s">
        <v>7445</v>
      </c>
      <c r="C3856">
        <v>-0.78</v>
      </c>
      <c r="D3856">
        <v>30.47</v>
      </c>
      <c r="E3856">
        <v>-0.24</v>
      </c>
      <c r="F3856">
        <v>30.47</v>
      </c>
      <c r="G3856">
        <v>30.48</v>
      </c>
      <c r="H3856">
        <v>5515</v>
      </c>
      <c r="I3856">
        <v>101</v>
      </c>
      <c r="J3856">
        <v>-0.09</v>
      </c>
      <c r="K3856">
        <v>0.4</v>
      </c>
      <c r="L3856">
        <v>1685.21</v>
      </c>
      <c r="M3856" t="s">
        <v>1634</v>
      </c>
      <c r="N3856" t="s">
        <v>60</v>
      </c>
      <c r="O3856">
        <v>30.72</v>
      </c>
      <c r="P3856">
        <v>30.97</v>
      </c>
      <c r="Q3856">
        <v>30.38</v>
      </c>
      <c r="R3856">
        <v>30.71</v>
      </c>
      <c r="S3856">
        <v>16.96</v>
      </c>
      <c r="T3856">
        <v>0.62</v>
      </c>
      <c r="U3856" t="s">
        <v>848</v>
      </c>
    </row>
    <row r="3857" spans="1:21">
      <c r="A3857" t="str">
        <f>"603580"</f>
        <v>603580</v>
      </c>
      <c r="B3857" t="s">
        <v>7446</v>
      </c>
      <c r="C3857">
        <v>1.73</v>
      </c>
      <c r="D3857">
        <v>11.15</v>
      </c>
      <c r="E3857">
        <v>0.19</v>
      </c>
      <c r="F3857">
        <v>11.15</v>
      </c>
      <c r="G3857">
        <v>11.17</v>
      </c>
      <c r="H3857">
        <v>9603</v>
      </c>
      <c r="I3857">
        <v>156</v>
      </c>
      <c r="J3857">
        <v>0.36</v>
      </c>
      <c r="K3857">
        <v>0.73</v>
      </c>
      <c r="L3857">
        <v>1064.79</v>
      </c>
      <c r="M3857" t="s">
        <v>7447</v>
      </c>
      <c r="N3857" t="s">
        <v>309</v>
      </c>
      <c r="O3857">
        <v>10.97</v>
      </c>
      <c r="P3857">
        <v>11.25</v>
      </c>
      <c r="Q3857">
        <v>10.88</v>
      </c>
      <c r="R3857">
        <v>10.96</v>
      </c>
      <c r="S3857">
        <v>34.84</v>
      </c>
      <c r="T3857">
        <v>0.51</v>
      </c>
      <c r="U3857" t="s">
        <v>848</v>
      </c>
    </row>
    <row r="3858" spans="1:21">
      <c r="A3858" t="str">
        <f>"603583"</f>
        <v>603583</v>
      </c>
      <c r="B3858" t="s">
        <v>7448</v>
      </c>
      <c r="C3858">
        <v>1.7</v>
      </c>
      <c r="D3858">
        <v>54.31</v>
      </c>
      <c r="E3858">
        <v>0.91</v>
      </c>
      <c r="F3858">
        <v>54.31</v>
      </c>
      <c r="G3858">
        <v>54.34</v>
      </c>
      <c r="H3858">
        <v>23627</v>
      </c>
      <c r="I3858">
        <v>145</v>
      </c>
      <c r="J3858">
        <v>0.18</v>
      </c>
      <c r="K3858">
        <v>0.63</v>
      </c>
      <c r="L3858">
        <v>12832.29</v>
      </c>
      <c r="M3858" t="s">
        <v>7449</v>
      </c>
      <c r="N3858" t="s">
        <v>47</v>
      </c>
      <c r="O3858">
        <v>53.58</v>
      </c>
      <c r="P3858">
        <v>55.39</v>
      </c>
      <c r="Q3858">
        <v>52.7</v>
      </c>
      <c r="R3858">
        <v>53.4</v>
      </c>
      <c r="S3858">
        <v>76.05</v>
      </c>
      <c r="T3858">
        <v>0.77</v>
      </c>
      <c r="U3858" t="s">
        <v>200</v>
      </c>
    </row>
    <row r="3859" spans="1:21">
      <c r="A3859" t="str">
        <f>"603585"</f>
        <v>603585</v>
      </c>
      <c r="B3859" t="s">
        <v>7450</v>
      </c>
      <c r="C3859">
        <v>1.86</v>
      </c>
      <c r="D3859">
        <v>16.95</v>
      </c>
      <c r="E3859">
        <v>0.31</v>
      </c>
      <c r="F3859">
        <v>16.95</v>
      </c>
      <c r="G3859">
        <v>17</v>
      </c>
      <c r="H3859">
        <v>15561</v>
      </c>
      <c r="I3859">
        <v>271</v>
      </c>
      <c r="J3859">
        <v>-0.52</v>
      </c>
      <c r="K3859">
        <v>0.86</v>
      </c>
      <c r="L3859">
        <v>2621.12</v>
      </c>
      <c r="M3859" t="s">
        <v>7451</v>
      </c>
      <c r="N3859" t="s">
        <v>309</v>
      </c>
      <c r="O3859">
        <v>16.62</v>
      </c>
      <c r="P3859">
        <v>17.15</v>
      </c>
      <c r="Q3859">
        <v>16.46</v>
      </c>
      <c r="R3859">
        <v>16.64</v>
      </c>
      <c r="S3859">
        <v>16.43</v>
      </c>
      <c r="T3859">
        <v>0.85</v>
      </c>
      <c r="U3859" t="s">
        <v>102</v>
      </c>
    </row>
    <row r="3860" spans="1:21">
      <c r="A3860" t="str">
        <f>"603586"</f>
        <v>603586</v>
      </c>
      <c r="B3860" t="s">
        <v>7452</v>
      </c>
      <c r="C3860">
        <v>1.24</v>
      </c>
      <c r="D3860">
        <v>12.23</v>
      </c>
      <c r="E3860">
        <v>0.15</v>
      </c>
      <c r="F3860">
        <v>12.23</v>
      </c>
      <c r="G3860">
        <v>12.25</v>
      </c>
      <c r="H3860">
        <v>8349</v>
      </c>
      <c r="I3860">
        <v>277</v>
      </c>
      <c r="J3860">
        <v>-0.56</v>
      </c>
      <c r="K3860">
        <v>0.41</v>
      </c>
      <c r="L3860">
        <v>1020.43</v>
      </c>
      <c r="M3860" t="s">
        <v>969</v>
      </c>
      <c r="N3860" t="s">
        <v>91</v>
      </c>
      <c r="O3860">
        <v>12.1</v>
      </c>
      <c r="P3860">
        <v>12.3</v>
      </c>
      <c r="Q3860">
        <v>12.08</v>
      </c>
      <c r="R3860">
        <v>12.08</v>
      </c>
      <c r="S3860" t="s">
        <v>40</v>
      </c>
      <c r="T3860">
        <v>0.66</v>
      </c>
      <c r="U3860" t="s">
        <v>221</v>
      </c>
    </row>
    <row r="3861" spans="1:21">
      <c r="A3861" t="str">
        <f>"603587"</f>
        <v>603587</v>
      </c>
      <c r="B3861" t="s">
        <v>7453</v>
      </c>
      <c r="C3861">
        <v>0.93</v>
      </c>
      <c r="D3861">
        <v>18.54</v>
      </c>
      <c r="E3861">
        <v>0.17</v>
      </c>
      <c r="F3861">
        <v>18.53</v>
      </c>
      <c r="G3861">
        <v>18.54</v>
      </c>
      <c r="H3861">
        <v>13053</v>
      </c>
      <c r="I3861">
        <v>102</v>
      </c>
      <c r="J3861">
        <v>0</v>
      </c>
      <c r="K3861">
        <v>0.83</v>
      </c>
      <c r="L3861">
        <v>2410.34</v>
      </c>
      <c r="M3861" t="s">
        <v>7454</v>
      </c>
      <c r="N3861" t="s">
        <v>1061</v>
      </c>
      <c r="O3861">
        <v>18.4</v>
      </c>
      <c r="P3861">
        <v>18.58</v>
      </c>
      <c r="Q3861">
        <v>18.34</v>
      </c>
      <c r="R3861">
        <v>18.37</v>
      </c>
      <c r="S3861">
        <v>12.05</v>
      </c>
      <c r="T3861">
        <v>0.73</v>
      </c>
      <c r="U3861" t="s">
        <v>848</v>
      </c>
    </row>
    <row r="3862" spans="1:21">
      <c r="A3862" t="str">
        <f>"603588"</f>
        <v>603588</v>
      </c>
      <c r="B3862" t="s">
        <v>7455</v>
      </c>
      <c r="C3862">
        <v>0.92</v>
      </c>
      <c r="D3862">
        <v>15.4</v>
      </c>
      <c r="E3862">
        <v>0.14</v>
      </c>
      <c r="F3862">
        <v>15.4</v>
      </c>
      <c r="G3862">
        <v>15.41</v>
      </c>
      <c r="H3862">
        <v>53551</v>
      </c>
      <c r="I3862">
        <v>330</v>
      </c>
      <c r="J3862">
        <v>0.07</v>
      </c>
      <c r="K3862">
        <v>0.53</v>
      </c>
      <c r="L3862">
        <v>8241.27</v>
      </c>
      <c r="M3862" t="s">
        <v>7456</v>
      </c>
      <c r="N3862" t="s">
        <v>33</v>
      </c>
      <c r="O3862">
        <v>15.28</v>
      </c>
      <c r="P3862">
        <v>15.52</v>
      </c>
      <c r="Q3862">
        <v>15.16</v>
      </c>
      <c r="R3862">
        <v>15.26</v>
      </c>
      <c r="S3862">
        <v>21.02</v>
      </c>
      <c r="T3862">
        <v>0.63</v>
      </c>
      <c r="U3862" t="s">
        <v>44</v>
      </c>
    </row>
    <row r="3863" spans="1:21">
      <c r="A3863" t="str">
        <f>"603589"</f>
        <v>603589</v>
      </c>
      <c r="B3863" t="s">
        <v>7457</v>
      </c>
      <c r="C3863">
        <v>3.28</v>
      </c>
      <c r="D3863">
        <v>64.2</v>
      </c>
      <c r="E3863">
        <v>2.04</v>
      </c>
      <c r="F3863">
        <v>64.19</v>
      </c>
      <c r="G3863">
        <v>64.2</v>
      </c>
      <c r="H3863">
        <v>167925</v>
      </c>
      <c r="I3863">
        <v>605</v>
      </c>
      <c r="J3863">
        <v>0</v>
      </c>
      <c r="K3863">
        <v>2.8</v>
      </c>
      <c r="L3863">
        <v>107399.26</v>
      </c>
      <c r="M3863" t="s">
        <v>7458</v>
      </c>
      <c r="N3863" t="s">
        <v>423</v>
      </c>
      <c r="O3863">
        <v>62.12</v>
      </c>
      <c r="P3863">
        <v>64.8</v>
      </c>
      <c r="Q3863">
        <v>61.8</v>
      </c>
      <c r="R3863">
        <v>62.16</v>
      </c>
      <c r="S3863">
        <v>25.12</v>
      </c>
      <c r="T3863">
        <v>1.78</v>
      </c>
      <c r="U3863" t="s">
        <v>193</v>
      </c>
    </row>
    <row r="3864" spans="1:21">
      <c r="A3864" t="str">
        <f>"603590"</f>
        <v>603590</v>
      </c>
      <c r="B3864" t="s">
        <v>7459</v>
      </c>
      <c r="C3864">
        <v>1.02</v>
      </c>
      <c r="D3864">
        <v>31.7</v>
      </c>
      <c r="E3864">
        <v>0.32</v>
      </c>
      <c r="F3864">
        <v>31.7</v>
      </c>
      <c r="G3864">
        <v>31.72</v>
      </c>
      <c r="H3864">
        <v>3932</v>
      </c>
      <c r="I3864">
        <v>30</v>
      </c>
      <c r="J3864">
        <v>0.13</v>
      </c>
      <c r="K3864">
        <v>0.25</v>
      </c>
      <c r="L3864">
        <v>1244.23</v>
      </c>
      <c r="M3864" t="s">
        <v>7460</v>
      </c>
      <c r="N3864" t="s">
        <v>192</v>
      </c>
      <c r="O3864">
        <v>31.38</v>
      </c>
      <c r="P3864">
        <v>32</v>
      </c>
      <c r="Q3864">
        <v>31.23</v>
      </c>
      <c r="R3864">
        <v>31.38</v>
      </c>
      <c r="S3864">
        <v>27.72</v>
      </c>
      <c r="T3864">
        <v>0.51</v>
      </c>
      <c r="U3864" t="s">
        <v>44</v>
      </c>
    </row>
    <row r="3865" spans="1:21">
      <c r="A3865" t="str">
        <f>"603595"</f>
        <v>603595</v>
      </c>
      <c r="B3865" t="s">
        <v>7461</v>
      </c>
      <c r="C3865">
        <v>4.83</v>
      </c>
      <c r="D3865">
        <v>45.32</v>
      </c>
      <c r="E3865">
        <v>2.09</v>
      </c>
      <c r="F3865">
        <v>45.32</v>
      </c>
      <c r="G3865">
        <v>45.37</v>
      </c>
      <c r="H3865">
        <v>78968</v>
      </c>
      <c r="I3865">
        <v>772</v>
      </c>
      <c r="J3865">
        <v>-0.03</v>
      </c>
      <c r="K3865">
        <v>4.9</v>
      </c>
      <c r="L3865">
        <v>35893.21</v>
      </c>
      <c r="M3865" t="s">
        <v>7462</v>
      </c>
      <c r="N3865" t="s">
        <v>69</v>
      </c>
      <c r="O3865">
        <v>43.38</v>
      </c>
      <c r="P3865">
        <v>46.95</v>
      </c>
      <c r="Q3865">
        <v>42.83</v>
      </c>
      <c r="R3865">
        <v>43.23</v>
      </c>
      <c r="S3865">
        <v>264.48</v>
      </c>
      <c r="T3865">
        <v>0.77</v>
      </c>
      <c r="U3865" t="s">
        <v>200</v>
      </c>
    </row>
    <row r="3866" spans="1:21">
      <c r="A3866" t="str">
        <f>"603596"</f>
        <v>603596</v>
      </c>
      <c r="B3866" t="s">
        <v>7463</v>
      </c>
      <c r="C3866">
        <v>-1.51</v>
      </c>
      <c r="D3866">
        <v>64.08</v>
      </c>
      <c r="E3866">
        <v>-0.98</v>
      </c>
      <c r="F3866">
        <v>64.06</v>
      </c>
      <c r="G3866">
        <v>64.08</v>
      </c>
      <c r="H3866">
        <v>20428</v>
      </c>
      <c r="I3866">
        <v>444</v>
      </c>
      <c r="J3866">
        <v>0.47</v>
      </c>
      <c r="K3866">
        <v>0.5</v>
      </c>
      <c r="L3866">
        <v>13039.83</v>
      </c>
      <c r="M3866" t="s">
        <v>7464</v>
      </c>
      <c r="N3866" t="s">
        <v>91</v>
      </c>
      <c r="O3866">
        <v>64.51</v>
      </c>
      <c r="P3866">
        <v>64.61</v>
      </c>
      <c r="Q3866">
        <v>63</v>
      </c>
      <c r="R3866">
        <v>65.06</v>
      </c>
      <c r="S3866">
        <v>53.25</v>
      </c>
      <c r="T3866">
        <v>0.36</v>
      </c>
      <c r="U3866" t="s">
        <v>193</v>
      </c>
    </row>
    <row r="3867" spans="1:21">
      <c r="A3867" t="str">
        <f>"603598"</f>
        <v>603598</v>
      </c>
      <c r="B3867" t="s">
        <v>7465</v>
      </c>
      <c r="C3867">
        <v>3.07</v>
      </c>
      <c r="D3867">
        <v>9.07</v>
      </c>
      <c r="E3867">
        <v>0.27</v>
      </c>
      <c r="F3867">
        <v>9.07</v>
      </c>
      <c r="G3867">
        <v>9.08</v>
      </c>
      <c r="H3867">
        <v>68223</v>
      </c>
      <c r="I3867">
        <v>905</v>
      </c>
      <c r="J3867">
        <v>0.11</v>
      </c>
      <c r="K3867">
        <v>2.55</v>
      </c>
      <c r="L3867">
        <v>6210.03</v>
      </c>
      <c r="M3867" t="s">
        <v>2908</v>
      </c>
      <c r="N3867" t="s">
        <v>199</v>
      </c>
      <c r="O3867">
        <v>8.9</v>
      </c>
      <c r="P3867">
        <v>9.2</v>
      </c>
      <c r="Q3867">
        <v>8.83</v>
      </c>
      <c r="R3867">
        <v>8.8</v>
      </c>
      <c r="S3867">
        <v>78.49</v>
      </c>
      <c r="T3867">
        <v>2.31</v>
      </c>
      <c r="U3867" t="s">
        <v>44</v>
      </c>
    </row>
    <row r="3868" spans="1:21">
      <c r="A3868" t="str">
        <f>"603599"</f>
        <v>603599</v>
      </c>
      <c r="B3868" t="s">
        <v>7466</v>
      </c>
      <c r="C3868">
        <v>2.58</v>
      </c>
      <c r="D3868">
        <v>36.23</v>
      </c>
      <c r="E3868">
        <v>0.91</v>
      </c>
      <c r="F3868">
        <v>36.23</v>
      </c>
      <c r="G3868">
        <v>36.24</v>
      </c>
      <c r="H3868">
        <v>36756</v>
      </c>
      <c r="I3868">
        <v>281</v>
      </c>
      <c r="J3868">
        <v>-0.13</v>
      </c>
      <c r="K3868">
        <v>0.8</v>
      </c>
      <c r="L3868">
        <v>13196.87</v>
      </c>
      <c r="M3868" t="s">
        <v>7467</v>
      </c>
      <c r="N3868" t="s">
        <v>241</v>
      </c>
      <c r="O3868">
        <v>35.02</v>
      </c>
      <c r="P3868">
        <v>36.46</v>
      </c>
      <c r="Q3868">
        <v>35.01</v>
      </c>
      <c r="R3868">
        <v>35.32</v>
      </c>
      <c r="S3868">
        <v>12.22</v>
      </c>
      <c r="T3868">
        <v>0.6</v>
      </c>
      <c r="U3868" t="s">
        <v>193</v>
      </c>
    </row>
    <row r="3869" spans="1:21">
      <c r="A3869" t="str">
        <f>"603600"</f>
        <v>603600</v>
      </c>
      <c r="B3869" t="s">
        <v>7468</v>
      </c>
      <c r="C3869">
        <v>-1.21</v>
      </c>
      <c r="D3869">
        <v>11.45</v>
      </c>
      <c r="E3869">
        <v>-0.14</v>
      </c>
      <c r="F3869">
        <v>11.44</v>
      </c>
      <c r="G3869">
        <v>11.45</v>
      </c>
      <c r="H3869">
        <v>29274</v>
      </c>
      <c r="I3869">
        <v>604</v>
      </c>
      <c r="J3869">
        <v>-0.16</v>
      </c>
      <c r="K3869">
        <v>0.97</v>
      </c>
      <c r="L3869">
        <v>3376.42</v>
      </c>
      <c r="M3869" t="s">
        <v>7469</v>
      </c>
      <c r="N3869" t="s">
        <v>910</v>
      </c>
      <c r="O3869">
        <v>11.51</v>
      </c>
      <c r="P3869">
        <v>11.7</v>
      </c>
      <c r="Q3869">
        <v>11.4</v>
      </c>
      <c r="R3869">
        <v>11.59</v>
      </c>
      <c r="S3869">
        <v>16.17</v>
      </c>
      <c r="T3869">
        <v>0.64</v>
      </c>
      <c r="U3869" t="s">
        <v>200</v>
      </c>
    </row>
    <row r="3870" spans="1:21">
      <c r="A3870" t="str">
        <f>"603601"</f>
        <v>603601</v>
      </c>
      <c r="B3870" t="s">
        <v>7470</v>
      </c>
      <c r="C3870">
        <v>0.41</v>
      </c>
      <c r="D3870">
        <v>12.11</v>
      </c>
      <c r="E3870">
        <v>0.05</v>
      </c>
      <c r="F3870">
        <v>12.11</v>
      </c>
      <c r="G3870">
        <v>12.12</v>
      </c>
      <c r="H3870">
        <v>13219</v>
      </c>
      <c r="I3870">
        <v>71</v>
      </c>
      <c r="J3870">
        <v>0</v>
      </c>
      <c r="K3870">
        <v>0.18</v>
      </c>
      <c r="L3870">
        <v>1595.09</v>
      </c>
      <c r="M3870" t="s">
        <v>7471</v>
      </c>
      <c r="N3870" t="s">
        <v>55</v>
      </c>
      <c r="O3870">
        <v>12.13</v>
      </c>
      <c r="P3870">
        <v>12.24</v>
      </c>
      <c r="Q3870">
        <v>12.01</v>
      </c>
      <c r="R3870">
        <v>12.06</v>
      </c>
      <c r="S3870">
        <v>35.18</v>
      </c>
      <c r="T3870">
        <v>0.62</v>
      </c>
      <c r="U3870" t="s">
        <v>314</v>
      </c>
    </row>
    <row r="3871" spans="1:21">
      <c r="A3871" t="str">
        <f>"603602"</f>
        <v>603602</v>
      </c>
      <c r="B3871" t="s">
        <v>7472</v>
      </c>
      <c r="C3871">
        <v>9.98</v>
      </c>
      <c r="D3871">
        <v>10.25</v>
      </c>
      <c r="E3871">
        <v>0.93</v>
      </c>
      <c r="F3871">
        <v>10.25</v>
      </c>
      <c r="G3871" t="s">
        <v>40</v>
      </c>
      <c r="H3871">
        <v>99353</v>
      </c>
      <c r="I3871">
        <v>230</v>
      </c>
      <c r="J3871">
        <v>0</v>
      </c>
      <c r="K3871">
        <v>4.87</v>
      </c>
      <c r="L3871">
        <v>9872.36</v>
      </c>
      <c r="M3871" t="s">
        <v>7473</v>
      </c>
      <c r="N3871" t="s">
        <v>153</v>
      </c>
      <c r="O3871">
        <v>9.33</v>
      </c>
      <c r="P3871">
        <v>10.25</v>
      </c>
      <c r="Q3871">
        <v>9.33</v>
      </c>
      <c r="R3871">
        <v>9.32</v>
      </c>
      <c r="S3871">
        <v>333.15</v>
      </c>
      <c r="T3871">
        <v>6</v>
      </c>
      <c r="U3871" t="s">
        <v>200</v>
      </c>
    </row>
    <row r="3872" spans="1:21">
      <c r="A3872" t="str">
        <f>"603603"</f>
        <v>603603</v>
      </c>
      <c r="B3872" t="s">
        <v>7474</v>
      </c>
      <c r="C3872">
        <v>-0.57</v>
      </c>
      <c r="D3872">
        <v>6.99</v>
      </c>
      <c r="E3872">
        <v>-0.04</v>
      </c>
      <c r="F3872">
        <v>6.99</v>
      </c>
      <c r="G3872">
        <v>7</v>
      </c>
      <c r="H3872">
        <v>139125</v>
      </c>
      <c r="I3872">
        <v>3334</v>
      </c>
      <c r="J3872">
        <v>-0.13</v>
      </c>
      <c r="K3872">
        <v>5.43</v>
      </c>
      <c r="L3872">
        <v>9790.08</v>
      </c>
      <c r="M3872" t="s">
        <v>7475</v>
      </c>
      <c r="N3872" t="s">
        <v>33</v>
      </c>
      <c r="O3872">
        <v>6.92</v>
      </c>
      <c r="P3872">
        <v>7.25</v>
      </c>
      <c r="Q3872">
        <v>6.85</v>
      </c>
      <c r="R3872">
        <v>7.03</v>
      </c>
      <c r="S3872" t="s">
        <v>40</v>
      </c>
      <c r="T3872">
        <v>0.47</v>
      </c>
      <c r="U3872" t="s">
        <v>44</v>
      </c>
    </row>
    <row r="3873" spans="1:21">
      <c r="A3873" t="str">
        <f>"603605"</f>
        <v>603605</v>
      </c>
      <c r="B3873" t="s">
        <v>7476</v>
      </c>
      <c r="C3873">
        <v>1.7</v>
      </c>
      <c r="D3873">
        <v>198.37</v>
      </c>
      <c r="E3873">
        <v>3.32</v>
      </c>
      <c r="F3873">
        <v>198.28</v>
      </c>
      <c r="G3873">
        <v>198.37</v>
      </c>
      <c r="H3873">
        <v>9021</v>
      </c>
      <c r="I3873">
        <v>148</v>
      </c>
      <c r="J3873">
        <v>0.13</v>
      </c>
      <c r="K3873">
        <v>0.45</v>
      </c>
      <c r="L3873">
        <v>17640.04</v>
      </c>
      <c r="M3873" t="s">
        <v>7477</v>
      </c>
      <c r="N3873" t="s">
        <v>332</v>
      </c>
      <c r="O3873">
        <v>194.65</v>
      </c>
      <c r="P3873">
        <v>198.5</v>
      </c>
      <c r="Q3873">
        <v>191.07</v>
      </c>
      <c r="R3873">
        <v>195.05</v>
      </c>
      <c r="S3873">
        <v>82.09</v>
      </c>
      <c r="T3873">
        <v>0.99</v>
      </c>
      <c r="U3873" t="s">
        <v>200</v>
      </c>
    </row>
    <row r="3874" spans="1:21">
      <c r="A3874" t="str">
        <f>"603606"</f>
        <v>603606</v>
      </c>
      <c r="B3874" t="s">
        <v>7478</v>
      </c>
      <c r="C3874">
        <v>-2.11</v>
      </c>
      <c r="D3874">
        <v>58.83</v>
      </c>
      <c r="E3874">
        <v>-1.27</v>
      </c>
      <c r="F3874">
        <v>58.83</v>
      </c>
      <c r="G3874">
        <v>58.84</v>
      </c>
      <c r="H3874">
        <v>326551</v>
      </c>
      <c r="I3874">
        <v>3319</v>
      </c>
      <c r="J3874">
        <v>0.26</v>
      </c>
      <c r="K3874">
        <v>4.86</v>
      </c>
      <c r="L3874">
        <v>194515.23</v>
      </c>
      <c r="M3874" t="s">
        <v>7479</v>
      </c>
      <c r="N3874" t="s">
        <v>47</v>
      </c>
      <c r="O3874">
        <v>60.98</v>
      </c>
      <c r="P3874">
        <v>62.68</v>
      </c>
      <c r="Q3874">
        <v>57.6</v>
      </c>
      <c r="R3874">
        <v>60.1</v>
      </c>
      <c r="S3874">
        <v>30.86</v>
      </c>
      <c r="T3874">
        <v>1.12</v>
      </c>
      <c r="U3874" t="s">
        <v>200</v>
      </c>
    </row>
    <row r="3875" spans="1:21">
      <c r="A3875" t="str">
        <f>"603607"</f>
        <v>603607</v>
      </c>
      <c r="B3875" t="s">
        <v>7480</v>
      </c>
      <c r="C3875">
        <v>0.07</v>
      </c>
      <c r="D3875">
        <v>14.85</v>
      </c>
      <c r="E3875">
        <v>0.01</v>
      </c>
      <c r="F3875">
        <v>14.85</v>
      </c>
      <c r="G3875">
        <v>14.86</v>
      </c>
      <c r="H3875">
        <v>13713</v>
      </c>
      <c r="I3875">
        <v>255</v>
      </c>
      <c r="J3875">
        <v>-0.06</v>
      </c>
      <c r="K3875">
        <v>0.77</v>
      </c>
      <c r="L3875">
        <v>2027.5</v>
      </c>
      <c r="M3875" t="s">
        <v>7481</v>
      </c>
      <c r="N3875" t="s">
        <v>285</v>
      </c>
      <c r="O3875">
        <v>14.72</v>
      </c>
      <c r="P3875">
        <v>14.95</v>
      </c>
      <c r="Q3875">
        <v>14.6</v>
      </c>
      <c r="R3875">
        <v>14.84</v>
      </c>
      <c r="S3875">
        <v>22.66</v>
      </c>
      <c r="T3875">
        <v>0.84</v>
      </c>
      <c r="U3875" t="s">
        <v>200</v>
      </c>
    </row>
    <row r="3876" spans="1:21">
      <c r="A3876" t="str">
        <f>"603608"</f>
        <v>603608</v>
      </c>
      <c r="B3876" t="s">
        <v>7482</v>
      </c>
      <c r="C3876">
        <v>0.74</v>
      </c>
      <c r="D3876">
        <v>5.42</v>
      </c>
      <c r="E3876">
        <v>0.04</v>
      </c>
      <c r="F3876">
        <v>5.42</v>
      </c>
      <c r="G3876">
        <v>5.43</v>
      </c>
      <c r="H3876">
        <v>16013</v>
      </c>
      <c r="I3876">
        <v>437</v>
      </c>
      <c r="J3876">
        <v>-0.36</v>
      </c>
      <c r="K3876">
        <v>0.37</v>
      </c>
      <c r="L3876">
        <v>866.58</v>
      </c>
      <c r="M3876" t="s">
        <v>3794</v>
      </c>
      <c r="N3876" t="s">
        <v>1061</v>
      </c>
      <c r="O3876">
        <v>5.38</v>
      </c>
      <c r="P3876">
        <v>5.45</v>
      </c>
      <c r="Q3876">
        <v>5.36</v>
      </c>
      <c r="R3876">
        <v>5.38</v>
      </c>
      <c r="S3876">
        <v>45.12</v>
      </c>
      <c r="T3876">
        <v>0.61</v>
      </c>
      <c r="U3876" t="s">
        <v>183</v>
      </c>
    </row>
    <row r="3877" spans="1:21">
      <c r="A3877" t="str">
        <f>"603609"</f>
        <v>603609</v>
      </c>
      <c r="B3877" t="s">
        <v>7483</v>
      </c>
      <c r="C3877">
        <v>-0.43</v>
      </c>
      <c r="D3877">
        <v>9.29</v>
      </c>
      <c r="E3877">
        <v>-0.04</v>
      </c>
      <c r="F3877">
        <v>9.28</v>
      </c>
      <c r="G3877">
        <v>9.29</v>
      </c>
      <c r="H3877">
        <v>24682</v>
      </c>
      <c r="I3877">
        <v>646</v>
      </c>
      <c r="J3877">
        <v>0</v>
      </c>
      <c r="K3877">
        <v>0.27</v>
      </c>
      <c r="L3877">
        <v>2285.62</v>
      </c>
      <c r="M3877" t="s">
        <v>7484</v>
      </c>
      <c r="N3877" t="s">
        <v>124</v>
      </c>
      <c r="O3877">
        <v>9.32</v>
      </c>
      <c r="P3877">
        <v>9.35</v>
      </c>
      <c r="Q3877">
        <v>9.22</v>
      </c>
      <c r="R3877">
        <v>9.33</v>
      </c>
      <c r="S3877">
        <v>133.3</v>
      </c>
      <c r="T3877">
        <v>1.03</v>
      </c>
      <c r="U3877" t="s">
        <v>141</v>
      </c>
    </row>
    <row r="3878" spans="1:21">
      <c r="A3878" t="str">
        <f>"603610"</f>
        <v>603610</v>
      </c>
      <c r="B3878" t="s">
        <v>7485</v>
      </c>
      <c r="C3878">
        <v>0.45</v>
      </c>
      <c r="D3878">
        <v>29.15</v>
      </c>
      <c r="E3878">
        <v>0.13</v>
      </c>
      <c r="F3878">
        <v>29.15</v>
      </c>
      <c r="G3878">
        <v>29.19</v>
      </c>
      <c r="H3878">
        <v>63336</v>
      </c>
      <c r="I3878">
        <v>365</v>
      </c>
      <c r="J3878">
        <v>-0.2</v>
      </c>
      <c r="K3878">
        <v>3.89</v>
      </c>
      <c r="L3878">
        <v>18736.02</v>
      </c>
      <c r="M3878" t="s">
        <v>7486</v>
      </c>
      <c r="N3878" t="s">
        <v>910</v>
      </c>
      <c r="O3878">
        <v>29.5</v>
      </c>
      <c r="P3878">
        <v>30.31</v>
      </c>
      <c r="Q3878">
        <v>28.28</v>
      </c>
      <c r="R3878">
        <v>29.02</v>
      </c>
      <c r="S3878">
        <v>24.36</v>
      </c>
      <c r="T3878">
        <v>1.44</v>
      </c>
      <c r="U3878" t="s">
        <v>200</v>
      </c>
    </row>
    <row r="3879" spans="1:21">
      <c r="A3879" t="str">
        <f>"603611"</f>
        <v>603611</v>
      </c>
      <c r="B3879" t="s">
        <v>7487</v>
      </c>
      <c r="C3879">
        <v>1.82</v>
      </c>
      <c r="D3879">
        <v>19.01</v>
      </c>
      <c r="E3879">
        <v>0.34</v>
      </c>
      <c r="F3879">
        <v>19.01</v>
      </c>
      <c r="G3879">
        <v>19.02</v>
      </c>
      <c r="H3879">
        <v>44647</v>
      </c>
      <c r="I3879">
        <v>514</v>
      </c>
      <c r="J3879">
        <v>0.05</v>
      </c>
      <c r="K3879">
        <v>1.67</v>
      </c>
      <c r="L3879">
        <v>8329.38</v>
      </c>
      <c r="M3879" t="s">
        <v>7488</v>
      </c>
      <c r="N3879" t="s">
        <v>43</v>
      </c>
      <c r="O3879">
        <v>18.56</v>
      </c>
      <c r="P3879">
        <v>19.07</v>
      </c>
      <c r="Q3879">
        <v>18.2</v>
      </c>
      <c r="R3879">
        <v>18.67</v>
      </c>
      <c r="S3879">
        <v>16.14</v>
      </c>
      <c r="T3879">
        <v>0.99</v>
      </c>
      <c r="U3879" t="s">
        <v>200</v>
      </c>
    </row>
    <row r="3880" spans="1:21">
      <c r="A3880" t="str">
        <f>"603612"</f>
        <v>603612</v>
      </c>
      <c r="B3880" t="s">
        <v>7489</v>
      </c>
      <c r="C3880">
        <v>1.26</v>
      </c>
      <c r="D3880">
        <v>20.11</v>
      </c>
      <c r="E3880">
        <v>0.25</v>
      </c>
      <c r="F3880">
        <v>20.1</v>
      </c>
      <c r="G3880">
        <v>20.11</v>
      </c>
      <c r="H3880">
        <v>140388</v>
      </c>
      <c r="I3880">
        <v>1439</v>
      </c>
      <c r="J3880">
        <v>0</v>
      </c>
      <c r="K3880">
        <v>3.26</v>
      </c>
      <c r="L3880">
        <v>28002.44</v>
      </c>
      <c r="M3880" t="s">
        <v>7490</v>
      </c>
      <c r="N3880" t="s">
        <v>750</v>
      </c>
      <c r="O3880">
        <v>19.9</v>
      </c>
      <c r="P3880">
        <v>20.2</v>
      </c>
      <c r="Q3880">
        <v>19.62</v>
      </c>
      <c r="R3880">
        <v>19.86</v>
      </c>
      <c r="S3880">
        <v>14.64</v>
      </c>
      <c r="T3880">
        <v>0.92</v>
      </c>
      <c r="U3880" t="s">
        <v>221</v>
      </c>
    </row>
    <row r="3881" spans="1:21">
      <c r="A3881" t="str">
        <f>"603613"</f>
        <v>603613</v>
      </c>
      <c r="B3881" t="s">
        <v>7491</v>
      </c>
      <c r="C3881">
        <v>-1.42</v>
      </c>
      <c r="D3881">
        <v>123.45</v>
      </c>
      <c r="E3881">
        <v>-1.78</v>
      </c>
      <c r="F3881">
        <v>123.45</v>
      </c>
      <c r="G3881">
        <v>123.5</v>
      </c>
      <c r="H3881">
        <v>22235</v>
      </c>
      <c r="I3881">
        <v>790</v>
      </c>
      <c r="J3881">
        <v>-0.03</v>
      </c>
      <c r="K3881">
        <v>1</v>
      </c>
      <c r="L3881">
        <v>27542.75</v>
      </c>
      <c r="M3881" t="s">
        <v>7492</v>
      </c>
      <c r="N3881" t="s">
        <v>479</v>
      </c>
      <c r="O3881">
        <v>125.23</v>
      </c>
      <c r="P3881">
        <v>126.18</v>
      </c>
      <c r="Q3881">
        <v>122.08</v>
      </c>
      <c r="R3881">
        <v>125.23</v>
      </c>
      <c r="S3881">
        <v>93.99</v>
      </c>
      <c r="T3881">
        <v>0.43</v>
      </c>
      <c r="U3881" t="s">
        <v>44</v>
      </c>
    </row>
    <row r="3882" spans="1:21">
      <c r="A3882" t="str">
        <f>"603615"</f>
        <v>603615</v>
      </c>
      <c r="B3882" t="s">
        <v>7493</v>
      </c>
      <c r="C3882">
        <v>0.49</v>
      </c>
      <c r="D3882">
        <v>8.24</v>
      </c>
      <c r="E3882">
        <v>0.04</v>
      </c>
      <c r="F3882">
        <v>8.24</v>
      </c>
      <c r="G3882">
        <v>8.25</v>
      </c>
      <c r="H3882">
        <v>11115</v>
      </c>
      <c r="I3882">
        <v>106</v>
      </c>
      <c r="J3882">
        <v>-0.11</v>
      </c>
      <c r="K3882">
        <v>0.46</v>
      </c>
      <c r="L3882">
        <v>912.97</v>
      </c>
      <c r="M3882" t="s">
        <v>5707</v>
      </c>
      <c r="N3882" t="s">
        <v>910</v>
      </c>
      <c r="O3882">
        <v>8.15</v>
      </c>
      <c r="P3882">
        <v>8.34</v>
      </c>
      <c r="Q3882">
        <v>8.11</v>
      </c>
      <c r="R3882">
        <v>8.2</v>
      </c>
      <c r="S3882">
        <v>1387.06</v>
      </c>
      <c r="T3882">
        <v>0.95</v>
      </c>
      <c r="U3882" t="s">
        <v>339</v>
      </c>
    </row>
    <row r="3883" spans="1:21">
      <c r="A3883" t="str">
        <f>"603616"</f>
        <v>603616</v>
      </c>
      <c r="B3883" t="s">
        <v>7494</v>
      </c>
      <c r="C3883">
        <v>1.31</v>
      </c>
      <c r="D3883">
        <v>5.42</v>
      </c>
      <c r="E3883">
        <v>0.07</v>
      </c>
      <c r="F3883">
        <v>5.42</v>
      </c>
      <c r="G3883">
        <v>5.43</v>
      </c>
      <c r="H3883">
        <v>23706</v>
      </c>
      <c r="I3883">
        <v>317</v>
      </c>
      <c r="J3883">
        <v>0</v>
      </c>
      <c r="K3883">
        <v>0.81</v>
      </c>
      <c r="L3883">
        <v>1280.05</v>
      </c>
      <c r="M3883" t="s">
        <v>1636</v>
      </c>
      <c r="N3883" t="s">
        <v>131</v>
      </c>
      <c r="O3883">
        <v>5.35</v>
      </c>
      <c r="P3883">
        <v>5.44</v>
      </c>
      <c r="Q3883">
        <v>5.34</v>
      </c>
      <c r="R3883">
        <v>5.35</v>
      </c>
      <c r="S3883">
        <v>38.67</v>
      </c>
      <c r="T3883">
        <v>0.85</v>
      </c>
      <c r="U3883" t="s">
        <v>44</v>
      </c>
    </row>
    <row r="3884" spans="1:21">
      <c r="A3884" t="str">
        <f>"603617"</f>
        <v>603617</v>
      </c>
      <c r="B3884" t="s">
        <v>7495</v>
      </c>
      <c r="C3884">
        <v>2.73</v>
      </c>
      <c r="D3884">
        <v>12.43</v>
      </c>
      <c r="E3884">
        <v>0.33</v>
      </c>
      <c r="F3884">
        <v>12.42</v>
      </c>
      <c r="G3884">
        <v>12.43</v>
      </c>
      <c r="H3884">
        <v>35724</v>
      </c>
      <c r="I3884">
        <v>679</v>
      </c>
      <c r="J3884">
        <v>0.32</v>
      </c>
      <c r="K3884">
        <v>1.79</v>
      </c>
      <c r="L3884">
        <v>4400.46</v>
      </c>
      <c r="M3884" t="s">
        <v>3301</v>
      </c>
      <c r="N3884" t="s">
        <v>324</v>
      </c>
      <c r="O3884">
        <v>12.13</v>
      </c>
      <c r="P3884">
        <v>12.6</v>
      </c>
      <c r="Q3884">
        <v>12.03</v>
      </c>
      <c r="R3884">
        <v>12.1</v>
      </c>
      <c r="S3884">
        <v>23.6</v>
      </c>
      <c r="T3884">
        <v>0.5</v>
      </c>
      <c r="U3884" t="s">
        <v>200</v>
      </c>
    </row>
    <row r="3885" spans="1:21">
      <c r="A3885" t="str">
        <f>"603618"</f>
        <v>603618</v>
      </c>
      <c r="B3885" t="s">
        <v>7496</v>
      </c>
      <c r="C3885">
        <v>-1.5</v>
      </c>
      <c r="D3885">
        <v>8.55</v>
      </c>
      <c r="E3885">
        <v>-0.13</v>
      </c>
      <c r="F3885">
        <v>8.54</v>
      </c>
      <c r="G3885">
        <v>8.55</v>
      </c>
      <c r="H3885">
        <v>226572</v>
      </c>
      <c r="I3885">
        <v>7013</v>
      </c>
      <c r="J3885">
        <v>1.06</v>
      </c>
      <c r="K3885">
        <v>3.28</v>
      </c>
      <c r="L3885">
        <v>19150.35</v>
      </c>
      <c r="M3885" t="s">
        <v>565</v>
      </c>
      <c r="N3885" t="s">
        <v>47</v>
      </c>
      <c r="O3885">
        <v>8.57</v>
      </c>
      <c r="P3885">
        <v>8.65</v>
      </c>
      <c r="Q3885">
        <v>8.31</v>
      </c>
      <c r="R3885">
        <v>8.68</v>
      </c>
      <c r="S3885">
        <v>48.88</v>
      </c>
      <c r="T3885">
        <v>0.66</v>
      </c>
      <c r="U3885" t="s">
        <v>200</v>
      </c>
    </row>
    <row r="3886" spans="1:21">
      <c r="A3886" t="str">
        <f>"603619"</f>
        <v>603619</v>
      </c>
      <c r="B3886" t="s">
        <v>7497</v>
      </c>
      <c r="C3886">
        <v>3.67</v>
      </c>
      <c r="D3886">
        <v>12.7</v>
      </c>
      <c r="E3886">
        <v>0.45</v>
      </c>
      <c r="F3886">
        <v>12.7</v>
      </c>
      <c r="G3886">
        <v>12.71</v>
      </c>
      <c r="H3886">
        <v>157627</v>
      </c>
      <c r="I3886">
        <v>1557</v>
      </c>
      <c r="J3886">
        <v>0.24</v>
      </c>
      <c r="K3886">
        <v>3.94</v>
      </c>
      <c r="L3886">
        <v>19795.5</v>
      </c>
      <c r="M3886" t="s">
        <v>7498</v>
      </c>
      <c r="N3886" t="s">
        <v>996</v>
      </c>
      <c r="O3886">
        <v>12.25</v>
      </c>
      <c r="P3886">
        <v>12.98</v>
      </c>
      <c r="Q3886">
        <v>12.03</v>
      </c>
      <c r="R3886">
        <v>12.25</v>
      </c>
      <c r="S3886">
        <v>96.86</v>
      </c>
      <c r="T3886">
        <v>1.47</v>
      </c>
      <c r="U3886" t="s">
        <v>848</v>
      </c>
    </row>
    <row r="3887" spans="1:21">
      <c r="A3887" t="str">
        <f>"603626"</f>
        <v>603626</v>
      </c>
      <c r="B3887" t="s">
        <v>7499</v>
      </c>
      <c r="C3887">
        <v>-0.37</v>
      </c>
      <c r="D3887">
        <v>13.57</v>
      </c>
      <c r="E3887">
        <v>-0.05</v>
      </c>
      <c r="F3887">
        <v>13.57</v>
      </c>
      <c r="G3887">
        <v>13.58</v>
      </c>
      <c r="H3887">
        <v>170363</v>
      </c>
      <c r="I3887">
        <v>2080</v>
      </c>
      <c r="J3887">
        <v>0.44</v>
      </c>
      <c r="K3887">
        <v>3.51</v>
      </c>
      <c r="L3887">
        <v>23228.59</v>
      </c>
      <c r="M3887" t="s">
        <v>7500</v>
      </c>
      <c r="N3887" t="s">
        <v>69</v>
      </c>
      <c r="O3887">
        <v>13.62</v>
      </c>
      <c r="P3887">
        <v>13.91</v>
      </c>
      <c r="Q3887">
        <v>13.49</v>
      </c>
      <c r="R3887">
        <v>13.62</v>
      </c>
      <c r="S3887">
        <v>15.57</v>
      </c>
      <c r="T3887">
        <v>0.4</v>
      </c>
      <c r="U3887" t="s">
        <v>102</v>
      </c>
    </row>
    <row r="3888" spans="1:21">
      <c r="A3888" t="str">
        <f>"603628"</f>
        <v>603628</v>
      </c>
      <c r="B3888" t="s">
        <v>7501</v>
      </c>
      <c r="C3888">
        <v>7.12</v>
      </c>
      <c r="D3888">
        <v>15.8</v>
      </c>
      <c r="E3888">
        <v>1.05</v>
      </c>
      <c r="F3888">
        <v>15.8</v>
      </c>
      <c r="G3888">
        <v>15.81</v>
      </c>
      <c r="H3888">
        <v>236471</v>
      </c>
      <c r="I3888">
        <v>2650</v>
      </c>
      <c r="J3888">
        <v>0.64</v>
      </c>
      <c r="K3888">
        <v>8.64</v>
      </c>
      <c r="L3888">
        <v>36599.34</v>
      </c>
      <c r="M3888" t="s">
        <v>7502</v>
      </c>
      <c r="N3888" t="s">
        <v>47</v>
      </c>
      <c r="O3888">
        <v>14.5</v>
      </c>
      <c r="P3888">
        <v>16.1</v>
      </c>
      <c r="Q3888">
        <v>14.38</v>
      </c>
      <c r="R3888">
        <v>14.75</v>
      </c>
      <c r="S3888">
        <v>68.36</v>
      </c>
      <c r="T3888">
        <v>2.08</v>
      </c>
      <c r="U3888" t="s">
        <v>339</v>
      </c>
    </row>
    <row r="3889" spans="1:21">
      <c r="A3889" t="str">
        <f>"603629"</f>
        <v>603629</v>
      </c>
      <c r="B3889" t="s">
        <v>7503</v>
      </c>
      <c r="C3889">
        <v>7.78</v>
      </c>
      <c r="D3889">
        <v>23.01</v>
      </c>
      <c r="E3889">
        <v>1.66</v>
      </c>
      <c r="F3889">
        <v>23</v>
      </c>
      <c r="G3889">
        <v>23.01</v>
      </c>
      <c r="H3889">
        <v>52537</v>
      </c>
      <c r="I3889">
        <v>652</v>
      </c>
      <c r="J3889">
        <v>0.04</v>
      </c>
      <c r="K3889">
        <v>17.51</v>
      </c>
      <c r="L3889">
        <v>11834.19</v>
      </c>
      <c r="M3889" t="s">
        <v>6174</v>
      </c>
      <c r="N3889" t="s">
        <v>69</v>
      </c>
      <c r="O3889">
        <v>21.37</v>
      </c>
      <c r="P3889">
        <v>23.22</v>
      </c>
      <c r="Q3889">
        <v>21.35</v>
      </c>
      <c r="R3889">
        <v>21.35</v>
      </c>
      <c r="S3889">
        <v>52.26</v>
      </c>
      <c r="T3889">
        <v>1.68</v>
      </c>
      <c r="U3889" t="s">
        <v>102</v>
      </c>
    </row>
    <row r="3890" spans="1:21">
      <c r="A3890" t="str">
        <f>"603630"</f>
        <v>603630</v>
      </c>
      <c r="B3890" t="s">
        <v>7504</v>
      </c>
      <c r="C3890">
        <v>2.02</v>
      </c>
      <c r="D3890">
        <v>21.73</v>
      </c>
      <c r="E3890">
        <v>0.43</v>
      </c>
      <c r="F3890">
        <v>21.73</v>
      </c>
      <c r="G3890">
        <v>21.74</v>
      </c>
      <c r="H3890">
        <v>30547</v>
      </c>
      <c r="I3890">
        <v>723</v>
      </c>
      <c r="J3890">
        <v>0.23</v>
      </c>
      <c r="K3890">
        <v>1.35</v>
      </c>
      <c r="L3890">
        <v>6534.44</v>
      </c>
      <c r="M3890" t="s">
        <v>7505</v>
      </c>
      <c r="N3890" t="s">
        <v>332</v>
      </c>
      <c r="O3890">
        <v>21.3</v>
      </c>
      <c r="P3890">
        <v>21.74</v>
      </c>
      <c r="Q3890">
        <v>20.9</v>
      </c>
      <c r="R3890">
        <v>21.3</v>
      </c>
      <c r="S3890">
        <v>59.31</v>
      </c>
      <c r="T3890">
        <v>0.64</v>
      </c>
      <c r="U3890" t="s">
        <v>183</v>
      </c>
    </row>
    <row r="3891" spans="1:21">
      <c r="A3891" t="str">
        <f>"603633"</f>
        <v>603633</v>
      </c>
      <c r="B3891" t="s">
        <v>7506</v>
      </c>
      <c r="C3891">
        <v>-2.4</v>
      </c>
      <c r="D3891">
        <v>14.66</v>
      </c>
      <c r="E3891">
        <v>-0.36</v>
      </c>
      <c r="F3891">
        <v>14.66</v>
      </c>
      <c r="G3891">
        <v>14.67</v>
      </c>
      <c r="H3891">
        <v>96729</v>
      </c>
      <c r="I3891">
        <v>1452</v>
      </c>
      <c r="J3891">
        <v>0.07</v>
      </c>
      <c r="K3891">
        <v>3.67</v>
      </c>
      <c r="L3891">
        <v>14363.14</v>
      </c>
      <c r="M3891" t="s">
        <v>7507</v>
      </c>
      <c r="N3891" t="s">
        <v>69</v>
      </c>
      <c r="O3891">
        <v>14.92</v>
      </c>
      <c r="P3891">
        <v>15.35</v>
      </c>
      <c r="Q3891">
        <v>14.6</v>
      </c>
      <c r="R3891">
        <v>15.02</v>
      </c>
      <c r="S3891">
        <v>73.73</v>
      </c>
      <c r="T3891">
        <v>0.63</v>
      </c>
      <c r="U3891" t="s">
        <v>848</v>
      </c>
    </row>
    <row r="3892" spans="1:21">
      <c r="A3892" t="str">
        <f>"603636"</f>
        <v>603636</v>
      </c>
      <c r="B3892" t="s">
        <v>7508</v>
      </c>
      <c r="C3892">
        <v>-0.12</v>
      </c>
      <c r="D3892">
        <v>8.46</v>
      </c>
      <c r="E3892">
        <v>-0.01</v>
      </c>
      <c r="F3892">
        <v>8.46</v>
      </c>
      <c r="G3892">
        <v>8.47</v>
      </c>
      <c r="H3892">
        <v>22839</v>
      </c>
      <c r="I3892">
        <v>426</v>
      </c>
      <c r="J3892">
        <v>-0.23</v>
      </c>
      <c r="K3892">
        <v>0.39</v>
      </c>
      <c r="L3892">
        <v>1930.52</v>
      </c>
      <c r="M3892" t="s">
        <v>7509</v>
      </c>
      <c r="N3892" t="s">
        <v>30</v>
      </c>
      <c r="O3892">
        <v>8.47</v>
      </c>
      <c r="P3892">
        <v>8.55</v>
      </c>
      <c r="Q3892">
        <v>8.38</v>
      </c>
      <c r="R3892">
        <v>8.47</v>
      </c>
      <c r="S3892" t="s">
        <v>40</v>
      </c>
      <c r="T3892">
        <v>0.78</v>
      </c>
      <c r="U3892" t="s">
        <v>339</v>
      </c>
    </row>
    <row r="3893" spans="1:21">
      <c r="A3893" t="str">
        <f>"603637"</f>
        <v>603637</v>
      </c>
      <c r="B3893" t="s">
        <v>7510</v>
      </c>
      <c r="C3893">
        <v>3.41</v>
      </c>
      <c r="D3893">
        <v>7.59</v>
      </c>
      <c r="E3893">
        <v>0.25</v>
      </c>
      <c r="F3893">
        <v>7.58</v>
      </c>
      <c r="G3893">
        <v>7.59</v>
      </c>
      <c r="H3893">
        <v>38629</v>
      </c>
      <c r="I3893">
        <v>414</v>
      </c>
      <c r="J3893">
        <v>0.13</v>
      </c>
      <c r="K3893">
        <v>1.59</v>
      </c>
      <c r="L3893">
        <v>2903.83</v>
      </c>
      <c r="M3893" t="s">
        <v>3991</v>
      </c>
      <c r="N3893" t="s">
        <v>50</v>
      </c>
      <c r="O3893">
        <v>7.24</v>
      </c>
      <c r="P3893">
        <v>7.67</v>
      </c>
      <c r="Q3893">
        <v>7.24</v>
      </c>
      <c r="R3893">
        <v>7.34</v>
      </c>
      <c r="S3893">
        <v>27.69</v>
      </c>
      <c r="T3893">
        <v>2.01</v>
      </c>
      <c r="U3893" t="s">
        <v>200</v>
      </c>
    </row>
    <row r="3894" spans="1:21">
      <c r="A3894" t="str">
        <f>"603638"</f>
        <v>603638</v>
      </c>
      <c r="B3894" t="s">
        <v>7511</v>
      </c>
      <c r="C3894">
        <v>2.59</v>
      </c>
      <c r="D3894">
        <v>33.61</v>
      </c>
      <c r="E3894">
        <v>0.85</v>
      </c>
      <c r="F3894">
        <v>33.61</v>
      </c>
      <c r="G3894">
        <v>33.62</v>
      </c>
      <c r="H3894">
        <v>56901</v>
      </c>
      <c r="I3894">
        <v>342</v>
      </c>
      <c r="J3894">
        <v>0</v>
      </c>
      <c r="K3894">
        <v>0.73</v>
      </c>
      <c r="L3894">
        <v>18856.54</v>
      </c>
      <c r="M3894" t="s">
        <v>7512</v>
      </c>
      <c r="N3894" t="s">
        <v>324</v>
      </c>
      <c r="O3894">
        <v>32.8</v>
      </c>
      <c r="P3894">
        <v>33.69</v>
      </c>
      <c r="Q3894">
        <v>32.24</v>
      </c>
      <c r="R3894">
        <v>32.76</v>
      </c>
      <c r="S3894">
        <v>55.03</v>
      </c>
      <c r="T3894">
        <v>2.08</v>
      </c>
      <c r="U3894" t="s">
        <v>221</v>
      </c>
    </row>
    <row r="3895" spans="1:21">
      <c r="A3895" t="str">
        <f>"603639"</f>
        <v>603639</v>
      </c>
      <c r="B3895" t="s">
        <v>7513</v>
      </c>
      <c r="C3895">
        <v>4.14</v>
      </c>
      <c r="D3895">
        <v>21.61</v>
      </c>
      <c r="E3895">
        <v>0.86</v>
      </c>
      <c r="F3895">
        <v>21.6</v>
      </c>
      <c r="G3895">
        <v>21.61</v>
      </c>
      <c r="H3895">
        <v>31842</v>
      </c>
      <c r="I3895">
        <v>514</v>
      </c>
      <c r="J3895">
        <v>0.05</v>
      </c>
      <c r="K3895">
        <v>0.96</v>
      </c>
      <c r="L3895">
        <v>6755.83</v>
      </c>
      <c r="M3895" t="s">
        <v>7514</v>
      </c>
      <c r="N3895" t="s">
        <v>241</v>
      </c>
      <c r="O3895">
        <v>20.85</v>
      </c>
      <c r="P3895">
        <v>21.72</v>
      </c>
      <c r="Q3895">
        <v>20.22</v>
      </c>
      <c r="R3895">
        <v>20.75</v>
      </c>
      <c r="S3895">
        <v>17.71</v>
      </c>
      <c r="T3895">
        <v>1.04</v>
      </c>
      <c r="U3895" t="s">
        <v>221</v>
      </c>
    </row>
    <row r="3896" spans="1:21">
      <c r="A3896" t="str">
        <f>"603648"</f>
        <v>603648</v>
      </c>
      <c r="B3896" t="s">
        <v>7515</v>
      </c>
      <c r="C3896">
        <v>1.21</v>
      </c>
      <c r="D3896">
        <v>8.39</v>
      </c>
      <c r="E3896">
        <v>0.1</v>
      </c>
      <c r="F3896">
        <v>8.39</v>
      </c>
      <c r="G3896">
        <v>8.4</v>
      </c>
      <c r="H3896">
        <v>28129</v>
      </c>
      <c r="I3896">
        <v>75</v>
      </c>
      <c r="J3896">
        <v>-0.35</v>
      </c>
      <c r="K3896">
        <v>0.76</v>
      </c>
      <c r="L3896">
        <v>2354.17</v>
      </c>
      <c r="M3896" t="s">
        <v>3868</v>
      </c>
      <c r="N3896" t="s">
        <v>1049</v>
      </c>
      <c r="O3896">
        <v>8.29</v>
      </c>
      <c r="P3896">
        <v>8.43</v>
      </c>
      <c r="Q3896">
        <v>8.27</v>
      </c>
      <c r="R3896">
        <v>8.29</v>
      </c>
      <c r="S3896">
        <v>20.35</v>
      </c>
      <c r="T3896">
        <v>1.25</v>
      </c>
      <c r="U3896" t="s">
        <v>848</v>
      </c>
    </row>
    <row r="3897" spans="1:21">
      <c r="A3897" t="str">
        <f>"603650"</f>
        <v>603650</v>
      </c>
      <c r="B3897" t="s">
        <v>7516</v>
      </c>
      <c r="C3897">
        <v>-1.08</v>
      </c>
      <c r="D3897">
        <v>56.88</v>
      </c>
      <c r="E3897">
        <v>-0.62</v>
      </c>
      <c r="F3897">
        <v>56.87</v>
      </c>
      <c r="G3897">
        <v>56.88</v>
      </c>
      <c r="H3897">
        <v>40967</v>
      </c>
      <c r="I3897">
        <v>679</v>
      </c>
      <c r="J3897">
        <v>0.02</v>
      </c>
      <c r="K3897">
        <v>0.69</v>
      </c>
      <c r="L3897">
        <v>23373.08</v>
      </c>
      <c r="M3897" t="s">
        <v>7517</v>
      </c>
      <c r="N3897" t="s">
        <v>309</v>
      </c>
      <c r="O3897">
        <v>58</v>
      </c>
      <c r="P3897">
        <v>58.48</v>
      </c>
      <c r="Q3897">
        <v>56.29</v>
      </c>
      <c r="R3897">
        <v>57.5</v>
      </c>
      <c r="S3897">
        <v>91.84</v>
      </c>
      <c r="T3897">
        <v>0.46</v>
      </c>
      <c r="U3897" t="s">
        <v>848</v>
      </c>
    </row>
    <row r="3898" spans="1:21">
      <c r="A3898" t="str">
        <f>"603655"</f>
        <v>603655</v>
      </c>
      <c r="B3898" t="s">
        <v>7518</v>
      </c>
      <c r="C3898">
        <v>5.52</v>
      </c>
      <c r="D3898">
        <v>25.63</v>
      </c>
      <c r="E3898">
        <v>1.34</v>
      </c>
      <c r="F3898">
        <v>25.63</v>
      </c>
      <c r="G3898">
        <v>25.64</v>
      </c>
      <c r="H3898">
        <v>33591</v>
      </c>
      <c r="I3898">
        <v>640</v>
      </c>
      <c r="J3898">
        <v>-0.03</v>
      </c>
      <c r="K3898">
        <v>3.17</v>
      </c>
      <c r="L3898">
        <v>8509.69</v>
      </c>
      <c r="M3898" t="s">
        <v>3509</v>
      </c>
      <c r="N3898" t="s">
        <v>91</v>
      </c>
      <c r="O3898">
        <v>24.42</v>
      </c>
      <c r="P3898">
        <v>26.19</v>
      </c>
      <c r="Q3898">
        <v>24.17</v>
      </c>
      <c r="R3898">
        <v>24.29</v>
      </c>
      <c r="S3898">
        <v>98.25</v>
      </c>
      <c r="T3898">
        <v>1.59</v>
      </c>
      <c r="U3898" t="s">
        <v>102</v>
      </c>
    </row>
    <row r="3899" spans="1:21">
      <c r="A3899" t="str">
        <f>"603656"</f>
        <v>603656</v>
      </c>
      <c r="B3899" t="s">
        <v>7519</v>
      </c>
      <c r="C3899">
        <v>3.05</v>
      </c>
      <c r="D3899">
        <v>12.52</v>
      </c>
      <c r="E3899">
        <v>0.37</v>
      </c>
      <c r="F3899">
        <v>12.51</v>
      </c>
      <c r="G3899">
        <v>12.52</v>
      </c>
      <c r="H3899">
        <v>15778</v>
      </c>
      <c r="I3899">
        <v>192</v>
      </c>
      <c r="J3899">
        <v>0.08</v>
      </c>
      <c r="K3899">
        <v>1.05</v>
      </c>
      <c r="L3899">
        <v>1961.96</v>
      </c>
      <c r="M3899" t="s">
        <v>7520</v>
      </c>
      <c r="N3899" t="s">
        <v>324</v>
      </c>
      <c r="O3899">
        <v>12.1</v>
      </c>
      <c r="P3899">
        <v>12.57</v>
      </c>
      <c r="Q3899">
        <v>12.1</v>
      </c>
      <c r="R3899">
        <v>12.15</v>
      </c>
      <c r="S3899">
        <v>102.29</v>
      </c>
      <c r="T3899">
        <v>1.24</v>
      </c>
      <c r="U3899" t="s">
        <v>193</v>
      </c>
    </row>
    <row r="3900" spans="1:21">
      <c r="A3900" t="str">
        <f>"603657"</f>
        <v>603657</v>
      </c>
      <c r="B3900" t="s">
        <v>7521</v>
      </c>
      <c r="C3900">
        <v>2.07</v>
      </c>
      <c r="D3900">
        <v>21.2</v>
      </c>
      <c r="E3900">
        <v>0.43</v>
      </c>
      <c r="F3900">
        <v>21.18</v>
      </c>
      <c r="G3900">
        <v>21.2</v>
      </c>
      <c r="H3900">
        <v>12967</v>
      </c>
      <c r="I3900">
        <v>191</v>
      </c>
      <c r="J3900">
        <v>-0.37</v>
      </c>
      <c r="K3900">
        <v>0.96</v>
      </c>
      <c r="L3900">
        <v>2725.91</v>
      </c>
      <c r="M3900" t="s">
        <v>769</v>
      </c>
      <c r="N3900" t="s">
        <v>60</v>
      </c>
      <c r="O3900">
        <v>20.51</v>
      </c>
      <c r="P3900">
        <v>21.45</v>
      </c>
      <c r="Q3900">
        <v>20.5</v>
      </c>
      <c r="R3900">
        <v>20.77</v>
      </c>
      <c r="S3900">
        <v>23.84</v>
      </c>
      <c r="T3900">
        <v>0.74</v>
      </c>
      <c r="U3900" t="s">
        <v>200</v>
      </c>
    </row>
    <row r="3901" spans="1:21">
      <c r="A3901" t="str">
        <f>"603658"</f>
        <v>603658</v>
      </c>
      <c r="B3901" t="s">
        <v>7522</v>
      </c>
      <c r="C3901">
        <v>-2.63</v>
      </c>
      <c r="D3901">
        <v>57.05</v>
      </c>
      <c r="E3901">
        <v>-1.54</v>
      </c>
      <c r="F3901">
        <v>57.04</v>
      </c>
      <c r="G3901">
        <v>57.05</v>
      </c>
      <c r="H3901">
        <v>55073</v>
      </c>
      <c r="I3901">
        <v>1582</v>
      </c>
      <c r="J3901">
        <v>-0.04</v>
      </c>
      <c r="K3901">
        <v>0.94</v>
      </c>
      <c r="L3901">
        <v>31689.73</v>
      </c>
      <c r="M3901" t="s">
        <v>7523</v>
      </c>
      <c r="N3901" t="s">
        <v>186</v>
      </c>
      <c r="O3901">
        <v>58.12</v>
      </c>
      <c r="P3901">
        <v>59.09</v>
      </c>
      <c r="Q3901">
        <v>57.01</v>
      </c>
      <c r="R3901">
        <v>58.59</v>
      </c>
      <c r="S3901">
        <v>35.01</v>
      </c>
      <c r="T3901">
        <v>1.09</v>
      </c>
      <c r="U3901" t="s">
        <v>224</v>
      </c>
    </row>
    <row r="3902" spans="1:21">
      <c r="A3902" t="str">
        <f>"603659"</f>
        <v>603659</v>
      </c>
      <c r="B3902" t="s">
        <v>7524</v>
      </c>
      <c r="C3902">
        <v>-1.52</v>
      </c>
      <c r="D3902">
        <v>171.87</v>
      </c>
      <c r="E3902">
        <v>-2.66</v>
      </c>
      <c r="F3902">
        <v>171.86</v>
      </c>
      <c r="G3902">
        <v>171.87</v>
      </c>
      <c r="H3902">
        <v>46331</v>
      </c>
      <c r="I3902">
        <v>680</v>
      </c>
      <c r="J3902">
        <v>0.08</v>
      </c>
      <c r="K3902">
        <v>0.67</v>
      </c>
      <c r="L3902">
        <v>79725.96</v>
      </c>
      <c r="M3902" t="s">
        <v>7525</v>
      </c>
      <c r="N3902" t="s">
        <v>309</v>
      </c>
      <c r="O3902">
        <v>175.47</v>
      </c>
      <c r="P3902">
        <v>175.88</v>
      </c>
      <c r="Q3902">
        <v>169</v>
      </c>
      <c r="R3902">
        <v>174.53</v>
      </c>
      <c r="S3902">
        <v>72.72</v>
      </c>
      <c r="T3902">
        <v>0.9</v>
      </c>
      <c r="U3902" t="s">
        <v>848</v>
      </c>
    </row>
    <row r="3903" spans="1:21">
      <c r="A3903" t="str">
        <f>"603660"</f>
        <v>603660</v>
      </c>
      <c r="B3903" t="s">
        <v>7526</v>
      </c>
      <c r="C3903">
        <v>0.64</v>
      </c>
      <c r="D3903">
        <v>6.29</v>
      </c>
      <c r="E3903">
        <v>0.04</v>
      </c>
      <c r="F3903">
        <v>6.29</v>
      </c>
      <c r="G3903">
        <v>6.3</v>
      </c>
      <c r="H3903">
        <v>30476</v>
      </c>
      <c r="I3903">
        <v>257</v>
      </c>
      <c r="J3903">
        <v>-0.15</v>
      </c>
      <c r="K3903">
        <v>0.62</v>
      </c>
      <c r="L3903">
        <v>1913.56</v>
      </c>
      <c r="M3903" t="s">
        <v>878</v>
      </c>
      <c r="N3903" t="s">
        <v>153</v>
      </c>
      <c r="O3903">
        <v>6.29</v>
      </c>
      <c r="P3903">
        <v>6.34</v>
      </c>
      <c r="Q3903">
        <v>6.19</v>
      </c>
      <c r="R3903">
        <v>6.25</v>
      </c>
      <c r="S3903" t="s">
        <v>40</v>
      </c>
      <c r="T3903">
        <v>0.89</v>
      </c>
      <c r="U3903" t="s">
        <v>102</v>
      </c>
    </row>
    <row r="3904" spans="1:21">
      <c r="A3904" t="str">
        <f>"603661"</f>
        <v>603661</v>
      </c>
      <c r="B3904" t="s">
        <v>7527</v>
      </c>
      <c r="C3904">
        <v>-0.07</v>
      </c>
      <c r="D3904">
        <v>40.35</v>
      </c>
      <c r="E3904">
        <v>-0.03</v>
      </c>
      <c r="F3904">
        <v>40.35</v>
      </c>
      <c r="G3904">
        <v>40.36</v>
      </c>
      <c r="H3904">
        <v>4703</v>
      </c>
      <c r="I3904">
        <v>67</v>
      </c>
      <c r="J3904">
        <v>0.02</v>
      </c>
      <c r="K3904">
        <v>0.47</v>
      </c>
      <c r="L3904">
        <v>1884.28</v>
      </c>
      <c r="M3904" t="s">
        <v>4495</v>
      </c>
      <c r="N3904" t="s">
        <v>910</v>
      </c>
      <c r="O3904">
        <v>40.3</v>
      </c>
      <c r="P3904">
        <v>40.43</v>
      </c>
      <c r="Q3904">
        <v>39.74</v>
      </c>
      <c r="R3904">
        <v>40.38</v>
      </c>
      <c r="S3904">
        <v>11.41</v>
      </c>
      <c r="T3904">
        <v>0.54</v>
      </c>
      <c r="U3904" t="s">
        <v>200</v>
      </c>
    </row>
    <row r="3905" spans="1:21">
      <c r="A3905" t="str">
        <f>"603662"</f>
        <v>603662</v>
      </c>
      <c r="B3905" t="s">
        <v>7528</v>
      </c>
      <c r="C3905">
        <v>0.38</v>
      </c>
      <c r="D3905">
        <v>23.9</v>
      </c>
      <c r="E3905">
        <v>0.09</v>
      </c>
      <c r="F3905">
        <v>23.9</v>
      </c>
      <c r="G3905">
        <v>23.91</v>
      </c>
      <c r="H3905">
        <v>26953</v>
      </c>
      <c r="I3905">
        <v>556</v>
      </c>
      <c r="J3905">
        <v>0.08</v>
      </c>
      <c r="K3905">
        <v>2.53</v>
      </c>
      <c r="L3905">
        <v>6436.81</v>
      </c>
      <c r="M3905" t="s">
        <v>7529</v>
      </c>
      <c r="N3905" t="s">
        <v>1028</v>
      </c>
      <c r="O3905">
        <v>23.53</v>
      </c>
      <c r="P3905">
        <v>24.12</v>
      </c>
      <c r="Q3905">
        <v>23.53</v>
      </c>
      <c r="R3905">
        <v>23.81</v>
      </c>
      <c r="S3905">
        <v>22.06</v>
      </c>
      <c r="T3905">
        <v>0.81</v>
      </c>
      <c r="U3905" t="s">
        <v>200</v>
      </c>
    </row>
    <row r="3906" spans="1:21">
      <c r="A3906" t="str">
        <f>"603663"</f>
        <v>603663</v>
      </c>
      <c r="B3906" t="s">
        <v>7530</v>
      </c>
      <c r="C3906">
        <v>0.4</v>
      </c>
      <c r="D3906">
        <v>22.48</v>
      </c>
      <c r="E3906">
        <v>0.09</v>
      </c>
      <c r="F3906">
        <v>22.48</v>
      </c>
      <c r="G3906">
        <v>22.49</v>
      </c>
      <c r="H3906">
        <v>38150</v>
      </c>
      <c r="I3906">
        <v>532</v>
      </c>
      <c r="J3906">
        <v>0</v>
      </c>
      <c r="K3906">
        <v>1.88</v>
      </c>
      <c r="L3906">
        <v>8559.08</v>
      </c>
      <c r="M3906" t="s">
        <v>7531</v>
      </c>
      <c r="N3906" t="s">
        <v>750</v>
      </c>
      <c r="O3906">
        <v>22.39</v>
      </c>
      <c r="P3906">
        <v>22.88</v>
      </c>
      <c r="Q3906">
        <v>21.98</v>
      </c>
      <c r="R3906">
        <v>22.39</v>
      </c>
      <c r="S3906">
        <v>52.08</v>
      </c>
      <c r="T3906">
        <v>0.73</v>
      </c>
      <c r="U3906" t="s">
        <v>339</v>
      </c>
    </row>
    <row r="3907" spans="1:21">
      <c r="A3907" t="str">
        <f>"603665"</f>
        <v>603665</v>
      </c>
      <c r="B3907" t="s">
        <v>7532</v>
      </c>
      <c r="C3907">
        <v>-0.8</v>
      </c>
      <c r="D3907">
        <v>24.7</v>
      </c>
      <c r="E3907">
        <v>-0.2</v>
      </c>
      <c r="F3907">
        <v>24.69</v>
      </c>
      <c r="G3907">
        <v>24.7</v>
      </c>
      <c r="H3907">
        <v>33777</v>
      </c>
      <c r="I3907">
        <v>206</v>
      </c>
      <c r="J3907">
        <v>0</v>
      </c>
      <c r="K3907">
        <v>2.13</v>
      </c>
      <c r="L3907">
        <v>8324.99</v>
      </c>
      <c r="M3907" t="s">
        <v>7533</v>
      </c>
      <c r="N3907" t="s">
        <v>664</v>
      </c>
      <c r="O3907">
        <v>24.7</v>
      </c>
      <c r="P3907">
        <v>25.2</v>
      </c>
      <c r="Q3907">
        <v>24.07</v>
      </c>
      <c r="R3907">
        <v>24.9</v>
      </c>
      <c r="S3907">
        <v>81.73</v>
      </c>
      <c r="T3907">
        <v>1.18</v>
      </c>
      <c r="U3907" t="s">
        <v>200</v>
      </c>
    </row>
    <row r="3908" spans="1:21">
      <c r="A3908" t="str">
        <f>"603666"</f>
        <v>603666</v>
      </c>
      <c r="B3908" t="s">
        <v>7534</v>
      </c>
      <c r="C3908">
        <v>-0.49</v>
      </c>
      <c r="D3908">
        <v>77.64</v>
      </c>
      <c r="E3908">
        <v>-0.38</v>
      </c>
      <c r="F3908">
        <v>77.62</v>
      </c>
      <c r="G3908">
        <v>77.64</v>
      </c>
      <c r="H3908">
        <v>19080</v>
      </c>
      <c r="I3908">
        <v>272</v>
      </c>
      <c r="J3908">
        <v>0.41</v>
      </c>
      <c r="K3908">
        <v>0.93</v>
      </c>
      <c r="L3908">
        <v>14915.69</v>
      </c>
      <c r="M3908" t="s">
        <v>7535</v>
      </c>
      <c r="N3908" t="s">
        <v>324</v>
      </c>
      <c r="O3908">
        <v>77.9</v>
      </c>
      <c r="P3908">
        <v>79.3</v>
      </c>
      <c r="Q3908">
        <v>76.2</v>
      </c>
      <c r="R3908">
        <v>78.02</v>
      </c>
      <c r="S3908">
        <v>53.26</v>
      </c>
      <c r="T3908">
        <v>0.35</v>
      </c>
      <c r="U3908" t="s">
        <v>102</v>
      </c>
    </row>
    <row r="3909" spans="1:21">
      <c r="A3909" t="str">
        <f>"603667"</f>
        <v>603667</v>
      </c>
      <c r="B3909" t="s">
        <v>7536</v>
      </c>
      <c r="C3909">
        <v>10.03</v>
      </c>
      <c r="D3909">
        <v>17.88</v>
      </c>
      <c r="E3909">
        <v>1.63</v>
      </c>
      <c r="F3909">
        <v>17.88</v>
      </c>
      <c r="G3909" t="s">
        <v>40</v>
      </c>
      <c r="H3909">
        <v>203534</v>
      </c>
      <c r="I3909">
        <v>161</v>
      </c>
      <c r="J3909">
        <v>0</v>
      </c>
      <c r="K3909">
        <v>7.68</v>
      </c>
      <c r="L3909">
        <v>34867.87</v>
      </c>
      <c r="M3909" t="s">
        <v>7230</v>
      </c>
      <c r="N3909" t="s">
        <v>347</v>
      </c>
      <c r="O3909">
        <v>16.01</v>
      </c>
      <c r="P3909">
        <v>17.88</v>
      </c>
      <c r="Q3909">
        <v>15.98</v>
      </c>
      <c r="R3909">
        <v>16.25</v>
      </c>
      <c r="S3909">
        <v>34.55</v>
      </c>
      <c r="T3909">
        <v>1.76</v>
      </c>
      <c r="U3909" t="s">
        <v>200</v>
      </c>
    </row>
    <row r="3910" spans="1:21">
      <c r="A3910" t="str">
        <f>"603668"</f>
        <v>603668</v>
      </c>
      <c r="B3910" t="s">
        <v>7537</v>
      </c>
      <c r="C3910">
        <v>-1</v>
      </c>
      <c r="D3910">
        <v>7.94</v>
      </c>
      <c r="E3910">
        <v>-0.08</v>
      </c>
      <c r="F3910">
        <v>7.94</v>
      </c>
      <c r="G3910">
        <v>7.95</v>
      </c>
      <c r="H3910">
        <v>54540</v>
      </c>
      <c r="I3910">
        <v>800</v>
      </c>
      <c r="J3910">
        <v>0</v>
      </c>
      <c r="K3910">
        <v>1.61</v>
      </c>
      <c r="L3910">
        <v>4320.77</v>
      </c>
      <c r="M3910" t="s">
        <v>4767</v>
      </c>
      <c r="N3910" t="s">
        <v>124</v>
      </c>
      <c r="O3910">
        <v>8.01</v>
      </c>
      <c r="P3910">
        <v>8.04</v>
      </c>
      <c r="Q3910">
        <v>7.84</v>
      </c>
      <c r="R3910">
        <v>8.02</v>
      </c>
      <c r="S3910">
        <v>30.95</v>
      </c>
      <c r="T3910">
        <v>0.7</v>
      </c>
      <c r="U3910" t="s">
        <v>339</v>
      </c>
    </row>
    <row r="3911" spans="1:21">
      <c r="A3911" t="str">
        <f>"603669"</f>
        <v>603669</v>
      </c>
      <c r="B3911" t="s">
        <v>7538</v>
      </c>
      <c r="C3911">
        <v>0</v>
      </c>
      <c r="D3911">
        <v>8.35</v>
      </c>
      <c r="E3911">
        <v>0</v>
      </c>
      <c r="F3911">
        <v>8.35</v>
      </c>
      <c r="G3911">
        <v>8.36</v>
      </c>
      <c r="H3911">
        <v>8261</v>
      </c>
      <c r="I3911">
        <v>46</v>
      </c>
      <c r="J3911">
        <v>-0.11</v>
      </c>
      <c r="K3911">
        <v>0.11</v>
      </c>
      <c r="L3911">
        <v>690.64</v>
      </c>
      <c r="M3911" t="s">
        <v>7539</v>
      </c>
      <c r="N3911" t="s">
        <v>192</v>
      </c>
      <c r="O3911">
        <v>8.37</v>
      </c>
      <c r="P3911">
        <v>8.45</v>
      </c>
      <c r="Q3911">
        <v>8.3</v>
      </c>
      <c r="R3911">
        <v>8.35</v>
      </c>
      <c r="S3911">
        <v>57.25</v>
      </c>
      <c r="T3911">
        <v>0.54</v>
      </c>
      <c r="U3911" t="s">
        <v>694</v>
      </c>
    </row>
    <row r="3912" spans="1:21">
      <c r="A3912" t="str">
        <f>"603676"</f>
        <v>603676</v>
      </c>
      <c r="B3912" t="s">
        <v>7540</v>
      </c>
      <c r="C3912">
        <v>0.85</v>
      </c>
      <c r="D3912">
        <v>8.31</v>
      </c>
      <c r="E3912">
        <v>0.07</v>
      </c>
      <c r="F3912">
        <v>8.31</v>
      </c>
      <c r="G3912">
        <v>8.32</v>
      </c>
      <c r="H3912">
        <v>17147</v>
      </c>
      <c r="I3912">
        <v>270</v>
      </c>
      <c r="J3912">
        <v>0.48</v>
      </c>
      <c r="K3912">
        <v>0.41</v>
      </c>
      <c r="L3912">
        <v>1406.39</v>
      </c>
      <c r="M3912" t="s">
        <v>506</v>
      </c>
      <c r="N3912" t="s">
        <v>192</v>
      </c>
      <c r="O3912">
        <v>8.23</v>
      </c>
      <c r="P3912">
        <v>8.32</v>
      </c>
      <c r="Q3912">
        <v>8.1</v>
      </c>
      <c r="R3912">
        <v>8.24</v>
      </c>
      <c r="S3912">
        <v>33</v>
      </c>
      <c r="T3912">
        <v>1.12</v>
      </c>
      <c r="U3912" t="s">
        <v>694</v>
      </c>
    </row>
    <row r="3913" spans="1:21">
      <c r="A3913" t="str">
        <f>"603677"</f>
        <v>603677</v>
      </c>
      <c r="B3913" t="s">
        <v>7541</v>
      </c>
      <c r="C3913">
        <v>2.82</v>
      </c>
      <c r="D3913">
        <v>12.03</v>
      </c>
      <c r="E3913">
        <v>0.33</v>
      </c>
      <c r="F3913">
        <v>12.02</v>
      </c>
      <c r="G3913">
        <v>12.03</v>
      </c>
      <c r="H3913">
        <v>20894</v>
      </c>
      <c r="I3913">
        <v>124</v>
      </c>
      <c r="J3913">
        <v>0.08</v>
      </c>
      <c r="K3913">
        <v>1.09</v>
      </c>
      <c r="L3913">
        <v>2480.6</v>
      </c>
      <c r="M3913" t="s">
        <v>7542</v>
      </c>
      <c r="N3913" t="s">
        <v>60</v>
      </c>
      <c r="O3913">
        <v>11.66</v>
      </c>
      <c r="P3913">
        <v>12.06</v>
      </c>
      <c r="Q3913">
        <v>11.65</v>
      </c>
      <c r="R3913">
        <v>11.7</v>
      </c>
      <c r="S3913">
        <v>22.95</v>
      </c>
      <c r="T3913">
        <v>1.64</v>
      </c>
      <c r="U3913" t="s">
        <v>200</v>
      </c>
    </row>
    <row r="3914" spans="1:21">
      <c r="A3914" t="str">
        <f>"603678"</f>
        <v>603678</v>
      </c>
      <c r="B3914" t="s">
        <v>7543</v>
      </c>
      <c r="C3914">
        <v>-1.71</v>
      </c>
      <c r="D3914">
        <v>77</v>
      </c>
      <c r="E3914">
        <v>-1.34</v>
      </c>
      <c r="F3914">
        <v>77</v>
      </c>
      <c r="G3914">
        <v>77.02</v>
      </c>
      <c r="H3914">
        <v>50780</v>
      </c>
      <c r="I3914">
        <v>293</v>
      </c>
      <c r="J3914">
        <v>0.38</v>
      </c>
      <c r="K3914">
        <v>1.11</v>
      </c>
      <c r="L3914">
        <v>39473.62</v>
      </c>
      <c r="M3914" t="s">
        <v>7544</v>
      </c>
      <c r="N3914" t="s">
        <v>69</v>
      </c>
      <c r="O3914">
        <v>78</v>
      </c>
      <c r="P3914">
        <v>79.47</v>
      </c>
      <c r="Q3914">
        <v>76.28</v>
      </c>
      <c r="R3914">
        <v>78.34</v>
      </c>
      <c r="S3914">
        <v>33.97</v>
      </c>
      <c r="T3914">
        <v>0.68</v>
      </c>
      <c r="U3914" t="s">
        <v>339</v>
      </c>
    </row>
    <row r="3915" spans="1:21">
      <c r="A3915" t="str">
        <f>"603679"</f>
        <v>603679</v>
      </c>
      <c r="B3915" t="s">
        <v>7545</v>
      </c>
      <c r="C3915">
        <v>2.43</v>
      </c>
      <c r="D3915">
        <v>13.93</v>
      </c>
      <c r="E3915">
        <v>0.33</v>
      </c>
      <c r="F3915">
        <v>13.92</v>
      </c>
      <c r="G3915">
        <v>13.93</v>
      </c>
      <c r="H3915">
        <v>11785</v>
      </c>
      <c r="I3915">
        <v>148</v>
      </c>
      <c r="J3915">
        <v>0.07</v>
      </c>
      <c r="K3915">
        <v>0.83</v>
      </c>
      <c r="L3915">
        <v>1636.34</v>
      </c>
      <c r="M3915" t="s">
        <v>7546</v>
      </c>
      <c r="N3915" t="s">
        <v>47</v>
      </c>
      <c r="O3915">
        <v>13.64</v>
      </c>
      <c r="P3915">
        <v>14.08</v>
      </c>
      <c r="Q3915">
        <v>13.63</v>
      </c>
      <c r="R3915">
        <v>13.6</v>
      </c>
      <c r="S3915">
        <v>143.43</v>
      </c>
      <c r="T3915">
        <v>0.63</v>
      </c>
      <c r="U3915" t="s">
        <v>196</v>
      </c>
    </row>
    <row r="3916" spans="1:21">
      <c r="A3916" t="str">
        <f>"603680"</f>
        <v>603680</v>
      </c>
      <c r="B3916" t="s">
        <v>7547</v>
      </c>
      <c r="C3916">
        <v>-0.12</v>
      </c>
      <c r="D3916">
        <v>8.57</v>
      </c>
      <c r="E3916">
        <v>-0.01</v>
      </c>
      <c r="F3916">
        <v>8.57</v>
      </c>
      <c r="G3916">
        <v>8.58</v>
      </c>
      <c r="H3916">
        <v>12384</v>
      </c>
      <c r="I3916">
        <v>418</v>
      </c>
      <c r="J3916">
        <v>-0.11</v>
      </c>
      <c r="K3916">
        <v>0.16</v>
      </c>
      <c r="L3916">
        <v>1056.64</v>
      </c>
      <c r="M3916" t="s">
        <v>7548</v>
      </c>
      <c r="N3916" t="s">
        <v>43</v>
      </c>
      <c r="O3916">
        <v>8.61</v>
      </c>
      <c r="P3916">
        <v>8.62</v>
      </c>
      <c r="Q3916">
        <v>8.45</v>
      </c>
      <c r="R3916">
        <v>8.58</v>
      </c>
      <c r="S3916">
        <v>20.99</v>
      </c>
      <c r="T3916">
        <v>0.89</v>
      </c>
      <c r="U3916" t="s">
        <v>102</v>
      </c>
    </row>
    <row r="3917" spans="1:21">
      <c r="A3917" t="str">
        <f>"603681"</f>
        <v>603681</v>
      </c>
      <c r="B3917" t="s">
        <v>7549</v>
      </c>
      <c r="C3917">
        <v>3.75</v>
      </c>
      <c r="D3917">
        <v>40.08</v>
      </c>
      <c r="E3917">
        <v>1.45</v>
      </c>
      <c r="F3917">
        <v>40.08</v>
      </c>
      <c r="G3917">
        <v>40.09</v>
      </c>
      <c r="H3917">
        <v>64778</v>
      </c>
      <c r="I3917">
        <v>733</v>
      </c>
      <c r="J3917">
        <v>0.23</v>
      </c>
      <c r="K3917">
        <v>7.52</v>
      </c>
      <c r="L3917">
        <v>25495.45</v>
      </c>
      <c r="M3917" t="s">
        <v>7550</v>
      </c>
      <c r="N3917" t="s">
        <v>309</v>
      </c>
      <c r="O3917">
        <v>39</v>
      </c>
      <c r="P3917">
        <v>40.25</v>
      </c>
      <c r="Q3917">
        <v>38.34</v>
      </c>
      <c r="R3917">
        <v>38.63</v>
      </c>
      <c r="S3917">
        <v>29.55</v>
      </c>
      <c r="T3917">
        <v>2.37</v>
      </c>
      <c r="U3917" t="s">
        <v>848</v>
      </c>
    </row>
    <row r="3918" spans="1:21">
      <c r="A3918" t="str">
        <f>"603682"</f>
        <v>603682</v>
      </c>
      <c r="B3918" t="s">
        <v>7551</v>
      </c>
      <c r="C3918">
        <v>0.54</v>
      </c>
      <c r="D3918">
        <v>5.57</v>
      </c>
      <c r="E3918">
        <v>0.03</v>
      </c>
      <c r="F3918">
        <v>5.56</v>
      </c>
      <c r="G3918">
        <v>5.57</v>
      </c>
      <c r="H3918">
        <v>10799</v>
      </c>
      <c r="I3918">
        <v>335</v>
      </c>
      <c r="J3918">
        <v>0.18</v>
      </c>
      <c r="K3918">
        <v>0.6</v>
      </c>
      <c r="L3918">
        <v>598.7</v>
      </c>
      <c r="M3918" t="s">
        <v>3900</v>
      </c>
      <c r="N3918" t="s">
        <v>134</v>
      </c>
      <c r="O3918">
        <v>5.52</v>
      </c>
      <c r="P3918">
        <v>5.58</v>
      </c>
      <c r="Q3918">
        <v>5.51</v>
      </c>
      <c r="R3918">
        <v>5.54</v>
      </c>
      <c r="S3918">
        <v>20.37</v>
      </c>
      <c r="T3918">
        <v>0.74</v>
      </c>
      <c r="U3918" t="s">
        <v>848</v>
      </c>
    </row>
    <row r="3919" spans="1:21">
      <c r="A3919" t="str">
        <f>"603683"</f>
        <v>603683</v>
      </c>
      <c r="B3919" t="s">
        <v>7552</v>
      </c>
      <c r="C3919">
        <v>-0.22</v>
      </c>
      <c r="D3919">
        <v>13.62</v>
      </c>
      <c r="E3919">
        <v>-0.03</v>
      </c>
      <c r="F3919">
        <v>13.62</v>
      </c>
      <c r="G3919">
        <v>13.63</v>
      </c>
      <c r="H3919">
        <v>48132</v>
      </c>
      <c r="I3919">
        <v>759</v>
      </c>
      <c r="J3919">
        <v>0</v>
      </c>
      <c r="K3919">
        <v>2.71</v>
      </c>
      <c r="L3919">
        <v>6585.81</v>
      </c>
      <c r="M3919" t="s">
        <v>255</v>
      </c>
      <c r="N3919" t="s">
        <v>309</v>
      </c>
      <c r="O3919">
        <v>13.52</v>
      </c>
      <c r="P3919">
        <v>13.88</v>
      </c>
      <c r="Q3919">
        <v>13.48</v>
      </c>
      <c r="R3919">
        <v>13.65</v>
      </c>
      <c r="S3919">
        <v>59.98</v>
      </c>
      <c r="T3919">
        <v>0.58</v>
      </c>
      <c r="U3919" t="s">
        <v>848</v>
      </c>
    </row>
    <row r="3920" spans="1:21">
      <c r="A3920" t="str">
        <f>"603685"</f>
        <v>603685</v>
      </c>
      <c r="B3920" t="s">
        <v>7553</v>
      </c>
      <c r="C3920">
        <v>2.44</v>
      </c>
      <c r="D3920">
        <v>12.17</v>
      </c>
      <c r="E3920">
        <v>0.29</v>
      </c>
      <c r="F3920">
        <v>12.16</v>
      </c>
      <c r="G3920">
        <v>12.17</v>
      </c>
      <c r="H3920">
        <v>14555</v>
      </c>
      <c r="I3920">
        <v>71</v>
      </c>
      <c r="J3920">
        <v>0</v>
      </c>
      <c r="K3920">
        <v>0.86</v>
      </c>
      <c r="L3920">
        <v>1758.25</v>
      </c>
      <c r="M3920" t="s">
        <v>7554</v>
      </c>
      <c r="N3920" t="s">
        <v>47</v>
      </c>
      <c r="O3920">
        <v>11.91</v>
      </c>
      <c r="P3920">
        <v>12.28</v>
      </c>
      <c r="Q3920">
        <v>11.82</v>
      </c>
      <c r="R3920">
        <v>11.88</v>
      </c>
      <c r="S3920">
        <v>17.38</v>
      </c>
      <c r="T3920">
        <v>1.52</v>
      </c>
      <c r="U3920" t="s">
        <v>200</v>
      </c>
    </row>
    <row r="3921" spans="1:21">
      <c r="A3921" t="str">
        <f>"603686"</f>
        <v>603686</v>
      </c>
      <c r="B3921" t="s">
        <v>7555</v>
      </c>
      <c r="C3921">
        <v>0.32</v>
      </c>
      <c r="D3921">
        <v>12.68</v>
      </c>
      <c r="E3921">
        <v>0.04</v>
      </c>
      <c r="F3921">
        <v>12.68</v>
      </c>
      <c r="G3921">
        <v>12.69</v>
      </c>
      <c r="H3921">
        <v>27963</v>
      </c>
      <c r="I3921">
        <v>524</v>
      </c>
      <c r="J3921">
        <v>-0.07</v>
      </c>
      <c r="K3921">
        <v>0.67</v>
      </c>
      <c r="L3921">
        <v>3522.94</v>
      </c>
      <c r="M3921" t="s">
        <v>7556</v>
      </c>
      <c r="N3921" t="s">
        <v>33</v>
      </c>
      <c r="O3921">
        <v>12.64</v>
      </c>
      <c r="P3921">
        <v>12.69</v>
      </c>
      <c r="Q3921">
        <v>12.51</v>
      </c>
      <c r="R3921">
        <v>12.64</v>
      </c>
      <c r="S3921">
        <v>12.85</v>
      </c>
      <c r="T3921">
        <v>1.09</v>
      </c>
      <c r="U3921" t="s">
        <v>339</v>
      </c>
    </row>
    <row r="3922" spans="1:21">
      <c r="A3922" t="str">
        <f>"603687"</f>
        <v>603687</v>
      </c>
      <c r="B3922" t="s">
        <v>7557</v>
      </c>
      <c r="C3922">
        <v>-1.89</v>
      </c>
      <c r="D3922">
        <v>10.93</v>
      </c>
      <c r="E3922">
        <v>-0.21</v>
      </c>
      <c r="F3922">
        <v>10.93</v>
      </c>
      <c r="G3922">
        <v>10.94</v>
      </c>
      <c r="H3922">
        <v>19744</v>
      </c>
      <c r="I3922">
        <v>399</v>
      </c>
      <c r="J3922">
        <v>-0.08</v>
      </c>
      <c r="K3922">
        <v>1.39</v>
      </c>
      <c r="L3922">
        <v>2167</v>
      </c>
      <c r="M3922" t="s">
        <v>7558</v>
      </c>
      <c r="N3922" t="s">
        <v>482</v>
      </c>
      <c r="O3922">
        <v>11.23</v>
      </c>
      <c r="P3922">
        <v>11.24</v>
      </c>
      <c r="Q3922">
        <v>10.88</v>
      </c>
      <c r="R3922">
        <v>11.14</v>
      </c>
      <c r="S3922">
        <v>71.53</v>
      </c>
      <c r="T3922">
        <v>0.56</v>
      </c>
      <c r="U3922" t="s">
        <v>200</v>
      </c>
    </row>
    <row r="3923" spans="1:21">
      <c r="A3923" t="str">
        <f>"603688"</f>
        <v>603688</v>
      </c>
      <c r="B3923" t="s">
        <v>7559</v>
      </c>
      <c r="C3923">
        <v>-0.54</v>
      </c>
      <c r="D3923">
        <v>59</v>
      </c>
      <c r="E3923">
        <v>-0.32</v>
      </c>
      <c r="F3923">
        <v>58.98</v>
      </c>
      <c r="G3923">
        <v>59</v>
      </c>
      <c r="H3923">
        <v>70835</v>
      </c>
      <c r="I3923">
        <v>309</v>
      </c>
      <c r="J3923">
        <v>-0.31</v>
      </c>
      <c r="K3923">
        <v>2.01</v>
      </c>
      <c r="L3923">
        <v>42066.98</v>
      </c>
      <c r="M3923" t="s">
        <v>7560</v>
      </c>
      <c r="N3923" t="s">
        <v>750</v>
      </c>
      <c r="O3923">
        <v>59.53</v>
      </c>
      <c r="P3923">
        <v>62.2</v>
      </c>
      <c r="Q3923">
        <v>57.2</v>
      </c>
      <c r="R3923">
        <v>59.32</v>
      </c>
      <c r="S3923">
        <v>89.08</v>
      </c>
      <c r="T3923">
        <v>1.2</v>
      </c>
      <c r="U3923" t="s">
        <v>102</v>
      </c>
    </row>
    <row r="3924" spans="1:21">
      <c r="A3924" t="str">
        <f>"603689"</f>
        <v>603689</v>
      </c>
      <c r="B3924" t="s">
        <v>7561</v>
      </c>
      <c r="C3924">
        <v>0.48</v>
      </c>
      <c r="D3924">
        <v>10.36</v>
      </c>
      <c r="E3924">
        <v>0.05</v>
      </c>
      <c r="F3924">
        <v>10.36</v>
      </c>
      <c r="G3924">
        <v>10.37</v>
      </c>
      <c r="H3924">
        <v>33824</v>
      </c>
      <c r="I3924">
        <v>743</v>
      </c>
      <c r="J3924">
        <v>0.19</v>
      </c>
      <c r="K3924">
        <v>1.01</v>
      </c>
      <c r="L3924">
        <v>3465.28</v>
      </c>
      <c r="M3924" t="s">
        <v>7562</v>
      </c>
      <c r="N3924" t="s">
        <v>238</v>
      </c>
      <c r="O3924">
        <v>10.29</v>
      </c>
      <c r="P3924">
        <v>10.36</v>
      </c>
      <c r="Q3924">
        <v>10.1</v>
      </c>
      <c r="R3924">
        <v>10.31</v>
      </c>
      <c r="S3924">
        <v>15.97</v>
      </c>
      <c r="T3924">
        <v>0.97</v>
      </c>
      <c r="U3924" t="s">
        <v>193</v>
      </c>
    </row>
    <row r="3925" spans="1:21">
      <c r="A3925" t="str">
        <f>"603690"</f>
        <v>603690</v>
      </c>
      <c r="B3925" t="s">
        <v>7563</v>
      </c>
      <c r="C3925">
        <v>-0.22</v>
      </c>
      <c r="D3925">
        <v>54.65</v>
      </c>
      <c r="E3925">
        <v>-0.12</v>
      </c>
      <c r="F3925">
        <v>54.65</v>
      </c>
      <c r="G3925">
        <v>54.66</v>
      </c>
      <c r="H3925">
        <v>114599</v>
      </c>
      <c r="I3925">
        <v>920</v>
      </c>
      <c r="J3925">
        <v>0.09</v>
      </c>
      <c r="K3925">
        <v>3.72</v>
      </c>
      <c r="L3925">
        <v>62572.1</v>
      </c>
      <c r="M3925" t="s">
        <v>7564</v>
      </c>
      <c r="N3925" t="s">
        <v>1246</v>
      </c>
      <c r="O3925">
        <v>54.43</v>
      </c>
      <c r="P3925">
        <v>55.4</v>
      </c>
      <c r="Q3925">
        <v>53.78</v>
      </c>
      <c r="R3925">
        <v>54.77</v>
      </c>
      <c r="S3925">
        <v>69.38</v>
      </c>
      <c r="T3925">
        <v>0.59</v>
      </c>
      <c r="U3925" t="s">
        <v>848</v>
      </c>
    </row>
    <row r="3926" spans="1:21">
      <c r="A3926" t="str">
        <f>"603693"</f>
        <v>603693</v>
      </c>
      <c r="B3926" t="s">
        <v>7565</v>
      </c>
      <c r="C3926">
        <v>-2.18</v>
      </c>
      <c r="D3926">
        <v>29.2</v>
      </c>
      <c r="E3926">
        <v>-0.65</v>
      </c>
      <c r="F3926">
        <v>29.19</v>
      </c>
      <c r="G3926">
        <v>29.2</v>
      </c>
      <c r="H3926">
        <v>147126</v>
      </c>
      <c r="I3926">
        <v>2589</v>
      </c>
      <c r="J3926">
        <v>0.45</v>
      </c>
      <c r="K3926">
        <v>2.38</v>
      </c>
      <c r="L3926">
        <v>42639.84</v>
      </c>
      <c r="M3926" t="s">
        <v>7566</v>
      </c>
      <c r="N3926" t="s">
        <v>114</v>
      </c>
      <c r="O3926">
        <v>29.85</v>
      </c>
      <c r="P3926">
        <v>29.85</v>
      </c>
      <c r="Q3926">
        <v>28.3</v>
      </c>
      <c r="R3926">
        <v>29.85</v>
      </c>
      <c r="S3926">
        <v>34.63</v>
      </c>
      <c r="T3926">
        <v>1.05</v>
      </c>
      <c r="U3926" t="s">
        <v>102</v>
      </c>
    </row>
    <row r="3927" spans="1:21">
      <c r="A3927" t="str">
        <f>"603696"</f>
        <v>603696</v>
      </c>
      <c r="B3927" t="s">
        <v>7567</v>
      </c>
      <c r="C3927">
        <v>0.42</v>
      </c>
      <c r="D3927">
        <v>9.46</v>
      </c>
      <c r="E3927">
        <v>0.04</v>
      </c>
      <c r="F3927">
        <v>9.45</v>
      </c>
      <c r="G3927">
        <v>9.46</v>
      </c>
      <c r="H3927">
        <v>18572</v>
      </c>
      <c r="I3927">
        <v>372</v>
      </c>
      <c r="J3927">
        <v>0.11</v>
      </c>
      <c r="K3927">
        <v>0.79</v>
      </c>
      <c r="L3927">
        <v>1746.66</v>
      </c>
      <c r="M3927" t="s">
        <v>7568</v>
      </c>
      <c r="N3927" t="s">
        <v>299</v>
      </c>
      <c r="O3927">
        <v>9.42</v>
      </c>
      <c r="P3927">
        <v>9.49</v>
      </c>
      <c r="Q3927">
        <v>9.3</v>
      </c>
      <c r="R3927">
        <v>9.42</v>
      </c>
      <c r="S3927">
        <v>46.5</v>
      </c>
      <c r="T3927">
        <v>0.66</v>
      </c>
      <c r="U3927" t="s">
        <v>339</v>
      </c>
    </row>
    <row r="3928" spans="1:21">
      <c r="A3928" t="str">
        <f>"603697"</f>
        <v>603697</v>
      </c>
      <c r="B3928" t="s">
        <v>7569</v>
      </c>
      <c r="C3928">
        <v>-0.06</v>
      </c>
      <c r="D3928">
        <v>17.1</v>
      </c>
      <c r="E3928">
        <v>-0.01</v>
      </c>
      <c r="F3928">
        <v>17.09</v>
      </c>
      <c r="G3928">
        <v>17.1</v>
      </c>
      <c r="H3928">
        <v>16294</v>
      </c>
      <c r="I3928">
        <v>304</v>
      </c>
      <c r="J3928">
        <v>0.18</v>
      </c>
      <c r="K3928">
        <v>1.81</v>
      </c>
      <c r="L3928">
        <v>2774.71</v>
      </c>
      <c r="M3928" t="s">
        <v>7570</v>
      </c>
      <c r="N3928" t="s">
        <v>299</v>
      </c>
      <c r="O3928">
        <v>17.1</v>
      </c>
      <c r="P3928">
        <v>17.37</v>
      </c>
      <c r="Q3928">
        <v>16.81</v>
      </c>
      <c r="R3928">
        <v>17.11</v>
      </c>
      <c r="S3928">
        <v>21.75</v>
      </c>
      <c r="T3928">
        <v>0.69</v>
      </c>
      <c r="U3928" t="s">
        <v>314</v>
      </c>
    </row>
    <row r="3929" spans="1:21">
      <c r="A3929" t="str">
        <f>"603698"</f>
        <v>603698</v>
      </c>
      <c r="B3929" t="s">
        <v>7571</v>
      </c>
      <c r="C3929">
        <v>1.6</v>
      </c>
      <c r="D3929">
        <v>15.9</v>
      </c>
      <c r="E3929">
        <v>0.25</v>
      </c>
      <c r="F3929">
        <v>15.89</v>
      </c>
      <c r="G3929">
        <v>15.9</v>
      </c>
      <c r="H3929">
        <v>60926</v>
      </c>
      <c r="I3929">
        <v>653</v>
      </c>
      <c r="J3929">
        <v>-0.12</v>
      </c>
      <c r="K3929">
        <v>1.14</v>
      </c>
      <c r="L3929">
        <v>9629.93</v>
      </c>
      <c r="M3929" t="s">
        <v>7572</v>
      </c>
      <c r="N3929" t="s">
        <v>324</v>
      </c>
      <c r="O3929">
        <v>15.4</v>
      </c>
      <c r="P3929">
        <v>16.09</v>
      </c>
      <c r="Q3929">
        <v>15.36</v>
      </c>
      <c r="R3929">
        <v>15.65</v>
      </c>
      <c r="S3929">
        <v>70.27</v>
      </c>
      <c r="T3929">
        <v>1.5</v>
      </c>
      <c r="U3929" t="s">
        <v>44</v>
      </c>
    </row>
    <row r="3930" spans="1:21">
      <c r="A3930" t="str">
        <f>"603699"</f>
        <v>603699</v>
      </c>
      <c r="B3930" t="s">
        <v>7573</v>
      </c>
      <c r="C3930">
        <v>0.09</v>
      </c>
      <c r="D3930">
        <v>10.76</v>
      </c>
      <c r="E3930">
        <v>0.01</v>
      </c>
      <c r="F3930">
        <v>10.75</v>
      </c>
      <c r="G3930">
        <v>10.76</v>
      </c>
      <c r="H3930">
        <v>27417</v>
      </c>
      <c r="I3930">
        <v>290</v>
      </c>
      <c r="J3930">
        <v>0</v>
      </c>
      <c r="K3930">
        <v>0.37</v>
      </c>
      <c r="L3930">
        <v>2952.31</v>
      </c>
      <c r="M3930" t="s">
        <v>7574</v>
      </c>
      <c r="N3930" t="s">
        <v>324</v>
      </c>
      <c r="O3930">
        <v>10.73</v>
      </c>
      <c r="P3930">
        <v>10.9</v>
      </c>
      <c r="Q3930">
        <v>10.58</v>
      </c>
      <c r="R3930">
        <v>10.75</v>
      </c>
      <c r="S3930">
        <v>20.97</v>
      </c>
      <c r="T3930">
        <v>0.62</v>
      </c>
      <c r="U3930" t="s">
        <v>102</v>
      </c>
    </row>
    <row r="3931" spans="1:21">
      <c r="A3931" t="str">
        <f>"603700"</f>
        <v>603700</v>
      </c>
      <c r="B3931" t="s">
        <v>7575</v>
      </c>
      <c r="C3931">
        <v>2.21</v>
      </c>
      <c r="D3931">
        <v>19.89</v>
      </c>
      <c r="E3931">
        <v>0.43</v>
      </c>
      <c r="F3931">
        <v>19.88</v>
      </c>
      <c r="G3931">
        <v>19.89</v>
      </c>
      <c r="H3931">
        <v>10319</v>
      </c>
      <c r="I3931">
        <v>99</v>
      </c>
      <c r="J3931">
        <v>0</v>
      </c>
      <c r="K3931">
        <v>1</v>
      </c>
      <c r="L3931">
        <v>2040.52</v>
      </c>
      <c r="M3931" t="s">
        <v>7576</v>
      </c>
      <c r="N3931" t="s">
        <v>1028</v>
      </c>
      <c r="O3931">
        <v>19.84</v>
      </c>
      <c r="P3931">
        <v>19.97</v>
      </c>
      <c r="Q3931">
        <v>19.51</v>
      </c>
      <c r="R3931">
        <v>19.46</v>
      </c>
      <c r="S3931">
        <v>18.43</v>
      </c>
      <c r="T3931">
        <v>1</v>
      </c>
      <c r="U3931" t="s">
        <v>200</v>
      </c>
    </row>
    <row r="3932" spans="1:21">
      <c r="A3932" t="str">
        <f>"603701"</f>
        <v>603701</v>
      </c>
      <c r="B3932" t="s">
        <v>7577</v>
      </c>
      <c r="C3932">
        <v>-1.64</v>
      </c>
      <c r="D3932">
        <v>8.99</v>
      </c>
      <c r="E3932">
        <v>-0.15</v>
      </c>
      <c r="F3932">
        <v>8.98</v>
      </c>
      <c r="G3932">
        <v>8.99</v>
      </c>
      <c r="H3932">
        <v>101034</v>
      </c>
      <c r="I3932">
        <v>1397</v>
      </c>
      <c r="J3932">
        <v>0.22</v>
      </c>
      <c r="K3932">
        <v>3.87</v>
      </c>
      <c r="L3932">
        <v>9068.57</v>
      </c>
      <c r="M3932" t="s">
        <v>7578</v>
      </c>
      <c r="N3932" t="s">
        <v>91</v>
      </c>
      <c r="O3932">
        <v>9.15</v>
      </c>
      <c r="P3932">
        <v>9.16</v>
      </c>
      <c r="Q3932">
        <v>8.87</v>
      </c>
      <c r="R3932">
        <v>9.14</v>
      </c>
      <c r="S3932">
        <v>58.76</v>
      </c>
      <c r="T3932">
        <v>1.15</v>
      </c>
      <c r="U3932" t="s">
        <v>200</v>
      </c>
    </row>
    <row r="3933" spans="1:21">
      <c r="A3933" t="str">
        <f>"603703"</f>
        <v>603703</v>
      </c>
      <c r="B3933" t="s">
        <v>7579</v>
      </c>
      <c r="C3933">
        <v>7.42</v>
      </c>
      <c r="D3933">
        <v>22</v>
      </c>
      <c r="E3933">
        <v>1.52</v>
      </c>
      <c r="F3933">
        <v>22</v>
      </c>
      <c r="G3933">
        <v>22.01</v>
      </c>
      <c r="H3933">
        <v>580766</v>
      </c>
      <c r="I3933">
        <v>3288</v>
      </c>
      <c r="J3933">
        <v>-0.04</v>
      </c>
      <c r="K3933">
        <v>19.45</v>
      </c>
      <c r="L3933">
        <v>122561.02</v>
      </c>
      <c r="M3933" t="s">
        <v>7580</v>
      </c>
      <c r="N3933" t="s">
        <v>153</v>
      </c>
      <c r="O3933">
        <v>20.49</v>
      </c>
      <c r="P3933">
        <v>22.53</v>
      </c>
      <c r="Q3933">
        <v>19.42</v>
      </c>
      <c r="R3933">
        <v>20.48</v>
      </c>
      <c r="S3933">
        <v>308.27</v>
      </c>
      <c r="T3933">
        <v>3.05</v>
      </c>
      <c r="U3933" t="s">
        <v>200</v>
      </c>
    </row>
    <row r="3934" spans="1:21">
      <c r="A3934" t="str">
        <f>"603706"</f>
        <v>603706</v>
      </c>
      <c r="B3934" t="s">
        <v>7581</v>
      </c>
      <c r="C3934">
        <v>1.14</v>
      </c>
      <c r="D3934">
        <v>14.2</v>
      </c>
      <c r="E3934">
        <v>0.16</v>
      </c>
      <c r="F3934">
        <v>14.19</v>
      </c>
      <c r="G3934">
        <v>14.2</v>
      </c>
      <c r="H3934">
        <v>15478</v>
      </c>
      <c r="I3934">
        <v>122</v>
      </c>
      <c r="J3934">
        <v>0.14</v>
      </c>
      <c r="K3934">
        <v>0.97</v>
      </c>
      <c r="L3934">
        <v>2178.42</v>
      </c>
      <c r="M3934" t="s">
        <v>7582</v>
      </c>
      <c r="N3934" t="s">
        <v>238</v>
      </c>
      <c r="O3934">
        <v>14.05</v>
      </c>
      <c r="P3934">
        <v>14.26</v>
      </c>
      <c r="Q3934">
        <v>13.75</v>
      </c>
      <c r="R3934">
        <v>14.04</v>
      </c>
      <c r="S3934">
        <v>23.48</v>
      </c>
      <c r="T3934">
        <v>1.5</v>
      </c>
      <c r="U3934" t="s">
        <v>210</v>
      </c>
    </row>
    <row r="3935" spans="1:21">
      <c r="A3935" t="str">
        <f>"603707"</f>
        <v>603707</v>
      </c>
      <c r="B3935" t="s">
        <v>7583</v>
      </c>
      <c r="C3935">
        <v>3.14</v>
      </c>
      <c r="D3935">
        <v>44.38</v>
      </c>
      <c r="E3935">
        <v>1.35</v>
      </c>
      <c r="F3935">
        <v>44.37</v>
      </c>
      <c r="G3935">
        <v>44.38</v>
      </c>
      <c r="H3935">
        <v>68676</v>
      </c>
      <c r="I3935">
        <v>1305</v>
      </c>
      <c r="J3935">
        <v>-0.04</v>
      </c>
      <c r="K3935">
        <v>0.57</v>
      </c>
      <c r="L3935">
        <v>30381.58</v>
      </c>
      <c r="M3935" t="s">
        <v>7584</v>
      </c>
      <c r="N3935" t="s">
        <v>192</v>
      </c>
      <c r="O3935">
        <v>42.94</v>
      </c>
      <c r="P3935">
        <v>44.88</v>
      </c>
      <c r="Q3935">
        <v>42.52</v>
      </c>
      <c r="R3935">
        <v>43.03</v>
      </c>
      <c r="S3935">
        <v>47.95</v>
      </c>
      <c r="T3935">
        <v>1.04</v>
      </c>
      <c r="U3935" t="s">
        <v>102</v>
      </c>
    </row>
    <row r="3936" spans="1:21">
      <c r="A3936" t="str">
        <f>"603708"</f>
        <v>603708</v>
      </c>
      <c r="B3936" t="s">
        <v>7585</v>
      </c>
      <c r="C3936">
        <v>-0.81</v>
      </c>
      <c r="D3936">
        <v>14.78</v>
      </c>
      <c r="E3936">
        <v>-0.12</v>
      </c>
      <c r="F3936">
        <v>14.77</v>
      </c>
      <c r="G3936">
        <v>14.78</v>
      </c>
      <c r="H3936">
        <v>41448</v>
      </c>
      <c r="I3936">
        <v>657</v>
      </c>
      <c r="J3936">
        <v>-0.06</v>
      </c>
      <c r="K3936">
        <v>0.68</v>
      </c>
      <c r="L3936">
        <v>6151.56</v>
      </c>
      <c r="M3936" t="s">
        <v>7586</v>
      </c>
      <c r="N3936" t="s">
        <v>707</v>
      </c>
      <c r="O3936">
        <v>14.9</v>
      </c>
      <c r="P3936">
        <v>15.03</v>
      </c>
      <c r="Q3936">
        <v>14.75</v>
      </c>
      <c r="R3936">
        <v>14.9</v>
      </c>
      <c r="S3936">
        <v>35.12</v>
      </c>
      <c r="T3936">
        <v>1.28</v>
      </c>
      <c r="U3936" t="s">
        <v>221</v>
      </c>
    </row>
    <row r="3937" spans="1:21">
      <c r="A3937" t="str">
        <f>"603709"</f>
        <v>603709</v>
      </c>
      <c r="B3937" t="s">
        <v>7587</v>
      </c>
      <c r="C3937">
        <v>2.01</v>
      </c>
      <c r="D3937">
        <v>16.23</v>
      </c>
      <c r="E3937">
        <v>0.32</v>
      </c>
      <c r="F3937">
        <v>16.22</v>
      </c>
      <c r="G3937">
        <v>16.24</v>
      </c>
      <c r="H3937">
        <v>4539</v>
      </c>
      <c r="I3937">
        <v>89</v>
      </c>
      <c r="J3937">
        <v>0.25</v>
      </c>
      <c r="K3937">
        <v>0.57</v>
      </c>
      <c r="L3937">
        <v>730.76</v>
      </c>
      <c r="M3937" t="s">
        <v>7588</v>
      </c>
      <c r="N3937" t="s">
        <v>910</v>
      </c>
      <c r="O3937">
        <v>15.81</v>
      </c>
      <c r="P3937">
        <v>16.24</v>
      </c>
      <c r="Q3937">
        <v>15.81</v>
      </c>
      <c r="R3937">
        <v>15.91</v>
      </c>
      <c r="S3937">
        <v>102.85</v>
      </c>
      <c r="T3937">
        <v>0.73</v>
      </c>
      <c r="U3937" t="s">
        <v>200</v>
      </c>
    </row>
    <row r="3938" spans="1:21">
      <c r="A3938" t="str">
        <f>"603711"</f>
        <v>603711</v>
      </c>
      <c r="B3938" t="s">
        <v>7589</v>
      </c>
      <c r="C3938">
        <v>0.63</v>
      </c>
      <c r="D3938">
        <v>15.98</v>
      </c>
      <c r="E3938">
        <v>0.1</v>
      </c>
      <c r="F3938">
        <v>15.98</v>
      </c>
      <c r="G3938">
        <v>15.99</v>
      </c>
      <c r="H3938">
        <v>10265</v>
      </c>
      <c r="I3938">
        <v>209</v>
      </c>
      <c r="J3938">
        <v>0.13</v>
      </c>
      <c r="K3938">
        <v>0.25</v>
      </c>
      <c r="L3938">
        <v>1632.59</v>
      </c>
      <c r="M3938" t="s">
        <v>7590</v>
      </c>
      <c r="N3938" t="s">
        <v>825</v>
      </c>
      <c r="O3938">
        <v>15.88</v>
      </c>
      <c r="P3938">
        <v>16.08</v>
      </c>
      <c r="Q3938">
        <v>15.7</v>
      </c>
      <c r="R3938">
        <v>15.88</v>
      </c>
      <c r="S3938">
        <v>126.69</v>
      </c>
      <c r="T3938">
        <v>0.66</v>
      </c>
      <c r="U3938" t="s">
        <v>200</v>
      </c>
    </row>
    <row r="3939" spans="1:21">
      <c r="A3939" t="str">
        <f>"603712"</f>
        <v>603712</v>
      </c>
      <c r="B3939" t="s">
        <v>7591</v>
      </c>
      <c r="C3939">
        <v>-1.09</v>
      </c>
      <c r="D3939">
        <v>38.15</v>
      </c>
      <c r="E3939">
        <v>-0.42</v>
      </c>
      <c r="F3939">
        <v>38.15</v>
      </c>
      <c r="G3939">
        <v>38.16</v>
      </c>
      <c r="H3939">
        <v>37432</v>
      </c>
      <c r="I3939">
        <v>249</v>
      </c>
      <c r="J3939">
        <v>-0.04</v>
      </c>
      <c r="K3939">
        <v>0.48</v>
      </c>
      <c r="L3939">
        <v>14314.73</v>
      </c>
      <c r="M3939" t="s">
        <v>7592</v>
      </c>
      <c r="N3939" t="s">
        <v>153</v>
      </c>
      <c r="O3939">
        <v>38.68</v>
      </c>
      <c r="P3939">
        <v>38.85</v>
      </c>
      <c r="Q3939">
        <v>38</v>
      </c>
      <c r="R3939">
        <v>38.57</v>
      </c>
      <c r="S3939">
        <v>90.04</v>
      </c>
      <c r="T3939">
        <v>0.8</v>
      </c>
      <c r="U3939" t="s">
        <v>360</v>
      </c>
    </row>
    <row r="3940" spans="1:21">
      <c r="A3940" t="str">
        <f>"603713"</f>
        <v>603713</v>
      </c>
      <c r="B3940" t="s">
        <v>7593</v>
      </c>
      <c r="C3940">
        <v>-1.44</v>
      </c>
      <c r="D3940">
        <v>113.34</v>
      </c>
      <c r="E3940">
        <v>-1.66</v>
      </c>
      <c r="F3940">
        <v>113.33</v>
      </c>
      <c r="G3940">
        <v>113.34</v>
      </c>
      <c r="H3940">
        <v>10490</v>
      </c>
      <c r="I3940">
        <v>108</v>
      </c>
      <c r="J3940">
        <v>0.15</v>
      </c>
      <c r="K3940">
        <v>0.64</v>
      </c>
      <c r="L3940">
        <v>11848.98</v>
      </c>
      <c r="M3940" t="s">
        <v>7594</v>
      </c>
      <c r="N3940" t="s">
        <v>1049</v>
      </c>
      <c r="O3940">
        <v>113.68</v>
      </c>
      <c r="P3940">
        <v>114.64</v>
      </c>
      <c r="Q3940">
        <v>112</v>
      </c>
      <c r="R3940">
        <v>115</v>
      </c>
      <c r="S3940">
        <v>46.38</v>
      </c>
      <c r="T3940">
        <v>0.99</v>
      </c>
      <c r="U3940" t="s">
        <v>848</v>
      </c>
    </row>
    <row r="3941" spans="1:21">
      <c r="A3941" t="str">
        <f>"603716"</f>
        <v>603716</v>
      </c>
      <c r="B3941" t="s">
        <v>7595</v>
      </c>
      <c r="C3941">
        <v>-0.07</v>
      </c>
      <c r="D3941">
        <v>14.24</v>
      </c>
      <c r="E3941">
        <v>-0.01</v>
      </c>
      <c r="F3941">
        <v>14.24</v>
      </c>
      <c r="G3941">
        <v>14.25</v>
      </c>
      <c r="H3941">
        <v>18670</v>
      </c>
      <c r="I3941">
        <v>177</v>
      </c>
      <c r="J3941">
        <v>-0.06</v>
      </c>
      <c r="K3941">
        <v>0.93</v>
      </c>
      <c r="L3941">
        <v>2685.91</v>
      </c>
      <c r="M3941" t="s">
        <v>2107</v>
      </c>
      <c r="N3941" t="s">
        <v>86</v>
      </c>
      <c r="O3941">
        <v>14.26</v>
      </c>
      <c r="P3941">
        <v>14.64</v>
      </c>
      <c r="Q3941">
        <v>14.2</v>
      </c>
      <c r="R3941">
        <v>14.25</v>
      </c>
      <c r="S3941">
        <v>2553.18</v>
      </c>
      <c r="T3941">
        <v>0.51</v>
      </c>
      <c r="U3941" t="s">
        <v>267</v>
      </c>
    </row>
    <row r="3942" spans="1:21">
      <c r="A3942" t="str">
        <f>"603717"</f>
        <v>603717</v>
      </c>
      <c r="B3942" t="s">
        <v>7596</v>
      </c>
      <c r="C3942">
        <v>-4.94</v>
      </c>
      <c r="D3942">
        <v>13.66</v>
      </c>
      <c r="E3942">
        <v>-0.71</v>
      </c>
      <c r="F3942">
        <v>13.65</v>
      </c>
      <c r="G3942">
        <v>13.66</v>
      </c>
      <c r="H3942">
        <v>57310</v>
      </c>
      <c r="I3942">
        <v>856</v>
      </c>
      <c r="J3942">
        <v>0</v>
      </c>
      <c r="K3942">
        <v>2.37</v>
      </c>
      <c r="L3942">
        <v>7924.33</v>
      </c>
      <c r="M3942" t="s">
        <v>7597</v>
      </c>
      <c r="N3942" t="s">
        <v>33</v>
      </c>
      <c r="O3942">
        <v>14.35</v>
      </c>
      <c r="P3942">
        <v>14.49</v>
      </c>
      <c r="Q3942">
        <v>13.58</v>
      </c>
      <c r="R3942">
        <v>14.37</v>
      </c>
      <c r="S3942" t="s">
        <v>40</v>
      </c>
      <c r="T3942">
        <v>1.01</v>
      </c>
      <c r="U3942" t="s">
        <v>314</v>
      </c>
    </row>
    <row r="3943" spans="1:21">
      <c r="A3943" t="str">
        <f>"603718"</f>
        <v>603718</v>
      </c>
      <c r="B3943" t="s">
        <v>7598</v>
      </c>
      <c r="C3943">
        <v>0.14</v>
      </c>
      <c r="D3943">
        <v>14.04</v>
      </c>
      <c r="E3943">
        <v>0.02</v>
      </c>
      <c r="F3943">
        <v>14.04</v>
      </c>
      <c r="G3943">
        <v>14.05</v>
      </c>
      <c r="H3943">
        <v>31683</v>
      </c>
      <c r="I3943">
        <v>948</v>
      </c>
      <c r="J3943">
        <v>0</v>
      </c>
      <c r="K3943">
        <v>0.49</v>
      </c>
      <c r="L3943">
        <v>4446.26</v>
      </c>
      <c r="M3943" t="s">
        <v>7599</v>
      </c>
      <c r="N3943" t="s">
        <v>147</v>
      </c>
      <c r="O3943">
        <v>13.95</v>
      </c>
      <c r="P3943">
        <v>14.15</v>
      </c>
      <c r="Q3943">
        <v>13.95</v>
      </c>
      <c r="R3943">
        <v>14.02</v>
      </c>
      <c r="S3943">
        <v>185.53</v>
      </c>
      <c r="T3943">
        <v>0.5</v>
      </c>
      <c r="U3943" t="s">
        <v>848</v>
      </c>
    </row>
    <row r="3944" spans="1:21">
      <c r="A3944" t="str">
        <f>"603719"</f>
        <v>603719</v>
      </c>
      <c r="B3944" t="s">
        <v>7600</v>
      </c>
      <c r="C3944">
        <v>-0.82</v>
      </c>
      <c r="D3944">
        <v>43.7</v>
      </c>
      <c r="E3944">
        <v>-0.36</v>
      </c>
      <c r="F3944">
        <v>43.7</v>
      </c>
      <c r="G3944">
        <v>43.73</v>
      </c>
      <c r="H3944">
        <v>33238</v>
      </c>
      <c r="I3944">
        <v>324</v>
      </c>
      <c r="J3944">
        <v>-0.04</v>
      </c>
      <c r="K3944">
        <v>1.49</v>
      </c>
      <c r="L3944">
        <v>14722.54</v>
      </c>
      <c r="M3944" t="s">
        <v>7601</v>
      </c>
      <c r="N3944" t="s">
        <v>299</v>
      </c>
      <c r="O3944">
        <v>44.49</v>
      </c>
      <c r="P3944">
        <v>45.54</v>
      </c>
      <c r="Q3944">
        <v>43.35</v>
      </c>
      <c r="R3944">
        <v>44.06</v>
      </c>
      <c r="S3944">
        <v>41.69</v>
      </c>
      <c r="T3944">
        <v>0.83</v>
      </c>
      <c r="U3944" t="s">
        <v>267</v>
      </c>
    </row>
    <row r="3945" spans="1:21">
      <c r="A3945" t="str">
        <f>"603721"</f>
        <v>603721</v>
      </c>
      <c r="B3945" t="s">
        <v>7602</v>
      </c>
      <c r="C3945">
        <v>-0.64</v>
      </c>
      <c r="D3945">
        <v>13.97</v>
      </c>
      <c r="E3945">
        <v>-0.09</v>
      </c>
      <c r="F3945">
        <v>13.97</v>
      </c>
      <c r="G3945">
        <v>13.98</v>
      </c>
      <c r="H3945">
        <v>50031</v>
      </c>
      <c r="I3945">
        <v>531</v>
      </c>
      <c r="J3945">
        <v>0.07</v>
      </c>
      <c r="K3945">
        <v>3.85</v>
      </c>
      <c r="L3945">
        <v>7036.48</v>
      </c>
      <c r="M3945" t="s">
        <v>7603</v>
      </c>
      <c r="N3945" t="s">
        <v>199</v>
      </c>
      <c r="O3945">
        <v>14.04</v>
      </c>
      <c r="P3945">
        <v>14.35</v>
      </c>
      <c r="Q3945">
        <v>13.81</v>
      </c>
      <c r="R3945">
        <v>14.06</v>
      </c>
      <c r="S3945">
        <v>135.32</v>
      </c>
      <c r="T3945">
        <v>0.58</v>
      </c>
      <c r="U3945" t="s">
        <v>204</v>
      </c>
    </row>
    <row r="3946" spans="1:21">
      <c r="A3946" t="str">
        <f>"603722"</f>
        <v>603722</v>
      </c>
      <c r="B3946" t="s">
        <v>7604</v>
      </c>
      <c r="C3946">
        <v>9.99</v>
      </c>
      <c r="D3946">
        <v>54.59</v>
      </c>
      <c r="E3946">
        <v>4.96</v>
      </c>
      <c r="F3946">
        <v>54.59</v>
      </c>
      <c r="G3946" t="s">
        <v>40</v>
      </c>
      <c r="H3946">
        <v>32613</v>
      </c>
      <c r="I3946">
        <v>25</v>
      </c>
      <c r="J3946">
        <v>0</v>
      </c>
      <c r="K3946">
        <v>3.75</v>
      </c>
      <c r="L3946">
        <v>17466.94</v>
      </c>
      <c r="M3946" t="s">
        <v>5621</v>
      </c>
      <c r="N3946" t="s">
        <v>309</v>
      </c>
      <c r="O3946">
        <v>49.13</v>
      </c>
      <c r="P3946">
        <v>54.59</v>
      </c>
      <c r="Q3946">
        <v>49.13</v>
      </c>
      <c r="R3946">
        <v>49.63</v>
      </c>
      <c r="S3946">
        <v>52.47</v>
      </c>
      <c r="T3946">
        <v>2.95</v>
      </c>
      <c r="U3946" t="s">
        <v>102</v>
      </c>
    </row>
    <row r="3947" spans="1:21">
      <c r="A3947" t="str">
        <f>"603725"</f>
        <v>603725</v>
      </c>
      <c r="B3947" t="s">
        <v>7605</v>
      </c>
      <c r="C3947">
        <v>2.44</v>
      </c>
      <c r="D3947">
        <v>7.57</v>
      </c>
      <c r="E3947">
        <v>0.18</v>
      </c>
      <c r="F3947">
        <v>7.57</v>
      </c>
      <c r="G3947">
        <v>7.58</v>
      </c>
      <c r="H3947">
        <v>23477</v>
      </c>
      <c r="I3947">
        <v>158</v>
      </c>
      <c r="J3947">
        <v>-0.25</v>
      </c>
      <c r="K3947">
        <v>1.14</v>
      </c>
      <c r="L3947">
        <v>1764.44</v>
      </c>
      <c r="M3947" t="s">
        <v>6015</v>
      </c>
      <c r="N3947" t="s">
        <v>839</v>
      </c>
      <c r="O3947">
        <v>7.37</v>
      </c>
      <c r="P3947">
        <v>7.61</v>
      </c>
      <c r="Q3947">
        <v>7.35</v>
      </c>
      <c r="R3947">
        <v>7.39</v>
      </c>
      <c r="S3947">
        <v>31.32</v>
      </c>
      <c r="T3947">
        <v>0.96</v>
      </c>
      <c r="U3947" t="s">
        <v>183</v>
      </c>
    </row>
    <row r="3948" spans="1:21">
      <c r="A3948" t="str">
        <f>"603726"</f>
        <v>603726</v>
      </c>
      <c r="B3948" t="s">
        <v>7606</v>
      </c>
      <c r="C3948">
        <v>0.83</v>
      </c>
      <c r="D3948">
        <v>14.53</v>
      </c>
      <c r="E3948">
        <v>0.12</v>
      </c>
      <c r="F3948">
        <v>14.52</v>
      </c>
      <c r="G3948">
        <v>14.53</v>
      </c>
      <c r="H3948">
        <v>12670</v>
      </c>
      <c r="I3948">
        <v>22</v>
      </c>
      <c r="J3948">
        <v>0.07</v>
      </c>
      <c r="K3948">
        <v>0.68</v>
      </c>
      <c r="L3948">
        <v>1832.81</v>
      </c>
      <c r="M3948" t="s">
        <v>7607</v>
      </c>
      <c r="N3948" t="s">
        <v>60</v>
      </c>
      <c r="O3948">
        <v>14.39</v>
      </c>
      <c r="P3948">
        <v>14.63</v>
      </c>
      <c r="Q3948">
        <v>14.29</v>
      </c>
      <c r="R3948">
        <v>14.41</v>
      </c>
      <c r="S3948">
        <v>16.33</v>
      </c>
      <c r="T3948">
        <v>0.96</v>
      </c>
      <c r="U3948" t="s">
        <v>200</v>
      </c>
    </row>
    <row r="3949" spans="1:21">
      <c r="A3949" t="str">
        <f>"603727"</f>
        <v>603727</v>
      </c>
      <c r="B3949" t="s">
        <v>7608</v>
      </c>
      <c r="C3949">
        <v>1.19</v>
      </c>
      <c r="D3949">
        <v>20.47</v>
      </c>
      <c r="E3949">
        <v>0.24</v>
      </c>
      <c r="F3949">
        <v>20.47</v>
      </c>
      <c r="G3949">
        <v>20.48</v>
      </c>
      <c r="H3949">
        <v>34509</v>
      </c>
      <c r="I3949">
        <v>390</v>
      </c>
      <c r="J3949">
        <v>0.05</v>
      </c>
      <c r="K3949">
        <v>1.46</v>
      </c>
      <c r="L3949">
        <v>7026.76</v>
      </c>
      <c r="M3949" t="s">
        <v>7609</v>
      </c>
      <c r="N3949" t="s">
        <v>996</v>
      </c>
      <c r="O3949">
        <v>20.02</v>
      </c>
      <c r="P3949">
        <v>20.72</v>
      </c>
      <c r="Q3949">
        <v>20.02</v>
      </c>
      <c r="R3949">
        <v>20.23</v>
      </c>
      <c r="S3949">
        <v>23.85</v>
      </c>
      <c r="T3949">
        <v>0.61</v>
      </c>
      <c r="U3949" t="s">
        <v>360</v>
      </c>
    </row>
    <row r="3950" spans="1:21">
      <c r="A3950" t="str">
        <f>"603728"</f>
        <v>603728</v>
      </c>
      <c r="B3950" t="s">
        <v>7610</v>
      </c>
      <c r="C3950">
        <v>-0.44</v>
      </c>
      <c r="D3950">
        <v>20.57</v>
      </c>
      <c r="E3950">
        <v>-0.09</v>
      </c>
      <c r="F3950">
        <v>20.57</v>
      </c>
      <c r="G3950">
        <v>20.58</v>
      </c>
      <c r="H3950">
        <v>136207</v>
      </c>
      <c r="I3950">
        <v>1654</v>
      </c>
      <c r="J3950">
        <v>-1.19</v>
      </c>
      <c r="K3950">
        <v>3.27</v>
      </c>
      <c r="L3950">
        <v>27942.94</v>
      </c>
      <c r="M3950" t="s">
        <v>7611</v>
      </c>
      <c r="N3950" t="s">
        <v>47</v>
      </c>
      <c r="O3950">
        <v>20.72</v>
      </c>
      <c r="P3950">
        <v>21.63</v>
      </c>
      <c r="Q3950">
        <v>19.61</v>
      </c>
      <c r="R3950">
        <v>20.66</v>
      </c>
      <c r="S3950">
        <v>31.84</v>
      </c>
      <c r="T3950">
        <v>1.31</v>
      </c>
      <c r="U3950" t="s">
        <v>848</v>
      </c>
    </row>
    <row r="3951" spans="1:21">
      <c r="A3951" t="str">
        <f>"603729"</f>
        <v>603729</v>
      </c>
      <c r="B3951" t="s">
        <v>7612</v>
      </c>
      <c r="C3951">
        <v>-0.18</v>
      </c>
      <c r="D3951">
        <v>11.07</v>
      </c>
      <c r="E3951">
        <v>-0.02</v>
      </c>
      <c r="F3951">
        <v>11.06</v>
      </c>
      <c r="G3951">
        <v>11.07</v>
      </c>
      <c r="H3951">
        <v>5282</v>
      </c>
      <c r="I3951">
        <v>20</v>
      </c>
      <c r="J3951">
        <v>0.27</v>
      </c>
      <c r="K3951">
        <v>0.57</v>
      </c>
      <c r="L3951">
        <v>585.55</v>
      </c>
      <c r="M3951" t="s">
        <v>7613</v>
      </c>
      <c r="N3951" t="s">
        <v>482</v>
      </c>
      <c r="O3951">
        <v>11.08</v>
      </c>
      <c r="P3951">
        <v>11.15</v>
      </c>
      <c r="Q3951">
        <v>11.04</v>
      </c>
      <c r="R3951">
        <v>11.09</v>
      </c>
      <c r="S3951" t="s">
        <v>40</v>
      </c>
      <c r="T3951">
        <v>0.63</v>
      </c>
      <c r="U3951" t="s">
        <v>848</v>
      </c>
    </row>
    <row r="3952" spans="1:21">
      <c r="A3952" t="str">
        <f>"603730"</f>
        <v>603730</v>
      </c>
      <c r="B3952" t="s">
        <v>7614</v>
      </c>
      <c r="C3952">
        <v>-2.29</v>
      </c>
      <c r="D3952">
        <v>23.47</v>
      </c>
      <c r="E3952">
        <v>-0.55</v>
      </c>
      <c r="F3952">
        <v>23.47</v>
      </c>
      <c r="G3952">
        <v>23.48</v>
      </c>
      <c r="H3952">
        <v>69641</v>
      </c>
      <c r="I3952">
        <v>1190</v>
      </c>
      <c r="J3952">
        <v>-0.03</v>
      </c>
      <c r="K3952">
        <v>0.96</v>
      </c>
      <c r="L3952">
        <v>16089.3</v>
      </c>
      <c r="M3952" t="s">
        <v>7615</v>
      </c>
      <c r="N3952" t="s">
        <v>91</v>
      </c>
      <c r="O3952">
        <v>23.5</v>
      </c>
      <c r="P3952">
        <v>23.93</v>
      </c>
      <c r="Q3952">
        <v>22.48</v>
      </c>
      <c r="R3952">
        <v>24.02</v>
      </c>
      <c r="S3952">
        <v>29.49</v>
      </c>
      <c r="T3952">
        <v>0.85</v>
      </c>
      <c r="U3952" t="s">
        <v>848</v>
      </c>
    </row>
    <row r="3953" spans="1:21">
      <c r="A3953" t="str">
        <f>"603733"</f>
        <v>603733</v>
      </c>
      <c r="B3953" t="s">
        <v>7616</v>
      </c>
      <c r="C3953">
        <v>-0.26</v>
      </c>
      <c r="D3953">
        <v>38.19</v>
      </c>
      <c r="E3953">
        <v>-0.1</v>
      </c>
      <c r="F3953">
        <v>38.18</v>
      </c>
      <c r="G3953">
        <v>38.19</v>
      </c>
      <c r="H3953">
        <v>15637</v>
      </c>
      <c r="I3953">
        <v>587</v>
      </c>
      <c r="J3953">
        <v>0.05</v>
      </c>
      <c r="K3953">
        <v>0.22</v>
      </c>
      <c r="L3953">
        <v>5942.26</v>
      </c>
      <c r="M3953" t="s">
        <v>7617</v>
      </c>
      <c r="N3953" t="s">
        <v>285</v>
      </c>
      <c r="O3953">
        <v>38.2</v>
      </c>
      <c r="P3953">
        <v>38.24</v>
      </c>
      <c r="Q3953">
        <v>37.76</v>
      </c>
      <c r="R3953">
        <v>38.29</v>
      </c>
      <c r="S3953">
        <v>22.39</v>
      </c>
      <c r="T3953">
        <v>0.45</v>
      </c>
      <c r="U3953" t="s">
        <v>200</v>
      </c>
    </row>
    <row r="3954" spans="1:21">
      <c r="A3954" t="str">
        <f>"603737"</f>
        <v>603737</v>
      </c>
      <c r="B3954" t="s">
        <v>7618</v>
      </c>
      <c r="C3954">
        <v>-0.64</v>
      </c>
      <c r="D3954">
        <v>130.2</v>
      </c>
      <c r="E3954">
        <v>-0.84</v>
      </c>
      <c r="F3954">
        <v>130.2</v>
      </c>
      <c r="G3954">
        <v>130.22</v>
      </c>
      <c r="H3954">
        <v>9335</v>
      </c>
      <c r="I3954">
        <v>62</v>
      </c>
      <c r="J3954">
        <v>0.08</v>
      </c>
      <c r="K3954">
        <v>0.26</v>
      </c>
      <c r="L3954">
        <v>12060.05</v>
      </c>
      <c r="M3954" t="s">
        <v>7619</v>
      </c>
      <c r="N3954" t="s">
        <v>416</v>
      </c>
      <c r="O3954">
        <v>130.71</v>
      </c>
      <c r="P3954">
        <v>130.71</v>
      </c>
      <c r="Q3954">
        <v>127</v>
      </c>
      <c r="R3954">
        <v>131.04</v>
      </c>
      <c r="S3954">
        <v>574.21</v>
      </c>
      <c r="T3954">
        <v>0.57</v>
      </c>
      <c r="U3954" t="s">
        <v>339</v>
      </c>
    </row>
    <row r="3955" spans="1:21">
      <c r="A3955" t="str">
        <f>"603738"</f>
        <v>603738</v>
      </c>
      <c r="B3955" t="s">
        <v>7620</v>
      </c>
      <c r="C3955">
        <v>9.99</v>
      </c>
      <c r="D3955">
        <v>58.34</v>
      </c>
      <c r="E3955">
        <v>5.3</v>
      </c>
      <c r="F3955">
        <v>58.34</v>
      </c>
      <c r="G3955" t="s">
        <v>40</v>
      </c>
      <c r="H3955">
        <v>92123</v>
      </c>
      <c r="I3955">
        <v>237</v>
      </c>
      <c r="J3955">
        <v>0</v>
      </c>
      <c r="K3955">
        <v>5.41</v>
      </c>
      <c r="L3955">
        <v>51819.6</v>
      </c>
      <c r="M3955" t="s">
        <v>7621</v>
      </c>
      <c r="N3955" t="s">
        <v>69</v>
      </c>
      <c r="O3955">
        <v>53.3</v>
      </c>
      <c r="P3955">
        <v>58.34</v>
      </c>
      <c r="Q3955">
        <v>53.07</v>
      </c>
      <c r="R3955">
        <v>53.04</v>
      </c>
      <c r="S3955">
        <v>50.82</v>
      </c>
      <c r="T3955">
        <v>0.93</v>
      </c>
      <c r="U3955" t="s">
        <v>267</v>
      </c>
    </row>
    <row r="3956" spans="1:21">
      <c r="A3956" t="str">
        <f>"603739"</f>
        <v>603739</v>
      </c>
      <c r="B3956" t="s">
        <v>7622</v>
      </c>
      <c r="C3956">
        <v>3.68</v>
      </c>
      <c r="D3956">
        <v>18.29</v>
      </c>
      <c r="E3956">
        <v>0.65</v>
      </c>
      <c r="F3956">
        <v>18.28</v>
      </c>
      <c r="G3956">
        <v>18.29</v>
      </c>
      <c r="H3956">
        <v>34300</v>
      </c>
      <c r="I3956">
        <v>914</v>
      </c>
      <c r="J3956">
        <v>0.83</v>
      </c>
      <c r="K3956">
        <v>3.29</v>
      </c>
      <c r="L3956">
        <v>6128.73</v>
      </c>
      <c r="M3956" t="s">
        <v>2952</v>
      </c>
      <c r="N3956" t="s">
        <v>147</v>
      </c>
      <c r="O3956">
        <v>17.61</v>
      </c>
      <c r="P3956">
        <v>18.3</v>
      </c>
      <c r="Q3956">
        <v>17.45</v>
      </c>
      <c r="R3956">
        <v>17.64</v>
      </c>
      <c r="S3956">
        <v>36.59</v>
      </c>
      <c r="T3956">
        <v>1.74</v>
      </c>
      <c r="U3956" t="s">
        <v>221</v>
      </c>
    </row>
    <row r="3957" spans="1:21">
      <c r="A3957" t="str">
        <f>"603755"</f>
        <v>603755</v>
      </c>
      <c r="B3957" t="s">
        <v>7623</v>
      </c>
      <c r="C3957">
        <v>-1.83</v>
      </c>
      <c r="D3957">
        <v>47.22</v>
      </c>
      <c r="E3957">
        <v>-0.88</v>
      </c>
      <c r="F3957">
        <v>47.22</v>
      </c>
      <c r="G3957">
        <v>47.25</v>
      </c>
      <c r="H3957">
        <v>5641</v>
      </c>
      <c r="I3957">
        <v>92</v>
      </c>
      <c r="J3957">
        <v>0.25</v>
      </c>
      <c r="K3957">
        <v>1.65</v>
      </c>
      <c r="L3957">
        <v>2673.05</v>
      </c>
      <c r="M3957" t="s">
        <v>7624</v>
      </c>
      <c r="N3957" t="s">
        <v>299</v>
      </c>
      <c r="O3957">
        <v>48.52</v>
      </c>
      <c r="P3957">
        <v>48.52</v>
      </c>
      <c r="Q3957">
        <v>46.68</v>
      </c>
      <c r="R3957">
        <v>48.1</v>
      </c>
      <c r="S3957">
        <v>61.7</v>
      </c>
      <c r="T3957">
        <v>0.84</v>
      </c>
      <c r="U3957" t="s">
        <v>221</v>
      </c>
    </row>
    <row r="3958" spans="1:21">
      <c r="A3958" t="str">
        <f>"603757"</f>
        <v>603757</v>
      </c>
      <c r="B3958" t="s">
        <v>7625</v>
      </c>
      <c r="C3958">
        <v>1.57</v>
      </c>
      <c r="D3958">
        <v>16.84</v>
      </c>
      <c r="E3958">
        <v>0.26</v>
      </c>
      <c r="F3958">
        <v>16.83</v>
      </c>
      <c r="G3958">
        <v>16.84</v>
      </c>
      <c r="H3958">
        <v>16525</v>
      </c>
      <c r="I3958">
        <v>118</v>
      </c>
      <c r="J3958">
        <v>0.06</v>
      </c>
      <c r="K3958">
        <v>1.01</v>
      </c>
      <c r="L3958">
        <v>2747</v>
      </c>
      <c r="M3958" t="s">
        <v>7626</v>
      </c>
      <c r="N3958" t="s">
        <v>324</v>
      </c>
      <c r="O3958">
        <v>16.54</v>
      </c>
      <c r="P3958">
        <v>16.94</v>
      </c>
      <c r="Q3958">
        <v>16.32</v>
      </c>
      <c r="R3958">
        <v>16.58</v>
      </c>
      <c r="S3958">
        <v>18.76</v>
      </c>
      <c r="T3958">
        <v>1.19</v>
      </c>
      <c r="U3958" t="s">
        <v>200</v>
      </c>
    </row>
    <row r="3959" spans="1:21">
      <c r="A3959" t="str">
        <f>"603758"</f>
        <v>603758</v>
      </c>
      <c r="B3959" t="s">
        <v>7627</v>
      </c>
      <c r="C3959">
        <v>1.16</v>
      </c>
      <c r="D3959">
        <v>8.7</v>
      </c>
      <c r="E3959">
        <v>0.1</v>
      </c>
      <c r="F3959">
        <v>8.67</v>
      </c>
      <c r="G3959">
        <v>8.7</v>
      </c>
      <c r="H3959">
        <v>9651</v>
      </c>
      <c r="I3959">
        <v>84</v>
      </c>
      <c r="J3959">
        <v>0.35</v>
      </c>
      <c r="K3959">
        <v>0.23</v>
      </c>
      <c r="L3959">
        <v>827.58</v>
      </c>
      <c r="M3959" t="s">
        <v>6251</v>
      </c>
      <c r="N3959" t="s">
        <v>91</v>
      </c>
      <c r="O3959">
        <v>8.6</v>
      </c>
      <c r="P3959">
        <v>8.73</v>
      </c>
      <c r="Q3959">
        <v>8.44</v>
      </c>
      <c r="R3959">
        <v>8.6</v>
      </c>
      <c r="S3959">
        <v>31.61</v>
      </c>
      <c r="T3959">
        <v>0.84</v>
      </c>
      <c r="U3959" t="s">
        <v>314</v>
      </c>
    </row>
    <row r="3960" spans="1:21">
      <c r="A3960" t="str">
        <f>"603759"</f>
        <v>603759</v>
      </c>
      <c r="B3960" t="s">
        <v>7628</v>
      </c>
      <c r="C3960">
        <v>-0.06</v>
      </c>
      <c r="D3960">
        <v>17.3</v>
      </c>
      <c r="E3960">
        <v>-0.01</v>
      </c>
      <c r="F3960">
        <v>17.3</v>
      </c>
      <c r="G3960">
        <v>17.31</v>
      </c>
      <c r="H3960">
        <v>25907</v>
      </c>
      <c r="I3960">
        <v>770</v>
      </c>
      <c r="J3960">
        <v>0.12</v>
      </c>
      <c r="K3960">
        <v>3.32</v>
      </c>
      <c r="L3960">
        <v>4479.98</v>
      </c>
      <c r="M3960" t="s">
        <v>349</v>
      </c>
      <c r="N3960" t="s">
        <v>465</v>
      </c>
      <c r="O3960">
        <v>17.31</v>
      </c>
      <c r="P3960">
        <v>17.57</v>
      </c>
      <c r="Q3960">
        <v>17.12</v>
      </c>
      <c r="R3960">
        <v>17.31</v>
      </c>
      <c r="S3960">
        <v>31.83</v>
      </c>
      <c r="T3960">
        <v>0.5</v>
      </c>
      <c r="U3960" t="s">
        <v>196</v>
      </c>
    </row>
    <row r="3961" spans="1:21">
      <c r="A3961" t="str">
        <f>"603766"</f>
        <v>603766</v>
      </c>
      <c r="B3961" t="s">
        <v>7629</v>
      </c>
      <c r="C3961">
        <v>-1.08</v>
      </c>
      <c r="D3961">
        <v>5.5</v>
      </c>
      <c r="E3961">
        <v>-0.06</v>
      </c>
      <c r="F3961">
        <v>5.5</v>
      </c>
      <c r="G3961">
        <v>5.51</v>
      </c>
      <c r="H3961">
        <v>479437</v>
      </c>
      <c r="I3961">
        <v>14869</v>
      </c>
      <c r="J3961">
        <v>-0.17</v>
      </c>
      <c r="K3961">
        <v>2.33</v>
      </c>
      <c r="L3961">
        <v>26317.86</v>
      </c>
      <c r="M3961" t="s">
        <v>7630</v>
      </c>
      <c r="N3961" t="s">
        <v>917</v>
      </c>
      <c r="O3961">
        <v>5.61</v>
      </c>
      <c r="P3961">
        <v>5.63</v>
      </c>
      <c r="Q3961">
        <v>5.35</v>
      </c>
      <c r="R3961">
        <v>5.56</v>
      </c>
      <c r="S3961">
        <v>11.91</v>
      </c>
      <c r="T3961">
        <v>0.57</v>
      </c>
      <c r="U3961" t="s">
        <v>314</v>
      </c>
    </row>
    <row r="3962" spans="1:21">
      <c r="A3962" t="str">
        <f>"603767"</f>
        <v>603767</v>
      </c>
      <c r="B3962" t="s">
        <v>7631</v>
      </c>
      <c r="C3962">
        <v>2.46</v>
      </c>
      <c r="D3962">
        <v>7.49</v>
      </c>
      <c r="E3962">
        <v>0.18</v>
      </c>
      <c r="F3962">
        <v>7.48</v>
      </c>
      <c r="G3962">
        <v>7.49</v>
      </c>
      <c r="H3962">
        <v>31267</v>
      </c>
      <c r="I3962">
        <v>545</v>
      </c>
      <c r="J3962">
        <v>0.13</v>
      </c>
      <c r="K3962">
        <v>1.04</v>
      </c>
      <c r="L3962">
        <v>2324.37</v>
      </c>
      <c r="M3962" t="s">
        <v>4540</v>
      </c>
      <c r="N3962" t="s">
        <v>91</v>
      </c>
      <c r="O3962">
        <v>7.3</v>
      </c>
      <c r="P3962">
        <v>7.51</v>
      </c>
      <c r="Q3962">
        <v>7.3</v>
      </c>
      <c r="R3962">
        <v>7.31</v>
      </c>
      <c r="S3962">
        <v>34.27</v>
      </c>
      <c r="T3962">
        <v>0.93</v>
      </c>
      <c r="U3962" t="s">
        <v>200</v>
      </c>
    </row>
    <row r="3963" spans="1:21">
      <c r="A3963" t="str">
        <f>"603768"</f>
        <v>603768</v>
      </c>
      <c r="B3963" t="s">
        <v>7632</v>
      </c>
      <c r="C3963">
        <v>5.38</v>
      </c>
      <c r="D3963">
        <v>17.82</v>
      </c>
      <c r="E3963">
        <v>0.91</v>
      </c>
      <c r="F3963">
        <v>17.8</v>
      </c>
      <c r="G3963">
        <v>17.82</v>
      </c>
      <c r="H3963">
        <v>22880</v>
      </c>
      <c r="I3963">
        <v>59</v>
      </c>
      <c r="J3963">
        <v>0.22</v>
      </c>
      <c r="K3963">
        <v>1.12</v>
      </c>
      <c r="L3963">
        <v>4025.39</v>
      </c>
      <c r="M3963" t="s">
        <v>7633</v>
      </c>
      <c r="N3963" t="s">
        <v>91</v>
      </c>
      <c r="O3963">
        <v>16.9</v>
      </c>
      <c r="P3963">
        <v>17.99</v>
      </c>
      <c r="Q3963">
        <v>16.71</v>
      </c>
      <c r="R3963">
        <v>16.91</v>
      </c>
      <c r="S3963">
        <v>35.26</v>
      </c>
      <c r="T3963">
        <v>1.91</v>
      </c>
      <c r="U3963" t="s">
        <v>193</v>
      </c>
    </row>
    <row r="3964" spans="1:21">
      <c r="A3964" t="str">
        <f>"603773"</f>
        <v>603773</v>
      </c>
      <c r="B3964" t="s">
        <v>7634</v>
      </c>
      <c r="C3964">
        <v>0.56</v>
      </c>
      <c r="D3964">
        <v>17.91</v>
      </c>
      <c r="E3964">
        <v>0.1</v>
      </c>
      <c r="F3964">
        <v>17.9</v>
      </c>
      <c r="G3964">
        <v>17.91</v>
      </c>
      <c r="H3964">
        <v>10829</v>
      </c>
      <c r="I3964">
        <v>147</v>
      </c>
      <c r="J3964">
        <v>0.17</v>
      </c>
      <c r="K3964">
        <v>0.89</v>
      </c>
      <c r="L3964">
        <v>1915.36</v>
      </c>
      <c r="M3964" t="s">
        <v>1357</v>
      </c>
      <c r="N3964" t="s">
        <v>69</v>
      </c>
      <c r="O3964">
        <v>17.75</v>
      </c>
      <c r="P3964">
        <v>17.93</v>
      </c>
      <c r="Q3964">
        <v>17.36</v>
      </c>
      <c r="R3964">
        <v>17.81</v>
      </c>
      <c r="S3964" t="s">
        <v>40</v>
      </c>
      <c r="T3964">
        <v>1.67</v>
      </c>
      <c r="U3964" t="s">
        <v>235</v>
      </c>
    </row>
    <row r="3965" spans="1:21">
      <c r="A3965" t="str">
        <f>"603776"</f>
        <v>603776</v>
      </c>
      <c r="B3965" t="s">
        <v>7635</v>
      </c>
      <c r="C3965">
        <v>5.02</v>
      </c>
      <c r="D3965">
        <v>17.98</v>
      </c>
      <c r="E3965">
        <v>0.86</v>
      </c>
      <c r="F3965">
        <v>17.97</v>
      </c>
      <c r="G3965">
        <v>17.98</v>
      </c>
      <c r="H3965">
        <v>77408</v>
      </c>
      <c r="I3965">
        <v>490</v>
      </c>
      <c r="J3965">
        <v>0.06</v>
      </c>
      <c r="K3965">
        <v>3.33</v>
      </c>
      <c r="L3965">
        <v>13836.37</v>
      </c>
      <c r="M3965" t="s">
        <v>7636</v>
      </c>
      <c r="N3965" t="s">
        <v>2308</v>
      </c>
      <c r="O3965">
        <v>17.13</v>
      </c>
      <c r="P3965">
        <v>18.12</v>
      </c>
      <c r="Q3965">
        <v>17.13</v>
      </c>
      <c r="R3965">
        <v>17.12</v>
      </c>
      <c r="S3965">
        <v>28.56</v>
      </c>
      <c r="T3965">
        <v>2.12</v>
      </c>
      <c r="U3965" t="s">
        <v>102</v>
      </c>
    </row>
    <row r="3966" spans="1:21">
      <c r="A3966" t="str">
        <f>"603777"</f>
        <v>603777</v>
      </c>
      <c r="B3966" t="s">
        <v>7637</v>
      </c>
      <c r="C3966">
        <v>0</v>
      </c>
      <c r="D3966">
        <v>12.42</v>
      </c>
      <c r="E3966">
        <v>0</v>
      </c>
      <c r="F3966">
        <v>12.41</v>
      </c>
      <c r="G3966">
        <v>12.42</v>
      </c>
      <c r="H3966">
        <v>37047</v>
      </c>
      <c r="I3966">
        <v>690</v>
      </c>
      <c r="J3966">
        <v>0.16</v>
      </c>
      <c r="K3966">
        <v>1.1</v>
      </c>
      <c r="L3966">
        <v>4582.6</v>
      </c>
      <c r="M3966" t="s">
        <v>7638</v>
      </c>
      <c r="N3966" t="s">
        <v>299</v>
      </c>
      <c r="O3966">
        <v>12.42</v>
      </c>
      <c r="P3966">
        <v>12.47</v>
      </c>
      <c r="Q3966">
        <v>12.29</v>
      </c>
      <c r="R3966">
        <v>12.42</v>
      </c>
      <c r="S3966">
        <v>245.38</v>
      </c>
      <c r="T3966">
        <v>0.66</v>
      </c>
      <c r="U3966" t="s">
        <v>848</v>
      </c>
    </row>
    <row r="3967" spans="1:21">
      <c r="A3967" t="str">
        <f>"603778"</f>
        <v>603778</v>
      </c>
      <c r="B3967" t="s">
        <v>7639</v>
      </c>
      <c r="C3967">
        <v>0</v>
      </c>
      <c r="D3967">
        <v>4.28</v>
      </c>
      <c r="E3967">
        <v>0</v>
      </c>
      <c r="F3967">
        <v>4.27</v>
      </c>
      <c r="G3967">
        <v>4.28</v>
      </c>
      <c r="H3967">
        <v>54670</v>
      </c>
      <c r="I3967">
        <v>435</v>
      </c>
      <c r="J3967">
        <v>0</v>
      </c>
      <c r="K3967">
        <v>0.85</v>
      </c>
      <c r="L3967">
        <v>2327.77</v>
      </c>
      <c r="M3967" t="s">
        <v>7640</v>
      </c>
      <c r="N3967" t="s">
        <v>50</v>
      </c>
      <c r="O3967">
        <v>4.26</v>
      </c>
      <c r="P3967">
        <v>4.32</v>
      </c>
      <c r="Q3967">
        <v>4.22</v>
      </c>
      <c r="R3967">
        <v>4.28</v>
      </c>
      <c r="S3967" t="s">
        <v>40</v>
      </c>
      <c r="T3967">
        <v>0.88</v>
      </c>
      <c r="U3967" t="s">
        <v>44</v>
      </c>
    </row>
    <row r="3968" spans="1:21">
      <c r="A3968" t="str">
        <f>"603779"</f>
        <v>603779</v>
      </c>
      <c r="B3968" t="s">
        <v>7641</v>
      </c>
      <c r="C3968">
        <v>0</v>
      </c>
      <c r="D3968">
        <v>7.36</v>
      </c>
      <c r="E3968">
        <v>0</v>
      </c>
      <c r="F3968">
        <v>7.35</v>
      </c>
      <c r="G3968">
        <v>7.36</v>
      </c>
      <c r="H3968">
        <v>28480</v>
      </c>
      <c r="I3968">
        <v>500</v>
      </c>
      <c r="J3968">
        <v>0.27</v>
      </c>
      <c r="K3968">
        <v>0.93</v>
      </c>
      <c r="L3968">
        <v>2092.09</v>
      </c>
      <c r="M3968" t="s">
        <v>3404</v>
      </c>
      <c r="N3968" t="s">
        <v>853</v>
      </c>
      <c r="O3968">
        <v>7.33</v>
      </c>
      <c r="P3968">
        <v>7.46</v>
      </c>
      <c r="Q3968">
        <v>7.24</v>
      </c>
      <c r="R3968">
        <v>7.36</v>
      </c>
      <c r="S3968">
        <v>613.85</v>
      </c>
      <c r="T3968">
        <v>0.66</v>
      </c>
      <c r="U3968" t="s">
        <v>221</v>
      </c>
    </row>
    <row r="3969" spans="1:21">
      <c r="A3969" t="str">
        <f>"603786"</f>
        <v>603786</v>
      </c>
      <c r="B3969" t="s">
        <v>7642</v>
      </c>
      <c r="C3969">
        <v>1.74</v>
      </c>
      <c r="D3969">
        <v>77.22</v>
      </c>
      <c r="E3969">
        <v>1.32</v>
      </c>
      <c r="F3969">
        <v>77.21</v>
      </c>
      <c r="G3969">
        <v>77.22</v>
      </c>
      <c r="H3969">
        <v>7892</v>
      </c>
      <c r="I3969">
        <v>128</v>
      </c>
      <c r="J3969">
        <v>0.14</v>
      </c>
      <c r="K3969">
        <v>1.97</v>
      </c>
      <c r="L3969">
        <v>6038.61</v>
      </c>
      <c r="M3969" t="s">
        <v>7643</v>
      </c>
      <c r="N3969" t="s">
        <v>91</v>
      </c>
      <c r="O3969">
        <v>76</v>
      </c>
      <c r="P3969">
        <v>78.69</v>
      </c>
      <c r="Q3969">
        <v>74.22</v>
      </c>
      <c r="R3969">
        <v>75.9</v>
      </c>
      <c r="S3969">
        <v>85.16</v>
      </c>
      <c r="T3969">
        <v>0.59</v>
      </c>
      <c r="U3969" t="s">
        <v>848</v>
      </c>
    </row>
    <row r="3970" spans="1:21">
      <c r="A3970" t="str">
        <f>"603787"</f>
        <v>603787</v>
      </c>
      <c r="B3970" t="s">
        <v>7644</v>
      </c>
      <c r="C3970">
        <v>-0.4</v>
      </c>
      <c r="D3970">
        <v>17.56</v>
      </c>
      <c r="E3970">
        <v>-0.07</v>
      </c>
      <c r="F3970">
        <v>17.56</v>
      </c>
      <c r="G3970">
        <v>17.57</v>
      </c>
      <c r="H3970">
        <v>13731</v>
      </c>
      <c r="I3970">
        <v>348</v>
      </c>
      <c r="J3970">
        <v>0.23</v>
      </c>
      <c r="K3970">
        <v>0.67</v>
      </c>
      <c r="L3970">
        <v>2406.31</v>
      </c>
      <c r="M3970" t="s">
        <v>2031</v>
      </c>
      <c r="N3970" t="s">
        <v>917</v>
      </c>
      <c r="O3970">
        <v>17.58</v>
      </c>
      <c r="P3970">
        <v>17.74</v>
      </c>
      <c r="Q3970">
        <v>17.41</v>
      </c>
      <c r="R3970">
        <v>17.63</v>
      </c>
      <c r="S3970">
        <v>81.17</v>
      </c>
      <c r="T3970">
        <v>0.57</v>
      </c>
      <c r="U3970" t="s">
        <v>102</v>
      </c>
    </row>
    <row r="3971" spans="1:21">
      <c r="A3971" t="str">
        <f>"603788"</f>
        <v>603788</v>
      </c>
      <c r="B3971" t="s">
        <v>7645</v>
      </c>
      <c r="C3971">
        <v>0.27</v>
      </c>
      <c r="D3971">
        <v>14.8</v>
      </c>
      <c r="E3971">
        <v>0.04</v>
      </c>
      <c r="F3971">
        <v>14.79</v>
      </c>
      <c r="G3971">
        <v>14.8</v>
      </c>
      <c r="H3971">
        <v>68276</v>
      </c>
      <c r="I3971">
        <v>1827</v>
      </c>
      <c r="J3971">
        <v>0.27</v>
      </c>
      <c r="K3971">
        <v>3.06</v>
      </c>
      <c r="L3971">
        <v>10051.22</v>
      </c>
      <c r="M3971" t="s">
        <v>7646</v>
      </c>
      <c r="N3971" t="s">
        <v>91</v>
      </c>
      <c r="O3971">
        <v>14.55</v>
      </c>
      <c r="P3971">
        <v>14.88</v>
      </c>
      <c r="Q3971">
        <v>14.5</v>
      </c>
      <c r="R3971">
        <v>14.76</v>
      </c>
      <c r="S3971">
        <v>19</v>
      </c>
      <c r="T3971">
        <v>0.53</v>
      </c>
      <c r="U3971" t="s">
        <v>200</v>
      </c>
    </row>
    <row r="3972" spans="1:21">
      <c r="A3972" t="str">
        <f>"603789"</f>
        <v>603789</v>
      </c>
      <c r="B3972" t="s">
        <v>7647</v>
      </c>
      <c r="C3972">
        <v>-0.08</v>
      </c>
      <c r="D3972">
        <v>12.62</v>
      </c>
      <c r="E3972">
        <v>-0.01</v>
      </c>
      <c r="F3972">
        <v>12.62</v>
      </c>
      <c r="G3972">
        <v>12.63</v>
      </c>
      <c r="H3972">
        <v>17645</v>
      </c>
      <c r="I3972">
        <v>208</v>
      </c>
      <c r="J3972">
        <v>0</v>
      </c>
      <c r="K3972">
        <v>0.68</v>
      </c>
      <c r="L3972">
        <v>2227.56</v>
      </c>
      <c r="M3972" t="s">
        <v>4733</v>
      </c>
      <c r="N3972" t="s">
        <v>786</v>
      </c>
      <c r="O3972">
        <v>12.63</v>
      </c>
      <c r="P3972">
        <v>12.64</v>
      </c>
      <c r="Q3972">
        <v>12.62</v>
      </c>
      <c r="R3972">
        <v>12.63</v>
      </c>
      <c r="S3972" t="s">
        <v>40</v>
      </c>
      <c r="T3972">
        <v>0.64</v>
      </c>
      <c r="U3972" t="s">
        <v>200</v>
      </c>
    </row>
    <row r="3973" spans="1:21">
      <c r="A3973" t="str">
        <f>"603790"</f>
        <v>603790</v>
      </c>
      <c r="B3973" t="s">
        <v>7648</v>
      </c>
      <c r="C3973">
        <v>0.7</v>
      </c>
      <c r="D3973">
        <v>10.02</v>
      </c>
      <c r="E3973">
        <v>0.07</v>
      </c>
      <c r="F3973">
        <v>10.02</v>
      </c>
      <c r="G3973">
        <v>10.03</v>
      </c>
      <c r="H3973">
        <v>12432</v>
      </c>
      <c r="I3973">
        <v>241</v>
      </c>
      <c r="J3973">
        <v>0.1</v>
      </c>
      <c r="K3973">
        <v>0.65</v>
      </c>
      <c r="L3973">
        <v>1232.82</v>
      </c>
      <c r="M3973" t="s">
        <v>6112</v>
      </c>
      <c r="N3973" t="s">
        <v>416</v>
      </c>
      <c r="O3973">
        <v>9.96</v>
      </c>
      <c r="P3973">
        <v>10.05</v>
      </c>
      <c r="Q3973">
        <v>9.77</v>
      </c>
      <c r="R3973">
        <v>9.95</v>
      </c>
      <c r="S3973">
        <v>23.58</v>
      </c>
      <c r="T3973">
        <v>1.36</v>
      </c>
      <c r="U3973" t="s">
        <v>848</v>
      </c>
    </row>
    <row r="3974" spans="1:21">
      <c r="A3974" t="str">
        <f>"603797"</f>
        <v>603797</v>
      </c>
      <c r="B3974" t="s">
        <v>7649</v>
      </c>
      <c r="C3974">
        <v>1.03</v>
      </c>
      <c r="D3974">
        <v>6.86</v>
      </c>
      <c r="E3974">
        <v>0.07</v>
      </c>
      <c r="F3974">
        <v>6.86</v>
      </c>
      <c r="G3974">
        <v>6.87</v>
      </c>
      <c r="H3974">
        <v>16514</v>
      </c>
      <c r="I3974">
        <v>304</v>
      </c>
      <c r="J3974">
        <v>-0.14</v>
      </c>
      <c r="K3974">
        <v>0.37</v>
      </c>
      <c r="L3974">
        <v>1129.38</v>
      </c>
      <c r="M3974" t="s">
        <v>7650</v>
      </c>
      <c r="N3974" t="s">
        <v>33</v>
      </c>
      <c r="O3974">
        <v>6.81</v>
      </c>
      <c r="P3974">
        <v>6.88</v>
      </c>
      <c r="Q3974">
        <v>6.78</v>
      </c>
      <c r="R3974">
        <v>6.79</v>
      </c>
      <c r="S3974">
        <v>16.53</v>
      </c>
      <c r="T3974">
        <v>0.93</v>
      </c>
      <c r="U3974" t="s">
        <v>183</v>
      </c>
    </row>
    <row r="3975" spans="1:21">
      <c r="A3975" t="str">
        <f>"603798"</f>
        <v>603798</v>
      </c>
      <c r="B3975" t="s">
        <v>7651</v>
      </c>
      <c r="C3975">
        <v>3.93</v>
      </c>
      <c r="D3975">
        <v>11.1</v>
      </c>
      <c r="E3975">
        <v>0.42</v>
      </c>
      <c r="F3975">
        <v>11.09</v>
      </c>
      <c r="G3975">
        <v>11.1</v>
      </c>
      <c r="H3975">
        <v>44077</v>
      </c>
      <c r="I3975">
        <v>427</v>
      </c>
      <c r="J3975">
        <v>0</v>
      </c>
      <c r="K3975">
        <v>2.23</v>
      </c>
      <c r="L3975">
        <v>4825.37</v>
      </c>
      <c r="M3975" t="s">
        <v>7652</v>
      </c>
      <c r="N3975" t="s">
        <v>140</v>
      </c>
      <c r="O3975">
        <v>10.68</v>
      </c>
      <c r="P3975">
        <v>11.18</v>
      </c>
      <c r="Q3975">
        <v>10.55</v>
      </c>
      <c r="R3975">
        <v>10.68</v>
      </c>
      <c r="S3975">
        <v>17.45</v>
      </c>
      <c r="T3975">
        <v>2</v>
      </c>
      <c r="U3975" t="s">
        <v>221</v>
      </c>
    </row>
    <row r="3976" spans="1:21">
      <c r="A3976" t="str">
        <f>"603799"</f>
        <v>603799</v>
      </c>
      <c r="B3976" t="s">
        <v>7653</v>
      </c>
      <c r="C3976">
        <v>3.65</v>
      </c>
      <c r="D3976">
        <v>119.2</v>
      </c>
      <c r="E3976">
        <v>4.2</v>
      </c>
      <c r="F3976">
        <v>119.2</v>
      </c>
      <c r="G3976">
        <v>119.21</v>
      </c>
      <c r="H3976">
        <v>317494</v>
      </c>
      <c r="I3976">
        <v>2483</v>
      </c>
      <c r="J3976">
        <v>0</v>
      </c>
      <c r="K3976">
        <v>2.62</v>
      </c>
      <c r="L3976">
        <v>380325.3</v>
      </c>
      <c r="M3976" t="s">
        <v>7654</v>
      </c>
      <c r="N3976" t="s">
        <v>523</v>
      </c>
      <c r="O3976">
        <v>115</v>
      </c>
      <c r="P3976">
        <v>123</v>
      </c>
      <c r="Q3976">
        <v>114.99</v>
      </c>
      <c r="R3976">
        <v>115</v>
      </c>
      <c r="S3976">
        <v>46.09</v>
      </c>
      <c r="T3976">
        <v>1.44</v>
      </c>
      <c r="U3976" t="s">
        <v>200</v>
      </c>
    </row>
    <row r="3977" spans="1:21">
      <c r="A3977" t="str">
        <f>"603800"</f>
        <v>603800</v>
      </c>
      <c r="B3977" t="s">
        <v>7655</v>
      </c>
      <c r="C3977">
        <v>1.32</v>
      </c>
      <c r="D3977">
        <v>25.28</v>
      </c>
      <c r="E3977">
        <v>0.33</v>
      </c>
      <c r="F3977">
        <v>25.27</v>
      </c>
      <c r="G3977">
        <v>25.28</v>
      </c>
      <c r="H3977">
        <v>52792</v>
      </c>
      <c r="I3977">
        <v>853</v>
      </c>
      <c r="J3977">
        <v>0.48</v>
      </c>
      <c r="K3977">
        <v>2.54</v>
      </c>
      <c r="L3977">
        <v>13600.48</v>
      </c>
      <c r="M3977" t="s">
        <v>7656</v>
      </c>
      <c r="N3977" t="s">
        <v>324</v>
      </c>
      <c r="O3977">
        <v>24.99</v>
      </c>
      <c r="P3977">
        <v>26.58</v>
      </c>
      <c r="Q3977">
        <v>24.81</v>
      </c>
      <c r="R3977">
        <v>24.95</v>
      </c>
      <c r="S3977" t="s">
        <v>40</v>
      </c>
      <c r="T3977">
        <v>0.73</v>
      </c>
      <c r="U3977" t="s">
        <v>102</v>
      </c>
    </row>
    <row r="3978" spans="1:21">
      <c r="A3978" t="str">
        <f>"603801"</f>
        <v>603801</v>
      </c>
      <c r="B3978" t="s">
        <v>7657</v>
      </c>
      <c r="C3978">
        <v>1.69</v>
      </c>
      <c r="D3978">
        <v>22.27</v>
      </c>
      <c r="E3978">
        <v>0.37</v>
      </c>
      <c r="F3978">
        <v>22.26</v>
      </c>
      <c r="G3978">
        <v>22.27</v>
      </c>
      <c r="H3978">
        <v>44466</v>
      </c>
      <c r="I3978">
        <v>330</v>
      </c>
      <c r="J3978">
        <v>0.13</v>
      </c>
      <c r="K3978">
        <v>1.44</v>
      </c>
      <c r="L3978">
        <v>9756.05</v>
      </c>
      <c r="M3978" t="s">
        <v>7658</v>
      </c>
      <c r="N3978" t="s">
        <v>910</v>
      </c>
      <c r="O3978">
        <v>21.9</v>
      </c>
      <c r="P3978">
        <v>22.5</v>
      </c>
      <c r="Q3978">
        <v>21.4</v>
      </c>
      <c r="R3978">
        <v>21.9</v>
      </c>
      <c r="S3978">
        <v>17.38</v>
      </c>
      <c r="T3978">
        <v>1.04</v>
      </c>
      <c r="U3978" t="s">
        <v>193</v>
      </c>
    </row>
    <row r="3979" spans="1:21">
      <c r="A3979" t="str">
        <f>"603803"</f>
        <v>603803</v>
      </c>
      <c r="B3979" t="s">
        <v>7659</v>
      </c>
      <c r="C3979">
        <v>1.54</v>
      </c>
      <c r="D3979">
        <v>6.58</v>
      </c>
      <c r="E3979">
        <v>0.1</v>
      </c>
      <c r="F3979">
        <v>6.58</v>
      </c>
      <c r="G3979">
        <v>6.59</v>
      </c>
      <c r="H3979">
        <v>37034</v>
      </c>
      <c r="I3979">
        <v>268</v>
      </c>
      <c r="J3979">
        <v>0</v>
      </c>
      <c r="K3979">
        <v>0.88</v>
      </c>
      <c r="L3979">
        <v>2429.68</v>
      </c>
      <c r="M3979" t="s">
        <v>7660</v>
      </c>
      <c r="N3979" t="s">
        <v>153</v>
      </c>
      <c r="O3979">
        <v>6.43</v>
      </c>
      <c r="P3979">
        <v>6.62</v>
      </c>
      <c r="Q3979">
        <v>6.4</v>
      </c>
      <c r="R3979">
        <v>6.48</v>
      </c>
      <c r="S3979" t="s">
        <v>40</v>
      </c>
      <c r="T3979">
        <v>0.83</v>
      </c>
      <c r="U3979" t="s">
        <v>44</v>
      </c>
    </row>
    <row r="3980" spans="1:21">
      <c r="A3980" t="str">
        <f>"603806"</f>
        <v>603806</v>
      </c>
      <c r="B3980" t="s">
        <v>7661</v>
      </c>
      <c r="C3980">
        <v>2.81</v>
      </c>
      <c r="D3980">
        <v>130.78</v>
      </c>
      <c r="E3980">
        <v>3.57</v>
      </c>
      <c r="F3980">
        <v>130.78</v>
      </c>
      <c r="G3980">
        <v>130.79</v>
      </c>
      <c r="H3980">
        <v>55280</v>
      </c>
      <c r="I3980">
        <v>507</v>
      </c>
      <c r="J3980">
        <v>0.06</v>
      </c>
      <c r="K3980">
        <v>0.58</v>
      </c>
      <c r="L3980">
        <v>70916.6</v>
      </c>
      <c r="M3980" t="s">
        <v>7662</v>
      </c>
      <c r="N3980" t="s">
        <v>839</v>
      </c>
      <c r="O3980">
        <v>127.21</v>
      </c>
      <c r="P3980">
        <v>132.32</v>
      </c>
      <c r="Q3980">
        <v>125.06</v>
      </c>
      <c r="R3980">
        <v>127.21</v>
      </c>
      <c r="S3980">
        <v>69.81</v>
      </c>
      <c r="T3980">
        <v>1.13</v>
      </c>
      <c r="U3980" t="s">
        <v>200</v>
      </c>
    </row>
    <row r="3981" spans="1:21">
      <c r="A3981" t="str">
        <f>"603808"</f>
        <v>603808</v>
      </c>
      <c r="B3981" t="s">
        <v>7663</v>
      </c>
      <c r="C3981">
        <v>1.37</v>
      </c>
      <c r="D3981">
        <v>15.52</v>
      </c>
      <c r="E3981">
        <v>0.21</v>
      </c>
      <c r="F3981">
        <v>15.52</v>
      </c>
      <c r="G3981">
        <v>15.53</v>
      </c>
      <c r="H3981">
        <v>47146</v>
      </c>
      <c r="I3981">
        <v>324</v>
      </c>
      <c r="J3981">
        <v>0.52</v>
      </c>
      <c r="K3981">
        <v>1.42</v>
      </c>
      <c r="L3981">
        <v>7321.94</v>
      </c>
      <c r="M3981" t="s">
        <v>7664</v>
      </c>
      <c r="N3981" t="s">
        <v>1061</v>
      </c>
      <c r="O3981">
        <v>15.21</v>
      </c>
      <c r="P3981">
        <v>15.88</v>
      </c>
      <c r="Q3981">
        <v>15.18</v>
      </c>
      <c r="R3981">
        <v>15.31</v>
      </c>
      <c r="S3981">
        <v>17.63</v>
      </c>
      <c r="T3981">
        <v>1.91</v>
      </c>
      <c r="U3981" t="s">
        <v>24</v>
      </c>
    </row>
    <row r="3982" spans="1:21">
      <c r="A3982" t="str">
        <f>"603809"</f>
        <v>603809</v>
      </c>
      <c r="B3982" t="s">
        <v>7665</v>
      </c>
      <c r="C3982">
        <v>1.18</v>
      </c>
      <c r="D3982">
        <v>20.62</v>
      </c>
      <c r="E3982">
        <v>0.24</v>
      </c>
      <c r="F3982">
        <v>20.62</v>
      </c>
      <c r="G3982">
        <v>20.63</v>
      </c>
      <c r="H3982">
        <v>41010</v>
      </c>
      <c r="I3982">
        <v>225</v>
      </c>
      <c r="J3982">
        <v>0.15</v>
      </c>
      <c r="K3982">
        <v>1.38</v>
      </c>
      <c r="L3982">
        <v>8418.92</v>
      </c>
      <c r="M3982" t="s">
        <v>7666</v>
      </c>
      <c r="N3982" t="s">
        <v>91</v>
      </c>
      <c r="O3982">
        <v>20.38</v>
      </c>
      <c r="P3982">
        <v>20.95</v>
      </c>
      <c r="Q3982">
        <v>19.96</v>
      </c>
      <c r="R3982">
        <v>20.38</v>
      </c>
      <c r="S3982">
        <v>26.69</v>
      </c>
      <c r="T3982">
        <v>0.78</v>
      </c>
      <c r="U3982" t="s">
        <v>196</v>
      </c>
    </row>
    <row r="3983" spans="1:21">
      <c r="A3983" t="str">
        <f>"603810"</f>
        <v>603810</v>
      </c>
      <c r="B3983" t="s">
        <v>7667</v>
      </c>
      <c r="C3983">
        <v>0.55</v>
      </c>
      <c r="D3983">
        <v>12.78</v>
      </c>
      <c r="E3983">
        <v>0.07</v>
      </c>
      <c r="F3983">
        <v>12.76</v>
      </c>
      <c r="G3983">
        <v>12.78</v>
      </c>
      <c r="H3983">
        <v>10782</v>
      </c>
      <c r="I3983">
        <v>59</v>
      </c>
      <c r="J3983">
        <v>0</v>
      </c>
      <c r="K3983">
        <v>0.68</v>
      </c>
      <c r="L3983">
        <v>1365.98</v>
      </c>
      <c r="M3983" t="s">
        <v>4024</v>
      </c>
      <c r="N3983" t="s">
        <v>241</v>
      </c>
      <c r="O3983">
        <v>12.77</v>
      </c>
      <c r="P3983">
        <v>12.89</v>
      </c>
      <c r="Q3983">
        <v>12.46</v>
      </c>
      <c r="R3983">
        <v>12.71</v>
      </c>
      <c r="S3983">
        <v>17.34</v>
      </c>
      <c r="T3983">
        <v>1.4</v>
      </c>
      <c r="U3983" t="s">
        <v>102</v>
      </c>
    </row>
    <row r="3984" spans="1:21">
      <c r="A3984" t="str">
        <f>"603811"</f>
        <v>603811</v>
      </c>
      <c r="B3984" t="s">
        <v>7668</v>
      </c>
      <c r="C3984">
        <v>-0.47</v>
      </c>
      <c r="D3984">
        <v>14.94</v>
      </c>
      <c r="E3984">
        <v>-0.07</v>
      </c>
      <c r="F3984">
        <v>14.94</v>
      </c>
      <c r="G3984">
        <v>14.95</v>
      </c>
      <c r="H3984">
        <v>57297</v>
      </c>
      <c r="I3984">
        <v>1266</v>
      </c>
      <c r="J3984">
        <v>-0.26</v>
      </c>
      <c r="K3984">
        <v>2.45</v>
      </c>
      <c r="L3984">
        <v>8574.89</v>
      </c>
      <c r="M3984" t="s">
        <v>7669</v>
      </c>
      <c r="N3984" t="s">
        <v>192</v>
      </c>
      <c r="O3984">
        <v>14.85</v>
      </c>
      <c r="P3984">
        <v>15.24</v>
      </c>
      <c r="Q3984">
        <v>14.78</v>
      </c>
      <c r="R3984">
        <v>15.01</v>
      </c>
      <c r="S3984">
        <v>22.18</v>
      </c>
      <c r="T3984">
        <v>0.54</v>
      </c>
      <c r="U3984" t="s">
        <v>200</v>
      </c>
    </row>
    <row r="3985" spans="1:21">
      <c r="A3985" t="str">
        <f>"603813"</f>
        <v>603813</v>
      </c>
      <c r="B3985" t="s">
        <v>7670</v>
      </c>
      <c r="C3985">
        <v>1.96</v>
      </c>
      <c r="D3985">
        <v>14.05</v>
      </c>
      <c r="E3985">
        <v>0.27</v>
      </c>
      <c r="F3985">
        <v>14.02</v>
      </c>
      <c r="G3985">
        <v>14.05</v>
      </c>
      <c r="H3985">
        <v>5907</v>
      </c>
      <c r="I3985">
        <v>26</v>
      </c>
      <c r="J3985">
        <v>0</v>
      </c>
      <c r="K3985">
        <v>0.67</v>
      </c>
      <c r="L3985">
        <v>825.74</v>
      </c>
      <c r="M3985" t="s">
        <v>7671</v>
      </c>
      <c r="N3985" t="s">
        <v>1049</v>
      </c>
      <c r="O3985">
        <v>13.8</v>
      </c>
      <c r="P3985">
        <v>14.14</v>
      </c>
      <c r="Q3985">
        <v>13.78</v>
      </c>
      <c r="R3985">
        <v>13.78</v>
      </c>
      <c r="S3985">
        <v>70.83</v>
      </c>
      <c r="T3985">
        <v>0.95</v>
      </c>
      <c r="U3985" t="s">
        <v>183</v>
      </c>
    </row>
    <row r="3986" spans="1:21">
      <c r="A3986" t="str">
        <f>"603815"</f>
        <v>603815</v>
      </c>
      <c r="B3986" t="s">
        <v>7672</v>
      </c>
      <c r="C3986">
        <v>0.75</v>
      </c>
      <c r="D3986">
        <v>8.11</v>
      </c>
      <c r="E3986">
        <v>0.06</v>
      </c>
      <c r="F3986">
        <v>8.1</v>
      </c>
      <c r="G3986">
        <v>8.11</v>
      </c>
      <c r="H3986">
        <v>17839</v>
      </c>
      <c r="I3986">
        <v>249</v>
      </c>
      <c r="J3986">
        <v>0.12</v>
      </c>
      <c r="K3986">
        <v>1.09</v>
      </c>
      <c r="L3986">
        <v>1437.86</v>
      </c>
      <c r="M3986" t="s">
        <v>5685</v>
      </c>
      <c r="N3986" t="s">
        <v>50</v>
      </c>
      <c r="O3986">
        <v>8.05</v>
      </c>
      <c r="P3986">
        <v>8.16</v>
      </c>
      <c r="Q3986">
        <v>7.97</v>
      </c>
      <c r="R3986">
        <v>8.05</v>
      </c>
      <c r="S3986">
        <v>44.88</v>
      </c>
      <c r="T3986">
        <v>1.35</v>
      </c>
      <c r="U3986" t="s">
        <v>193</v>
      </c>
    </row>
    <row r="3987" spans="1:21">
      <c r="A3987" t="str">
        <f>"603816"</f>
        <v>603816</v>
      </c>
      <c r="B3987" t="s">
        <v>7673</v>
      </c>
      <c r="C3987">
        <v>1.25</v>
      </c>
      <c r="D3987">
        <v>68.75</v>
      </c>
      <c r="E3987">
        <v>0.85</v>
      </c>
      <c r="F3987">
        <v>68.75</v>
      </c>
      <c r="G3987">
        <v>68.77</v>
      </c>
      <c r="H3987">
        <v>36342</v>
      </c>
      <c r="I3987">
        <v>389</v>
      </c>
      <c r="J3987">
        <v>-0.35</v>
      </c>
      <c r="K3987">
        <v>0.58</v>
      </c>
      <c r="L3987">
        <v>24644.88</v>
      </c>
      <c r="M3987" t="s">
        <v>7674</v>
      </c>
      <c r="N3987" t="s">
        <v>910</v>
      </c>
      <c r="O3987">
        <v>67.9</v>
      </c>
      <c r="P3987">
        <v>69.6</v>
      </c>
      <c r="Q3987">
        <v>66.89</v>
      </c>
      <c r="R3987">
        <v>67.9</v>
      </c>
      <c r="S3987">
        <v>26.34</v>
      </c>
      <c r="T3987">
        <v>0.93</v>
      </c>
      <c r="U3987" t="s">
        <v>200</v>
      </c>
    </row>
    <row r="3988" spans="1:21">
      <c r="A3988" t="str">
        <f>"603817"</f>
        <v>603817</v>
      </c>
      <c r="B3988" t="s">
        <v>7675</v>
      </c>
      <c r="C3988">
        <v>0.7</v>
      </c>
      <c r="D3988">
        <v>5.77</v>
      </c>
      <c r="E3988">
        <v>0.04</v>
      </c>
      <c r="F3988">
        <v>5.77</v>
      </c>
      <c r="G3988">
        <v>5.78</v>
      </c>
      <c r="H3988">
        <v>22783</v>
      </c>
      <c r="I3988">
        <v>133</v>
      </c>
      <c r="J3988">
        <v>-0.16</v>
      </c>
      <c r="K3988">
        <v>0.51</v>
      </c>
      <c r="L3988">
        <v>1305.67</v>
      </c>
      <c r="M3988" t="s">
        <v>7676</v>
      </c>
      <c r="N3988" t="s">
        <v>33</v>
      </c>
      <c r="O3988">
        <v>5.75</v>
      </c>
      <c r="P3988">
        <v>5.79</v>
      </c>
      <c r="Q3988">
        <v>5.66</v>
      </c>
      <c r="R3988">
        <v>5.73</v>
      </c>
      <c r="S3988">
        <v>19.17</v>
      </c>
      <c r="T3988">
        <v>1</v>
      </c>
      <c r="U3988" t="s">
        <v>339</v>
      </c>
    </row>
    <row r="3989" spans="1:21">
      <c r="A3989" t="str">
        <f>"603818"</f>
        <v>603818</v>
      </c>
      <c r="B3989" t="s">
        <v>7677</v>
      </c>
      <c r="C3989">
        <v>-0.97</v>
      </c>
      <c r="D3989">
        <v>10.17</v>
      </c>
      <c r="E3989">
        <v>-0.1</v>
      </c>
      <c r="F3989">
        <v>10.17</v>
      </c>
      <c r="G3989">
        <v>10.18</v>
      </c>
      <c r="H3989">
        <v>38378</v>
      </c>
      <c r="I3989">
        <v>379</v>
      </c>
      <c r="J3989">
        <v>-0.19</v>
      </c>
      <c r="K3989">
        <v>0.66</v>
      </c>
      <c r="L3989">
        <v>3906.71</v>
      </c>
      <c r="M3989" t="s">
        <v>3559</v>
      </c>
      <c r="N3989" t="s">
        <v>910</v>
      </c>
      <c r="O3989">
        <v>10.22</v>
      </c>
      <c r="P3989">
        <v>10.32</v>
      </c>
      <c r="Q3989">
        <v>10.06</v>
      </c>
      <c r="R3989">
        <v>10.27</v>
      </c>
      <c r="S3989">
        <v>24.41</v>
      </c>
      <c r="T3989">
        <v>0.87</v>
      </c>
      <c r="U3989" t="s">
        <v>44</v>
      </c>
    </row>
    <row r="3990" spans="1:21">
      <c r="A3990" t="str">
        <f>"603819"</f>
        <v>603819</v>
      </c>
      <c r="B3990" t="s">
        <v>7678</v>
      </c>
      <c r="C3990">
        <v>0.77</v>
      </c>
      <c r="D3990">
        <v>13.01</v>
      </c>
      <c r="E3990">
        <v>0.1</v>
      </c>
      <c r="F3990">
        <v>13.01</v>
      </c>
      <c r="G3990">
        <v>13.02</v>
      </c>
      <c r="H3990">
        <v>23079</v>
      </c>
      <c r="I3990">
        <v>326</v>
      </c>
      <c r="J3990">
        <v>0</v>
      </c>
      <c r="K3990">
        <v>1.06</v>
      </c>
      <c r="L3990">
        <v>2978.84</v>
      </c>
      <c r="M3990" t="s">
        <v>4957</v>
      </c>
      <c r="N3990" t="s">
        <v>47</v>
      </c>
      <c r="O3990">
        <v>12.78</v>
      </c>
      <c r="P3990">
        <v>13.12</v>
      </c>
      <c r="Q3990">
        <v>12.69</v>
      </c>
      <c r="R3990">
        <v>12.91</v>
      </c>
      <c r="S3990">
        <v>174.98</v>
      </c>
      <c r="T3990">
        <v>0.56</v>
      </c>
      <c r="U3990" t="s">
        <v>102</v>
      </c>
    </row>
    <row r="3991" spans="1:21">
      <c r="A3991" t="str">
        <f>"603822"</f>
        <v>603822</v>
      </c>
      <c r="B3991" t="s">
        <v>7679</v>
      </c>
      <c r="C3991">
        <v>1.02</v>
      </c>
      <c r="D3991">
        <v>44.76</v>
      </c>
      <c r="E3991">
        <v>0.45</v>
      </c>
      <c r="F3991">
        <v>44.72</v>
      </c>
      <c r="G3991">
        <v>44.76</v>
      </c>
      <c r="H3991">
        <v>12453</v>
      </c>
      <c r="I3991">
        <v>67</v>
      </c>
      <c r="J3991">
        <v>-0.37</v>
      </c>
      <c r="K3991">
        <v>1.72</v>
      </c>
      <c r="L3991">
        <v>5600.41</v>
      </c>
      <c r="M3991" t="s">
        <v>5015</v>
      </c>
      <c r="N3991" t="s">
        <v>33</v>
      </c>
      <c r="O3991">
        <v>44.8</v>
      </c>
      <c r="P3991">
        <v>46.22</v>
      </c>
      <c r="Q3991">
        <v>44.12</v>
      </c>
      <c r="R3991">
        <v>44.31</v>
      </c>
      <c r="S3991">
        <v>34.42</v>
      </c>
      <c r="T3991">
        <v>0.79</v>
      </c>
      <c r="U3991" t="s">
        <v>200</v>
      </c>
    </row>
    <row r="3992" spans="1:21">
      <c r="A3992" t="str">
        <f>"603823"</f>
        <v>603823</v>
      </c>
      <c r="B3992" t="s">
        <v>7680</v>
      </c>
      <c r="C3992">
        <v>1.13</v>
      </c>
      <c r="D3992">
        <v>15.24</v>
      </c>
      <c r="E3992">
        <v>0.17</v>
      </c>
      <c r="F3992">
        <v>15.24</v>
      </c>
      <c r="G3992">
        <v>15.25</v>
      </c>
      <c r="H3992">
        <v>14313</v>
      </c>
      <c r="I3992">
        <v>149</v>
      </c>
      <c r="J3992">
        <v>-0.06</v>
      </c>
      <c r="K3992">
        <v>0.45</v>
      </c>
      <c r="L3992">
        <v>2172.38</v>
      </c>
      <c r="M3992" t="s">
        <v>7681</v>
      </c>
      <c r="N3992" t="s">
        <v>416</v>
      </c>
      <c r="O3992">
        <v>15.06</v>
      </c>
      <c r="P3992">
        <v>15.35</v>
      </c>
      <c r="Q3992">
        <v>14.95</v>
      </c>
      <c r="R3992">
        <v>15.07</v>
      </c>
      <c r="S3992">
        <v>16.39</v>
      </c>
      <c r="T3992">
        <v>0.8</v>
      </c>
      <c r="U3992" t="s">
        <v>200</v>
      </c>
    </row>
    <row r="3993" spans="1:21">
      <c r="A3993" t="str">
        <f>"603825"</f>
        <v>603825</v>
      </c>
      <c r="B3993" t="s">
        <v>7682</v>
      </c>
      <c r="C3993">
        <v>-0.43</v>
      </c>
      <c r="D3993">
        <v>18.71</v>
      </c>
      <c r="E3993">
        <v>-0.08</v>
      </c>
      <c r="F3993">
        <v>18.71</v>
      </c>
      <c r="G3993">
        <v>18.72</v>
      </c>
      <c r="H3993">
        <v>46547</v>
      </c>
      <c r="I3993">
        <v>572</v>
      </c>
      <c r="J3993">
        <v>-0.04</v>
      </c>
      <c r="K3993">
        <v>2.06</v>
      </c>
      <c r="L3993">
        <v>8718.71</v>
      </c>
      <c r="M3993" t="s">
        <v>7683</v>
      </c>
      <c r="N3993" t="s">
        <v>479</v>
      </c>
      <c r="O3993">
        <v>18.6</v>
      </c>
      <c r="P3993">
        <v>18.94</v>
      </c>
      <c r="Q3993">
        <v>18.46</v>
      </c>
      <c r="R3993">
        <v>18.79</v>
      </c>
      <c r="S3993">
        <v>26.67</v>
      </c>
      <c r="T3993">
        <v>0.73</v>
      </c>
      <c r="U3993" t="s">
        <v>44</v>
      </c>
    </row>
    <row r="3994" spans="1:21">
      <c r="A3994" t="str">
        <f>"603826"</f>
        <v>603826</v>
      </c>
      <c r="B3994" t="s">
        <v>7684</v>
      </c>
      <c r="C3994">
        <v>-0.05</v>
      </c>
      <c r="D3994">
        <v>38.82</v>
      </c>
      <c r="E3994">
        <v>-0.02</v>
      </c>
      <c r="F3994">
        <v>38.82</v>
      </c>
      <c r="G3994">
        <v>38.86</v>
      </c>
      <c r="H3994">
        <v>16394</v>
      </c>
      <c r="I3994">
        <v>75</v>
      </c>
      <c r="J3994">
        <v>0.34</v>
      </c>
      <c r="K3994">
        <v>0.35</v>
      </c>
      <c r="L3994">
        <v>6319.86</v>
      </c>
      <c r="M3994" t="s">
        <v>7685</v>
      </c>
      <c r="N3994" t="s">
        <v>416</v>
      </c>
      <c r="O3994">
        <v>38.71</v>
      </c>
      <c r="P3994">
        <v>39.2</v>
      </c>
      <c r="Q3994">
        <v>37.72</v>
      </c>
      <c r="R3994">
        <v>38.84</v>
      </c>
      <c r="S3994">
        <v>105.99</v>
      </c>
      <c r="T3994">
        <v>1.08</v>
      </c>
      <c r="U3994" t="s">
        <v>339</v>
      </c>
    </row>
    <row r="3995" spans="1:21">
      <c r="A3995" t="str">
        <f>"603828"</f>
        <v>603828</v>
      </c>
      <c r="B3995" t="s">
        <v>7686</v>
      </c>
      <c r="C3995">
        <v>-1.74</v>
      </c>
      <c r="D3995">
        <v>3.96</v>
      </c>
      <c r="E3995">
        <v>-0.07</v>
      </c>
      <c r="F3995">
        <v>3.96</v>
      </c>
      <c r="G3995">
        <v>3.97</v>
      </c>
      <c r="H3995">
        <v>108697</v>
      </c>
      <c r="I3995">
        <v>2637</v>
      </c>
      <c r="J3995">
        <v>0</v>
      </c>
      <c r="K3995">
        <v>1.82</v>
      </c>
      <c r="L3995">
        <v>4309.61</v>
      </c>
      <c r="M3995" t="s">
        <v>7687</v>
      </c>
      <c r="N3995" t="s">
        <v>1189</v>
      </c>
      <c r="O3995">
        <v>4.01</v>
      </c>
      <c r="P3995">
        <v>4.06</v>
      </c>
      <c r="Q3995">
        <v>3.91</v>
      </c>
      <c r="R3995">
        <v>4.03</v>
      </c>
      <c r="S3995">
        <v>45.21</v>
      </c>
      <c r="T3995">
        <v>0.73</v>
      </c>
      <c r="U3995" t="s">
        <v>102</v>
      </c>
    </row>
    <row r="3996" spans="1:21">
      <c r="A3996" t="str">
        <f>"603829"</f>
        <v>603829</v>
      </c>
      <c r="B3996" t="s">
        <v>7688</v>
      </c>
      <c r="C3996">
        <v>1.31</v>
      </c>
      <c r="D3996">
        <v>11.63</v>
      </c>
      <c r="E3996">
        <v>0.15</v>
      </c>
      <c r="F3996">
        <v>11.61</v>
      </c>
      <c r="G3996">
        <v>11.63</v>
      </c>
      <c r="H3996">
        <v>14458</v>
      </c>
      <c r="I3996">
        <v>225</v>
      </c>
      <c r="J3996">
        <v>0.09</v>
      </c>
      <c r="K3996">
        <v>0.9</v>
      </c>
      <c r="L3996">
        <v>1668</v>
      </c>
      <c r="M3996" t="s">
        <v>5161</v>
      </c>
      <c r="N3996" t="s">
        <v>47</v>
      </c>
      <c r="O3996">
        <v>11.55</v>
      </c>
      <c r="P3996">
        <v>11.7</v>
      </c>
      <c r="Q3996">
        <v>11.28</v>
      </c>
      <c r="R3996">
        <v>11.48</v>
      </c>
      <c r="S3996">
        <v>27.59</v>
      </c>
      <c r="T3996">
        <v>0.79</v>
      </c>
      <c r="U3996" t="s">
        <v>102</v>
      </c>
    </row>
    <row r="3997" spans="1:21">
      <c r="A3997" t="str">
        <f>"603833"</f>
        <v>603833</v>
      </c>
      <c r="B3997" t="s">
        <v>7689</v>
      </c>
      <c r="C3997">
        <v>-1.53</v>
      </c>
      <c r="D3997">
        <v>124.82</v>
      </c>
      <c r="E3997">
        <v>-1.94</v>
      </c>
      <c r="F3997">
        <v>124.82</v>
      </c>
      <c r="G3997">
        <v>125.26</v>
      </c>
      <c r="H3997">
        <v>15196</v>
      </c>
      <c r="I3997">
        <v>212</v>
      </c>
      <c r="J3997">
        <v>-0.37</v>
      </c>
      <c r="K3997">
        <v>0.25</v>
      </c>
      <c r="L3997">
        <v>18990.91</v>
      </c>
      <c r="M3997" t="s">
        <v>7690</v>
      </c>
      <c r="N3997" t="s">
        <v>910</v>
      </c>
      <c r="O3997">
        <v>126.01</v>
      </c>
      <c r="P3997">
        <v>127.98</v>
      </c>
      <c r="Q3997">
        <v>123</v>
      </c>
      <c r="R3997">
        <v>126.76</v>
      </c>
      <c r="S3997">
        <v>26.98</v>
      </c>
      <c r="T3997">
        <v>0.9</v>
      </c>
      <c r="U3997" t="s">
        <v>183</v>
      </c>
    </row>
    <row r="3998" spans="1:21">
      <c r="A3998" t="str">
        <f>"603836"</f>
        <v>603836</v>
      </c>
      <c r="B3998" t="s">
        <v>7691</v>
      </c>
      <c r="C3998">
        <v>0.49</v>
      </c>
      <c r="D3998">
        <v>24.72</v>
      </c>
      <c r="E3998">
        <v>0.12</v>
      </c>
      <c r="F3998">
        <v>24.72</v>
      </c>
      <c r="G3998">
        <v>24.73</v>
      </c>
      <c r="H3998">
        <v>45751</v>
      </c>
      <c r="I3998">
        <v>616</v>
      </c>
      <c r="J3998">
        <v>-0.03</v>
      </c>
      <c r="K3998">
        <v>8.92</v>
      </c>
      <c r="L3998">
        <v>11421.18</v>
      </c>
      <c r="M3998" t="s">
        <v>7692</v>
      </c>
      <c r="N3998" t="s">
        <v>1049</v>
      </c>
      <c r="O3998">
        <v>25</v>
      </c>
      <c r="P3998">
        <v>25.49</v>
      </c>
      <c r="Q3998">
        <v>24.53</v>
      </c>
      <c r="R3998">
        <v>24.6</v>
      </c>
      <c r="S3998">
        <v>10.54</v>
      </c>
      <c r="T3998">
        <v>0.87</v>
      </c>
      <c r="U3998" t="s">
        <v>221</v>
      </c>
    </row>
    <row r="3999" spans="1:21">
      <c r="A3999" t="str">
        <f>"603838"</f>
        <v>603838</v>
      </c>
      <c r="B3999" t="s">
        <v>7693</v>
      </c>
      <c r="C3999">
        <v>0.14</v>
      </c>
      <c r="D3999">
        <v>7.37</v>
      </c>
      <c r="E3999">
        <v>0.01</v>
      </c>
      <c r="F3999">
        <v>7.37</v>
      </c>
      <c r="G3999">
        <v>7.38</v>
      </c>
      <c r="H3999">
        <v>21815</v>
      </c>
      <c r="I3999">
        <v>123</v>
      </c>
      <c r="J3999">
        <v>0.14</v>
      </c>
      <c r="K3999">
        <v>0.77</v>
      </c>
      <c r="L3999">
        <v>1602.38</v>
      </c>
      <c r="M3999" t="s">
        <v>7694</v>
      </c>
      <c r="N3999" t="s">
        <v>1413</v>
      </c>
      <c r="O3999">
        <v>7.42</v>
      </c>
      <c r="P3999">
        <v>7.47</v>
      </c>
      <c r="Q3999">
        <v>7.21</v>
      </c>
      <c r="R3999">
        <v>7.36</v>
      </c>
      <c r="S3999">
        <v>39.34</v>
      </c>
      <c r="T3999">
        <v>0.97</v>
      </c>
      <c r="U3999" t="s">
        <v>183</v>
      </c>
    </row>
    <row r="4000" spans="1:21">
      <c r="A4000" t="str">
        <f>"603839"</f>
        <v>603839</v>
      </c>
      <c r="B4000" t="s">
        <v>7695</v>
      </c>
      <c r="C4000">
        <v>0.97</v>
      </c>
      <c r="D4000">
        <v>8.32</v>
      </c>
      <c r="E4000">
        <v>0.08</v>
      </c>
      <c r="F4000">
        <v>8.31</v>
      </c>
      <c r="G4000">
        <v>8.32</v>
      </c>
      <c r="H4000">
        <v>11526</v>
      </c>
      <c r="I4000">
        <v>497</v>
      </c>
      <c r="J4000">
        <v>0</v>
      </c>
      <c r="K4000">
        <v>0.29</v>
      </c>
      <c r="L4000">
        <v>952.7</v>
      </c>
      <c r="M4000" t="s">
        <v>7696</v>
      </c>
      <c r="N4000" t="s">
        <v>1061</v>
      </c>
      <c r="O4000">
        <v>8.22</v>
      </c>
      <c r="P4000">
        <v>8.33</v>
      </c>
      <c r="Q4000">
        <v>8.18</v>
      </c>
      <c r="R4000">
        <v>8.24</v>
      </c>
      <c r="S4000">
        <v>20.99</v>
      </c>
      <c r="T4000">
        <v>0.81</v>
      </c>
      <c r="U4000" t="s">
        <v>200</v>
      </c>
    </row>
    <row r="4001" spans="1:21">
      <c r="A4001" t="str">
        <f>"603843"</f>
        <v>603843</v>
      </c>
      <c r="B4001" t="s">
        <v>7697</v>
      </c>
      <c r="C4001">
        <v>-1.21</v>
      </c>
      <c r="D4001">
        <v>4.08</v>
      </c>
      <c r="E4001">
        <v>-0.05</v>
      </c>
      <c r="F4001">
        <v>4.08</v>
      </c>
      <c r="G4001">
        <v>4.09</v>
      </c>
      <c r="H4001">
        <v>64515</v>
      </c>
      <c r="I4001">
        <v>1524</v>
      </c>
      <c r="J4001">
        <v>0</v>
      </c>
      <c r="K4001">
        <v>1.15</v>
      </c>
      <c r="L4001">
        <v>2621.45</v>
      </c>
      <c r="M4001" t="s">
        <v>7698</v>
      </c>
      <c r="N4001" t="s">
        <v>50</v>
      </c>
      <c r="O4001">
        <v>4.12</v>
      </c>
      <c r="P4001">
        <v>4.13</v>
      </c>
      <c r="Q4001">
        <v>4.02</v>
      </c>
      <c r="R4001">
        <v>4.13</v>
      </c>
      <c r="S4001">
        <v>32.86</v>
      </c>
      <c r="T4001">
        <v>0.9</v>
      </c>
      <c r="U4001" t="s">
        <v>242</v>
      </c>
    </row>
    <row r="4002" spans="1:21">
      <c r="A4002" t="str">
        <f>"603848"</f>
        <v>603848</v>
      </c>
      <c r="B4002" t="s">
        <v>7699</v>
      </c>
      <c r="C4002">
        <v>-4.55</v>
      </c>
      <c r="D4002">
        <v>14.26</v>
      </c>
      <c r="E4002">
        <v>-0.68</v>
      </c>
      <c r="F4002">
        <v>14.26</v>
      </c>
      <c r="G4002">
        <v>14.28</v>
      </c>
      <c r="H4002">
        <v>59491</v>
      </c>
      <c r="I4002">
        <v>371</v>
      </c>
      <c r="J4002">
        <v>0.28</v>
      </c>
      <c r="K4002">
        <v>1.48</v>
      </c>
      <c r="L4002">
        <v>8616.31</v>
      </c>
      <c r="M4002" t="s">
        <v>7700</v>
      </c>
      <c r="N4002" t="s">
        <v>910</v>
      </c>
      <c r="O4002">
        <v>15.2</v>
      </c>
      <c r="P4002">
        <v>15.3</v>
      </c>
      <c r="Q4002">
        <v>14.15</v>
      </c>
      <c r="R4002">
        <v>14.94</v>
      </c>
      <c r="S4002">
        <v>19.64</v>
      </c>
      <c r="T4002">
        <v>2.19</v>
      </c>
      <c r="U4002" t="s">
        <v>183</v>
      </c>
    </row>
    <row r="4003" spans="1:21">
      <c r="A4003" t="str">
        <f>"603855"</f>
        <v>603855</v>
      </c>
      <c r="B4003" t="s">
        <v>7701</v>
      </c>
      <c r="C4003">
        <v>0.4</v>
      </c>
      <c r="D4003">
        <v>24.83</v>
      </c>
      <c r="E4003">
        <v>0.1</v>
      </c>
      <c r="F4003">
        <v>24.83</v>
      </c>
      <c r="G4003">
        <v>24.86</v>
      </c>
      <c r="H4003">
        <v>45371</v>
      </c>
      <c r="I4003">
        <v>242</v>
      </c>
      <c r="J4003">
        <v>0.12</v>
      </c>
      <c r="K4003">
        <v>1.36</v>
      </c>
      <c r="L4003">
        <v>11356.64</v>
      </c>
      <c r="M4003" t="s">
        <v>7702</v>
      </c>
      <c r="N4003" t="s">
        <v>324</v>
      </c>
      <c r="O4003">
        <v>24.76</v>
      </c>
      <c r="P4003">
        <v>26.5</v>
      </c>
      <c r="Q4003">
        <v>24.38</v>
      </c>
      <c r="R4003">
        <v>24.73</v>
      </c>
      <c r="S4003">
        <v>21.12</v>
      </c>
      <c r="T4003">
        <v>1.54</v>
      </c>
      <c r="U4003" t="s">
        <v>848</v>
      </c>
    </row>
    <row r="4004" spans="1:21">
      <c r="A4004" t="str">
        <f>"603856"</f>
        <v>603856</v>
      </c>
      <c r="B4004" t="s">
        <v>7703</v>
      </c>
      <c r="C4004">
        <v>1.02</v>
      </c>
      <c r="D4004">
        <v>12.93</v>
      </c>
      <c r="E4004">
        <v>0.13</v>
      </c>
      <c r="F4004">
        <v>12.93</v>
      </c>
      <c r="G4004">
        <v>12.94</v>
      </c>
      <c r="H4004">
        <v>34387</v>
      </c>
      <c r="I4004">
        <v>680</v>
      </c>
      <c r="J4004">
        <v>0</v>
      </c>
      <c r="K4004">
        <v>1.34</v>
      </c>
      <c r="L4004">
        <v>4429.42</v>
      </c>
      <c r="M4004" t="s">
        <v>249</v>
      </c>
      <c r="N4004" t="s">
        <v>839</v>
      </c>
      <c r="O4004">
        <v>12.8</v>
      </c>
      <c r="P4004">
        <v>12.97</v>
      </c>
      <c r="Q4004">
        <v>12.66</v>
      </c>
      <c r="R4004">
        <v>12.8</v>
      </c>
      <c r="S4004">
        <v>17.49</v>
      </c>
      <c r="T4004">
        <v>1.03</v>
      </c>
      <c r="U4004" t="s">
        <v>221</v>
      </c>
    </row>
    <row r="4005" spans="1:21">
      <c r="A4005" t="str">
        <f>"603858"</f>
        <v>603858</v>
      </c>
      <c r="B4005" t="s">
        <v>7704</v>
      </c>
      <c r="C4005">
        <v>1.55</v>
      </c>
      <c r="D4005">
        <v>18.35</v>
      </c>
      <c r="E4005">
        <v>0.28</v>
      </c>
      <c r="F4005">
        <v>18.35</v>
      </c>
      <c r="G4005">
        <v>18.36</v>
      </c>
      <c r="H4005">
        <v>31062</v>
      </c>
      <c r="I4005">
        <v>531</v>
      </c>
      <c r="J4005">
        <v>0.05</v>
      </c>
      <c r="K4005">
        <v>0.27</v>
      </c>
      <c r="L4005">
        <v>5652.55</v>
      </c>
      <c r="M4005" t="s">
        <v>7705</v>
      </c>
      <c r="N4005" t="s">
        <v>270</v>
      </c>
      <c r="O4005">
        <v>18.07</v>
      </c>
      <c r="P4005">
        <v>18.37</v>
      </c>
      <c r="Q4005">
        <v>18.03</v>
      </c>
      <c r="R4005">
        <v>18.07</v>
      </c>
      <c r="S4005">
        <v>12.33</v>
      </c>
      <c r="T4005">
        <v>0.89</v>
      </c>
      <c r="U4005" t="s">
        <v>221</v>
      </c>
    </row>
    <row r="4006" spans="1:21">
      <c r="A4006" t="str">
        <f>"603859"</f>
        <v>603859</v>
      </c>
      <c r="B4006" t="s">
        <v>7706</v>
      </c>
      <c r="C4006">
        <v>0</v>
      </c>
      <c r="D4006">
        <v>36.67</v>
      </c>
      <c r="E4006">
        <v>0</v>
      </c>
      <c r="F4006">
        <v>36.66</v>
      </c>
      <c r="G4006">
        <v>36.67</v>
      </c>
      <c r="H4006">
        <v>26249</v>
      </c>
      <c r="I4006">
        <v>248</v>
      </c>
      <c r="J4006">
        <v>0.05</v>
      </c>
      <c r="K4006">
        <v>1.99</v>
      </c>
      <c r="L4006">
        <v>9603.15</v>
      </c>
      <c r="M4006" t="s">
        <v>7707</v>
      </c>
      <c r="N4006" t="s">
        <v>30</v>
      </c>
      <c r="O4006">
        <v>36.6</v>
      </c>
      <c r="P4006">
        <v>36.95</v>
      </c>
      <c r="Q4006">
        <v>36.08</v>
      </c>
      <c r="R4006">
        <v>36.67</v>
      </c>
      <c r="S4006">
        <v>43.28</v>
      </c>
      <c r="T4006">
        <v>0.91</v>
      </c>
      <c r="U4006" t="s">
        <v>44</v>
      </c>
    </row>
    <row r="4007" spans="1:21">
      <c r="A4007" t="str">
        <f>"603860"</f>
        <v>603860</v>
      </c>
      <c r="B4007" t="s">
        <v>7708</v>
      </c>
      <c r="C4007">
        <v>1.22</v>
      </c>
      <c r="D4007">
        <v>20.8</v>
      </c>
      <c r="E4007">
        <v>0.25</v>
      </c>
      <c r="F4007">
        <v>20.8</v>
      </c>
      <c r="G4007">
        <v>20.84</v>
      </c>
      <c r="H4007">
        <v>2864</v>
      </c>
      <c r="I4007">
        <v>30</v>
      </c>
      <c r="J4007">
        <v>-0.28</v>
      </c>
      <c r="K4007">
        <v>0.43</v>
      </c>
      <c r="L4007">
        <v>592.38</v>
      </c>
      <c r="M4007" t="s">
        <v>7709</v>
      </c>
      <c r="N4007" t="s">
        <v>50</v>
      </c>
      <c r="O4007">
        <v>20.38</v>
      </c>
      <c r="P4007">
        <v>20.95</v>
      </c>
      <c r="Q4007">
        <v>20.31</v>
      </c>
      <c r="R4007">
        <v>20.55</v>
      </c>
      <c r="S4007" t="s">
        <v>40</v>
      </c>
      <c r="T4007">
        <v>0.7</v>
      </c>
      <c r="U4007" t="s">
        <v>44</v>
      </c>
    </row>
    <row r="4008" spans="1:21">
      <c r="A4008" t="str">
        <f>"603861"</f>
        <v>603861</v>
      </c>
      <c r="B4008" t="s">
        <v>7710</v>
      </c>
      <c r="C4008">
        <v>1.23</v>
      </c>
      <c r="D4008">
        <v>9.86</v>
      </c>
      <c r="E4008">
        <v>0.12</v>
      </c>
      <c r="F4008">
        <v>9.86</v>
      </c>
      <c r="G4008">
        <v>9.87</v>
      </c>
      <c r="H4008">
        <v>36061</v>
      </c>
      <c r="I4008">
        <v>572</v>
      </c>
      <c r="J4008">
        <v>0</v>
      </c>
      <c r="K4008">
        <v>0.86</v>
      </c>
      <c r="L4008">
        <v>3528.16</v>
      </c>
      <c r="M4008" t="s">
        <v>6645</v>
      </c>
      <c r="N4008" t="s">
        <v>47</v>
      </c>
      <c r="O4008">
        <v>9.77</v>
      </c>
      <c r="P4008">
        <v>9.93</v>
      </c>
      <c r="Q4008">
        <v>9.62</v>
      </c>
      <c r="R4008">
        <v>9.74</v>
      </c>
      <c r="S4008">
        <v>155.88</v>
      </c>
      <c r="T4008">
        <v>0.53</v>
      </c>
      <c r="U4008" t="s">
        <v>183</v>
      </c>
    </row>
    <row r="4009" spans="1:21">
      <c r="A4009" t="str">
        <f>"603863"</f>
        <v>603863</v>
      </c>
      <c r="B4009" t="s">
        <v>7711</v>
      </c>
      <c r="C4009">
        <v>1.77</v>
      </c>
      <c r="D4009">
        <v>8.63</v>
      </c>
      <c r="E4009">
        <v>0.15</v>
      </c>
      <c r="F4009">
        <v>8.63</v>
      </c>
      <c r="G4009">
        <v>8.64</v>
      </c>
      <c r="H4009">
        <v>18174</v>
      </c>
      <c r="I4009">
        <v>38</v>
      </c>
      <c r="J4009">
        <v>0</v>
      </c>
      <c r="K4009">
        <v>1.67</v>
      </c>
      <c r="L4009">
        <v>1566.45</v>
      </c>
      <c r="M4009" t="s">
        <v>7712</v>
      </c>
      <c r="N4009" t="s">
        <v>285</v>
      </c>
      <c r="O4009">
        <v>8.46</v>
      </c>
      <c r="P4009">
        <v>8.8</v>
      </c>
      <c r="Q4009">
        <v>8.46</v>
      </c>
      <c r="R4009">
        <v>8.48</v>
      </c>
      <c r="S4009">
        <v>93.77</v>
      </c>
      <c r="T4009">
        <v>0.75</v>
      </c>
      <c r="U4009" t="s">
        <v>183</v>
      </c>
    </row>
    <row r="4010" spans="1:21">
      <c r="A4010" t="str">
        <f>"603866"</f>
        <v>603866</v>
      </c>
      <c r="B4010" t="s">
        <v>7713</v>
      </c>
      <c r="C4010">
        <v>0.13</v>
      </c>
      <c r="D4010">
        <v>30.89</v>
      </c>
      <c r="E4010">
        <v>0.04</v>
      </c>
      <c r="F4010">
        <v>30.86</v>
      </c>
      <c r="G4010">
        <v>30.89</v>
      </c>
      <c r="H4010">
        <v>50854</v>
      </c>
      <c r="I4010">
        <v>343</v>
      </c>
      <c r="J4010">
        <v>0.03</v>
      </c>
      <c r="K4010">
        <v>0.53</v>
      </c>
      <c r="L4010">
        <v>15679.83</v>
      </c>
      <c r="M4010" t="s">
        <v>7714</v>
      </c>
      <c r="N4010" t="s">
        <v>299</v>
      </c>
      <c r="O4010">
        <v>31.24</v>
      </c>
      <c r="P4010">
        <v>31.31</v>
      </c>
      <c r="Q4010">
        <v>30.32</v>
      </c>
      <c r="R4010">
        <v>30.85</v>
      </c>
      <c r="S4010">
        <v>38.82</v>
      </c>
      <c r="T4010">
        <v>0.7</v>
      </c>
      <c r="U4010" t="s">
        <v>141</v>
      </c>
    </row>
    <row r="4011" spans="1:21">
      <c r="A4011" t="str">
        <f>"603867"</f>
        <v>603867</v>
      </c>
      <c r="B4011" t="s">
        <v>7715</v>
      </c>
      <c r="C4011">
        <v>-0.06</v>
      </c>
      <c r="D4011">
        <v>32.55</v>
      </c>
      <c r="E4011">
        <v>-0.02</v>
      </c>
      <c r="F4011">
        <v>32.54</v>
      </c>
      <c r="G4011">
        <v>32.55</v>
      </c>
      <c r="H4011">
        <v>31064</v>
      </c>
      <c r="I4011">
        <v>399</v>
      </c>
      <c r="J4011">
        <v>0.12</v>
      </c>
      <c r="K4011">
        <v>3.67</v>
      </c>
      <c r="L4011">
        <v>10020.25</v>
      </c>
      <c r="M4011" t="s">
        <v>7716</v>
      </c>
      <c r="N4011" t="s">
        <v>309</v>
      </c>
      <c r="O4011">
        <v>32.42</v>
      </c>
      <c r="P4011">
        <v>32.58</v>
      </c>
      <c r="Q4011">
        <v>31.89</v>
      </c>
      <c r="R4011">
        <v>32.57</v>
      </c>
      <c r="S4011">
        <v>31.3</v>
      </c>
      <c r="T4011">
        <v>0.52</v>
      </c>
      <c r="U4011" t="s">
        <v>200</v>
      </c>
    </row>
    <row r="4012" spans="1:21">
      <c r="A4012" t="str">
        <f>"603868"</f>
        <v>603868</v>
      </c>
      <c r="B4012" t="s">
        <v>7717</v>
      </c>
      <c r="C4012">
        <v>-1.6</v>
      </c>
      <c r="D4012">
        <v>42.46</v>
      </c>
      <c r="E4012">
        <v>-0.69</v>
      </c>
      <c r="F4012">
        <v>42.43</v>
      </c>
      <c r="G4012">
        <v>42.46</v>
      </c>
      <c r="H4012">
        <v>13635</v>
      </c>
      <c r="I4012">
        <v>116</v>
      </c>
      <c r="J4012">
        <v>-0.2</v>
      </c>
      <c r="K4012">
        <v>0.31</v>
      </c>
      <c r="L4012">
        <v>5840.63</v>
      </c>
      <c r="M4012" t="s">
        <v>7718</v>
      </c>
      <c r="N4012" t="s">
        <v>60</v>
      </c>
      <c r="O4012">
        <v>43.25</v>
      </c>
      <c r="P4012">
        <v>44.41</v>
      </c>
      <c r="Q4012">
        <v>41.68</v>
      </c>
      <c r="R4012">
        <v>43.15</v>
      </c>
      <c r="S4012">
        <v>27.59</v>
      </c>
      <c r="T4012">
        <v>1.24</v>
      </c>
      <c r="U4012" t="s">
        <v>848</v>
      </c>
    </row>
    <row r="4013" spans="1:21">
      <c r="A4013" t="str">
        <f>"603869"</f>
        <v>603869</v>
      </c>
      <c r="B4013" t="s">
        <v>7719</v>
      </c>
      <c r="C4013">
        <v>-0.81</v>
      </c>
      <c r="D4013">
        <v>9.83</v>
      </c>
      <c r="E4013">
        <v>-0.08</v>
      </c>
      <c r="F4013">
        <v>9.83</v>
      </c>
      <c r="G4013">
        <v>9.84</v>
      </c>
      <c r="H4013">
        <v>28158</v>
      </c>
      <c r="I4013">
        <v>261</v>
      </c>
      <c r="J4013">
        <v>-0.09</v>
      </c>
      <c r="K4013">
        <v>0.56</v>
      </c>
      <c r="L4013">
        <v>2764.17</v>
      </c>
      <c r="M4013" t="s">
        <v>6021</v>
      </c>
      <c r="N4013" t="s">
        <v>30</v>
      </c>
      <c r="O4013">
        <v>9.79</v>
      </c>
      <c r="P4013">
        <v>9.98</v>
      </c>
      <c r="Q4013">
        <v>9.75</v>
      </c>
      <c r="R4013">
        <v>9.91</v>
      </c>
      <c r="S4013">
        <v>63.37</v>
      </c>
      <c r="T4013">
        <v>0.5</v>
      </c>
      <c r="U4013" t="s">
        <v>342</v>
      </c>
    </row>
    <row r="4014" spans="1:21">
      <c r="A4014" t="str">
        <f>"603871"</f>
        <v>603871</v>
      </c>
      <c r="B4014" t="s">
        <v>7720</v>
      </c>
      <c r="C4014">
        <v>2.61</v>
      </c>
      <c r="D4014">
        <v>20.06</v>
      </c>
      <c r="E4014">
        <v>0.51</v>
      </c>
      <c r="F4014">
        <v>20.05</v>
      </c>
      <c r="G4014">
        <v>20.06</v>
      </c>
      <c r="H4014">
        <v>11812</v>
      </c>
      <c r="I4014">
        <v>88</v>
      </c>
      <c r="J4014">
        <v>0.1</v>
      </c>
      <c r="K4014">
        <v>0.41</v>
      </c>
      <c r="L4014">
        <v>2352.96</v>
      </c>
      <c r="M4014" t="s">
        <v>7721</v>
      </c>
      <c r="N4014" t="s">
        <v>1049</v>
      </c>
      <c r="O4014">
        <v>19.44</v>
      </c>
      <c r="P4014">
        <v>20.1</v>
      </c>
      <c r="Q4014">
        <v>19.44</v>
      </c>
      <c r="R4014">
        <v>19.55</v>
      </c>
      <c r="S4014">
        <v>17.3</v>
      </c>
      <c r="T4014">
        <v>0.93</v>
      </c>
      <c r="U4014" t="s">
        <v>44</v>
      </c>
    </row>
    <row r="4015" spans="1:21">
      <c r="A4015" t="str">
        <f>"603876"</f>
        <v>603876</v>
      </c>
      <c r="B4015" t="s">
        <v>7722</v>
      </c>
      <c r="C4015">
        <v>6.95</v>
      </c>
      <c r="D4015">
        <v>41.26</v>
      </c>
      <c r="E4015">
        <v>2.68</v>
      </c>
      <c r="F4015">
        <v>41.25</v>
      </c>
      <c r="G4015">
        <v>41.26</v>
      </c>
      <c r="H4015">
        <v>135033</v>
      </c>
      <c r="I4015">
        <v>911</v>
      </c>
      <c r="J4015">
        <v>0.07</v>
      </c>
      <c r="K4015">
        <v>2.78</v>
      </c>
      <c r="L4015">
        <v>54247.35</v>
      </c>
      <c r="M4015" t="s">
        <v>7723</v>
      </c>
      <c r="N4015" t="s">
        <v>494</v>
      </c>
      <c r="O4015">
        <v>38.12</v>
      </c>
      <c r="P4015">
        <v>41.5</v>
      </c>
      <c r="Q4015">
        <v>37.9</v>
      </c>
      <c r="R4015">
        <v>38.58</v>
      </c>
      <c r="S4015">
        <v>57.23</v>
      </c>
      <c r="T4015">
        <v>1.47</v>
      </c>
      <c r="U4015" t="s">
        <v>102</v>
      </c>
    </row>
    <row r="4016" spans="1:21">
      <c r="A4016" t="str">
        <f>"603877"</f>
        <v>603877</v>
      </c>
      <c r="B4016" t="s">
        <v>7724</v>
      </c>
      <c r="C4016">
        <v>-0.88</v>
      </c>
      <c r="D4016">
        <v>35.86</v>
      </c>
      <c r="E4016">
        <v>-0.32</v>
      </c>
      <c r="F4016">
        <v>35.86</v>
      </c>
      <c r="G4016">
        <v>35.87</v>
      </c>
      <c r="H4016">
        <v>10614</v>
      </c>
      <c r="I4016">
        <v>171</v>
      </c>
      <c r="J4016">
        <v>0.17</v>
      </c>
      <c r="K4016">
        <v>0.22</v>
      </c>
      <c r="L4016">
        <v>3774.89</v>
      </c>
      <c r="M4016" t="s">
        <v>7725</v>
      </c>
      <c r="N4016" t="s">
        <v>1061</v>
      </c>
      <c r="O4016">
        <v>35.92</v>
      </c>
      <c r="P4016">
        <v>36.1</v>
      </c>
      <c r="Q4016">
        <v>35.22</v>
      </c>
      <c r="R4016">
        <v>36.18</v>
      </c>
      <c r="S4016">
        <v>23.15</v>
      </c>
      <c r="T4016">
        <v>0.48</v>
      </c>
      <c r="U4016" t="s">
        <v>200</v>
      </c>
    </row>
    <row r="4017" spans="1:21">
      <c r="A4017" t="str">
        <f>"603878"</f>
        <v>603878</v>
      </c>
      <c r="B4017" t="s">
        <v>7726</v>
      </c>
      <c r="C4017">
        <v>0.31</v>
      </c>
      <c r="D4017">
        <v>6.49</v>
      </c>
      <c r="E4017">
        <v>0.02</v>
      </c>
      <c r="F4017">
        <v>6.49</v>
      </c>
      <c r="G4017">
        <v>6.5</v>
      </c>
      <c r="H4017">
        <v>17098</v>
      </c>
      <c r="I4017">
        <v>299</v>
      </c>
      <c r="J4017">
        <v>0</v>
      </c>
      <c r="K4017">
        <v>0.43</v>
      </c>
      <c r="L4017">
        <v>1105.88</v>
      </c>
      <c r="M4017" t="s">
        <v>581</v>
      </c>
      <c r="N4017" t="s">
        <v>724</v>
      </c>
      <c r="O4017">
        <v>6.54</v>
      </c>
      <c r="P4017">
        <v>6.54</v>
      </c>
      <c r="Q4017">
        <v>6.43</v>
      </c>
      <c r="R4017">
        <v>6.47</v>
      </c>
      <c r="S4017">
        <v>12.43</v>
      </c>
      <c r="T4017">
        <v>1.37</v>
      </c>
      <c r="U4017" t="s">
        <v>102</v>
      </c>
    </row>
    <row r="4018" spans="1:21">
      <c r="A4018" t="str">
        <f>"603879"</f>
        <v>603879</v>
      </c>
      <c r="B4018" t="s">
        <v>7727</v>
      </c>
      <c r="C4018">
        <v>1.04</v>
      </c>
      <c r="D4018">
        <v>6.82</v>
      </c>
      <c r="E4018">
        <v>0.07</v>
      </c>
      <c r="F4018">
        <v>6.82</v>
      </c>
      <c r="G4018">
        <v>6.83</v>
      </c>
      <c r="H4018">
        <v>44696</v>
      </c>
      <c r="I4018">
        <v>786</v>
      </c>
      <c r="J4018">
        <v>0.15</v>
      </c>
      <c r="K4018">
        <v>1.23</v>
      </c>
      <c r="L4018">
        <v>3055.16</v>
      </c>
      <c r="M4018" t="s">
        <v>415</v>
      </c>
      <c r="N4018" t="s">
        <v>309</v>
      </c>
      <c r="O4018">
        <v>6.85</v>
      </c>
      <c r="P4018">
        <v>7.03</v>
      </c>
      <c r="Q4018">
        <v>6.7</v>
      </c>
      <c r="R4018">
        <v>6.75</v>
      </c>
      <c r="S4018">
        <v>232.44</v>
      </c>
      <c r="T4018">
        <v>1.21</v>
      </c>
      <c r="U4018" t="s">
        <v>339</v>
      </c>
    </row>
    <row r="4019" spans="1:21">
      <c r="A4019" t="str">
        <f>"603880"</f>
        <v>603880</v>
      </c>
      <c r="B4019" t="s">
        <v>7728</v>
      </c>
      <c r="C4019">
        <v>0.16</v>
      </c>
      <c r="D4019">
        <v>6.28</v>
      </c>
      <c r="E4019">
        <v>0.01</v>
      </c>
      <c r="F4019">
        <v>6.27</v>
      </c>
      <c r="G4019">
        <v>6.28</v>
      </c>
      <c r="H4019">
        <v>14669</v>
      </c>
      <c r="I4019">
        <v>211</v>
      </c>
      <c r="J4019">
        <v>0</v>
      </c>
      <c r="K4019">
        <v>0.51</v>
      </c>
      <c r="L4019">
        <v>915.39</v>
      </c>
      <c r="M4019" t="s">
        <v>7729</v>
      </c>
      <c r="N4019" t="s">
        <v>186</v>
      </c>
      <c r="O4019">
        <v>6.3</v>
      </c>
      <c r="P4019">
        <v>6.3</v>
      </c>
      <c r="Q4019">
        <v>6.2</v>
      </c>
      <c r="R4019">
        <v>6.27</v>
      </c>
      <c r="S4019">
        <v>93.55</v>
      </c>
      <c r="T4019">
        <v>0.76</v>
      </c>
      <c r="U4019" t="s">
        <v>102</v>
      </c>
    </row>
    <row r="4020" spans="1:21">
      <c r="A4020" t="str">
        <f>"603881"</f>
        <v>603881</v>
      </c>
      <c r="B4020" t="s">
        <v>7730</v>
      </c>
      <c r="C4020">
        <v>2.47</v>
      </c>
      <c r="D4020">
        <v>33.97</v>
      </c>
      <c r="E4020">
        <v>0.82</v>
      </c>
      <c r="F4020">
        <v>33.96</v>
      </c>
      <c r="G4020">
        <v>33.97</v>
      </c>
      <c r="H4020">
        <v>54684</v>
      </c>
      <c r="I4020">
        <v>534</v>
      </c>
      <c r="J4020">
        <v>-0.05</v>
      </c>
      <c r="K4020">
        <v>1.66</v>
      </c>
      <c r="L4020">
        <v>18425.77</v>
      </c>
      <c r="M4020" t="s">
        <v>7731</v>
      </c>
      <c r="N4020" t="s">
        <v>1279</v>
      </c>
      <c r="O4020">
        <v>33.01</v>
      </c>
      <c r="P4020">
        <v>34.26</v>
      </c>
      <c r="Q4020">
        <v>33</v>
      </c>
      <c r="R4020">
        <v>33.15</v>
      </c>
      <c r="S4020">
        <v>80.78</v>
      </c>
      <c r="T4020">
        <v>0.93</v>
      </c>
      <c r="U4020" t="s">
        <v>848</v>
      </c>
    </row>
    <row r="4021" spans="1:21">
      <c r="A4021" t="str">
        <f>"603882"</f>
        <v>603882</v>
      </c>
      <c r="B4021" t="s">
        <v>7732</v>
      </c>
      <c r="C4021">
        <v>1.55</v>
      </c>
      <c r="D4021">
        <v>109.25</v>
      </c>
      <c r="E4021">
        <v>1.67</v>
      </c>
      <c r="F4021">
        <v>109.25</v>
      </c>
      <c r="G4021">
        <v>109.26</v>
      </c>
      <c r="H4021">
        <v>32897</v>
      </c>
      <c r="I4021">
        <v>562</v>
      </c>
      <c r="J4021">
        <v>-0.39</v>
      </c>
      <c r="K4021">
        <v>0.71</v>
      </c>
      <c r="L4021">
        <v>36057.61</v>
      </c>
      <c r="M4021" t="s">
        <v>7733</v>
      </c>
      <c r="N4021" t="s">
        <v>186</v>
      </c>
      <c r="O4021">
        <v>107.5</v>
      </c>
      <c r="P4021">
        <v>111.01</v>
      </c>
      <c r="Q4021">
        <v>106.51</v>
      </c>
      <c r="R4021">
        <v>107.58</v>
      </c>
      <c r="S4021">
        <v>22.73</v>
      </c>
      <c r="T4021">
        <v>1.23</v>
      </c>
      <c r="U4021" t="s">
        <v>183</v>
      </c>
    </row>
    <row r="4022" spans="1:21">
      <c r="A4022" t="str">
        <f>"603883"</f>
        <v>603883</v>
      </c>
      <c r="B4022" t="s">
        <v>7734</v>
      </c>
      <c r="C4022">
        <v>0.02</v>
      </c>
      <c r="D4022">
        <v>43.9</v>
      </c>
      <c r="E4022">
        <v>0.01</v>
      </c>
      <c r="F4022">
        <v>43.88</v>
      </c>
      <c r="G4022">
        <v>43.9</v>
      </c>
      <c r="H4022">
        <v>26204</v>
      </c>
      <c r="I4022">
        <v>295</v>
      </c>
      <c r="J4022">
        <v>0</v>
      </c>
      <c r="K4022">
        <v>0.64</v>
      </c>
      <c r="L4022">
        <v>11399.56</v>
      </c>
      <c r="M4022" t="s">
        <v>7735</v>
      </c>
      <c r="N4022" t="s">
        <v>86</v>
      </c>
      <c r="O4022">
        <v>43.9</v>
      </c>
      <c r="P4022">
        <v>44.02</v>
      </c>
      <c r="Q4022">
        <v>43.1</v>
      </c>
      <c r="R4022">
        <v>43.89</v>
      </c>
      <c r="S4022">
        <v>25.26</v>
      </c>
      <c r="T4022">
        <v>1.28</v>
      </c>
      <c r="U4022" t="s">
        <v>204</v>
      </c>
    </row>
    <row r="4023" spans="1:21">
      <c r="A4023" t="str">
        <f>"603885"</f>
        <v>603885</v>
      </c>
      <c r="B4023" t="s">
        <v>7736</v>
      </c>
      <c r="C4023">
        <v>0.7</v>
      </c>
      <c r="D4023">
        <v>15.72</v>
      </c>
      <c r="E4023">
        <v>0.11</v>
      </c>
      <c r="F4023">
        <v>15.72</v>
      </c>
      <c r="G4023">
        <v>15.73</v>
      </c>
      <c r="H4023">
        <v>37510</v>
      </c>
      <c r="I4023">
        <v>991</v>
      </c>
      <c r="J4023">
        <v>0.06</v>
      </c>
      <c r="K4023">
        <v>0.21</v>
      </c>
      <c r="L4023">
        <v>5840.32</v>
      </c>
      <c r="M4023" t="s">
        <v>7737</v>
      </c>
      <c r="N4023" t="s">
        <v>180</v>
      </c>
      <c r="O4023">
        <v>15.61</v>
      </c>
      <c r="P4023">
        <v>15.75</v>
      </c>
      <c r="Q4023">
        <v>15.38</v>
      </c>
      <c r="R4023">
        <v>15.61</v>
      </c>
      <c r="S4023" t="s">
        <v>40</v>
      </c>
      <c r="T4023">
        <v>0.46</v>
      </c>
      <c r="U4023" t="s">
        <v>848</v>
      </c>
    </row>
    <row r="4024" spans="1:21">
      <c r="A4024" t="str">
        <f>"603886"</f>
        <v>603886</v>
      </c>
      <c r="B4024" t="s">
        <v>7738</v>
      </c>
      <c r="C4024">
        <v>-3.03</v>
      </c>
      <c r="D4024">
        <v>19.2</v>
      </c>
      <c r="E4024">
        <v>-0.6</v>
      </c>
      <c r="F4024">
        <v>19.2</v>
      </c>
      <c r="G4024">
        <v>19.21</v>
      </c>
      <c r="H4024">
        <v>60446</v>
      </c>
      <c r="I4024">
        <v>961</v>
      </c>
      <c r="J4024">
        <v>-0.2</v>
      </c>
      <c r="K4024">
        <v>2.52</v>
      </c>
      <c r="L4024">
        <v>11658.14</v>
      </c>
      <c r="M4024" t="s">
        <v>7739</v>
      </c>
      <c r="N4024" t="s">
        <v>299</v>
      </c>
      <c r="O4024">
        <v>19.51</v>
      </c>
      <c r="P4024">
        <v>19.81</v>
      </c>
      <c r="Q4024">
        <v>19.1</v>
      </c>
      <c r="R4024">
        <v>19.8</v>
      </c>
      <c r="S4024">
        <v>10.4</v>
      </c>
      <c r="T4024">
        <v>0.89</v>
      </c>
      <c r="U4024" t="s">
        <v>848</v>
      </c>
    </row>
    <row r="4025" spans="1:21">
      <c r="A4025" t="str">
        <f>"603887"</f>
        <v>603887</v>
      </c>
      <c r="B4025" t="s">
        <v>7740</v>
      </c>
      <c r="C4025">
        <v>2.01</v>
      </c>
      <c r="D4025">
        <v>7.61</v>
      </c>
      <c r="E4025">
        <v>0.15</v>
      </c>
      <c r="F4025">
        <v>7.61</v>
      </c>
      <c r="G4025">
        <v>7.62</v>
      </c>
      <c r="H4025">
        <v>28444</v>
      </c>
      <c r="I4025">
        <v>236</v>
      </c>
      <c r="J4025">
        <v>-0.12</v>
      </c>
      <c r="K4025">
        <v>0.8</v>
      </c>
      <c r="L4025">
        <v>2147.58</v>
      </c>
      <c r="M4025" t="s">
        <v>191</v>
      </c>
      <c r="N4025" t="s">
        <v>30</v>
      </c>
      <c r="O4025">
        <v>7.48</v>
      </c>
      <c r="P4025">
        <v>7.63</v>
      </c>
      <c r="Q4025">
        <v>7.43</v>
      </c>
      <c r="R4025">
        <v>7.46</v>
      </c>
      <c r="S4025">
        <v>38.19</v>
      </c>
      <c r="T4025">
        <v>0.88</v>
      </c>
      <c r="U4025" t="s">
        <v>848</v>
      </c>
    </row>
    <row r="4026" spans="1:21">
      <c r="A4026" t="str">
        <f>"603888"</f>
        <v>603888</v>
      </c>
      <c r="B4026" t="s">
        <v>7741</v>
      </c>
      <c r="C4026">
        <v>1.15</v>
      </c>
      <c r="D4026">
        <v>19.28</v>
      </c>
      <c r="E4026">
        <v>0.22</v>
      </c>
      <c r="F4026">
        <v>19.28</v>
      </c>
      <c r="G4026">
        <v>19.29</v>
      </c>
      <c r="H4026">
        <v>58502</v>
      </c>
      <c r="I4026">
        <v>272</v>
      </c>
      <c r="J4026">
        <v>-0.04</v>
      </c>
      <c r="K4026">
        <v>1.13</v>
      </c>
      <c r="L4026">
        <v>11326.27</v>
      </c>
      <c r="M4026" t="s">
        <v>7742</v>
      </c>
      <c r="N4026" t="s">
        <v>479</v>
      </c>
      <c r="O4026">
        <v>19.19</v>
      </c>
      <c r="P4026">
        <v>19.68</v>
      </c>
      <c r="Q4026">
        <v>19.1</v>
      </c>
      <c r="R4026">
        <v>19.06</v>
      </c>
      <c r="S4026">
        <v>67.91</v>
      </c>
      <c r="T4026">
        <v>0.78</v>
      </c>
      <c r="U4026" t="s">
        <v>44</v>
      </c>
    </row>
    <row r="4027" spans="1:21">
      <c r="A4027" t="str">
        <f>"603889"</f>
        <v>603889</v>
      </c>
      <c r="B4027" t="s">
        <v>7743</v>
      </c>
      <c r="C4027">
        <v>0</v>
      </c>
      <c r="D4027">
        <v>6.04</v>
      </c>
      <c r="E4027">
        <v>0</v>
      </c>
      <c r="F4027">
        <v>6.04</v>
      </c>
      <c r="G4027">
        <v>6.05</v>
      </c>
      <c r="H4027">
        <v>52224</v>
      </c>
      <c r="I4027">
        <v>353</v>
      </c>
      <c r="J4027">
        <v>-0.32</v>
      </c>
      <c r="K4027">
        <v>1.02</v>
      </c>
      <c r="L4027">
        <v>3161.84</v>
      </c>
      <c r="M4027" t="s">
        <v>7744</v>
      </c>
      <c r="N4027" t="s">
        <v>664</v>
      </c>
      <c r="O4027">
        <v>6.12</v>
      </c>
      <c r="P4027">
        <v>6.15</v>
      </c>
      <c r="Q4027">
        <v>6</v>
      </c>
      <c r="R4027">
        <v>6.04</v>
      </c>
      <c r="S4027">
        <v>9.05</v>
      </c>
      <c r="T4027">
        <v>0.87</v>
      </c>
      <c r="U4027" t="s">
        <v>200</v>
      </c>
    </row>
    <row r="4028" spans="1:21">
      <c r="A4028" t="str">
        <f>"603890"</f>
        <v>603890</v>
      </c>
      <c r="B4028" t="s">
        <v>7745</v>
      </c>
      <c r="C4028">
        <v>8.26</v>
      </c>
      <c r="D4028">
        <v>13.5</v>
      </c>
      <c r="E4028">
        <v>1.03</v>
      </c>
      <c r="F4028">
        <v>13.5</v>
      </c>
      <c r="G4028">
        <v>13.51</v>
      </c>
      <c r="H4028">
        <v>284192</v>
      </c>
      <c r="I4028">
        <v>2845</v>
      </c>
      <c r="J4028">
        <v>-0.58</v>
      </c>
      <c r="K4028">
        <v>7.34</v>
      </c>
      <c r="L4028">
        <v>37933.48</v>
      </c>
      <c r="M4028" t="s">
        <v>1285</v>
      </c>
      <c r="N4028" t="s">
        <v>69</v>
      </c>
      <c r="O4028">
        <v>12.5</v>
      </c>
      <c r="P4028">
        <v>13.72</v>
      </c>
      <c r="Q4028">
        <v>12.5</v>
      </c>
      <c r="R4028">
        <v>12.47</v>
      </c>
      <c r="S4028">
        <v>19.33</v>
      </c>
      <c r="T4028">
        <v>7.05</v>
      </c>
      <c r="U4028" t="s">
        <v>102</v>
      </c>
    </row>
    <row r="4029" spans="1:21">
      <c r="A4029" t="str">
        <f>"603893"</f>
        <v>603893</v>
      </c>
      <c r="B4029" t="s">
        <v>7746</v>
      </c>
      <c r="C4029">
        <v>5.21</v>
      </c>
      <c r="D4029">
        <v>144.2</v>
      </c>
      <c r="E4029">
        <v>7.14</v>
      </c>
      <c r="F4029">
        <v>144.19</v>
      </c>
      <c r="G4029">
        <v>144.2</v>
      </c>
      <c r="H4029">
        <v>51068</v>
      </c>
      <c r="I4029">
        <v>550</v>
      </c>
      <c r="J4029">
        <v>0.1</v>
      </c>
      <c r="K4029">
        <v>2.7</v>
      </c>
      <c r="L4029">
        <v>71260.85</v>
      </c>
      <c r="M4029" t="s">
        <v>7747</v>
      </c>
      <c r="N4029" t="s">
        <v>1246</v>
      </c>
      <c r="O4029">
        <v>137.28</v>
      </c>
      <c r="P4029">
        <v>147</v>
      </c>
      <c r="Q4029">
        <v>133.56</v>
      </c>
      <c r="R4029">
        <v>137.06</v>
      </c>
      <c r="S4029">
        <v>110.57</v>
      </c>
      <c r="T4029">
        <v>0.82</v>
      </c>
      <c r="U4029" t="s">
        <v>339</v>
      </c>
    </row>
    <row r="4030" spans="1:21">
      <c r="A4030" t="str">
        <f>"603895"</f>
        <v>603895</v>
      </c>
      <c r="B4030" t="s">
        <v>7748</v>
      </c>
      <c r="C4030">
        <v>10.02</v>
      </c>
      <c r="D4030">
        <v>20.75</v>
      </c>
      <c r="E4030">
        <v>1.89</v>
      </c>
      <c r="F4030">
        <v>20.75</v>
      </c>
      <c r="G4030" t="s">
        <v>40</v>
      </c>
      <c r="H4030">
        <v>43060</v>
      </c>
      <c r="I4030">
        <v>303</v>
      </c>
      <c r="J4030">
        <v>0</v>
      </c>
      <c r="K4030">
        <v>3.98</v>
      </c>
      <c r="L4030">
        <v>8708.68</v>
      </c>
      <c r="M4030" t="s">
        <v>7749</v>
      </c>
      <c r="N4030" t="s">
        <v>324</v>
      </c>
      <c r="O4030">
        <v>18.82</v>
      </c>
      <c r="P4030">
        <v>20.75</v>
      </c>
      <c r="Q4030">
        <v>18.82</v>
      </c>
      <c r="R4030">
        <v>18.86</v>
      </c>
      <c r="S4030">
        <v>97.65</v>
      </c>
      <c r="T4030">
        <v>2.49</v>
      </c>
      <c r="U4030" t="s">
        <v>848</v>
      </c>
    </row>
    <row r="4031" spans="1:21">
      <c r="A4031" t="str">
        <f>"603896"</f>
        <v>603896</v>
      </c>
      <c r="B4031" t="s">
        <v>7750</v>
      </c>
      <c r="C4031">
        <v>-2.33</v>
      </c>
      <c r="D4031">
        <v>43.25</v>
      </c>
      <c r="E4031">
        <v>-1.03</v>
      </c>
      <c r="F4031">
        <v>43.25</v>
      </c>
      <c r="G4031">
        <v>43.28</v>
      </c>
      <c r="H4031">
        <v>11407</v>
      </c>
      <c r="I4031">
        <v>127</v>
      </c>
      <c r="J4031">
        <v>0.12</v>
      </c>
      <c r="K4031">
        <v>0.75</v>
      </c>
      <c r="L4031">
        <v>4937.92</v>
      </c>
      <c r="M4031" t="s">
        <v>871</v>
      </c>
      <c r="N4031" t="s">
        <v>270</v>
      </c>
      <c r="O4031">
        <v>44.25</v>
      </c>
      <c r="P4031">
        <v>44.79</v>
      </c>
      <c r="Q4031">
        <v>42.72</v>
      </c>
      <c r="R4031">
        <v>44.28</v>
      </c>
      <c r="S4031">
        <v>56.76</v>
      </c>
      <c r="T4031">
        <v>1.03</v>
      </c>
      <c r="U4031" t="s">
        <v>200</v>
      </c>
    </row>
    <row r="4032" spans="1:21">
      <c r="A4032" t="str">
        <f>"603897"</f>
        <v>603897</v>
      </c>
      <c r="B4032" t="s">
        <v>7751</v>
      </c>
      <c r="C4032">
        <v>-1.27</v>
      </c>
      <c r="D4032">
        <v>53.6</v>
      </c>
      <c r="E4032">
        <v>-0.69</v>
      </c>
      <c r="F4032">
        <v>53.59</v>
      </c>
      <c r="G4032">
        <v>53.6</v>
      </c>
      <c r="H4032">
        <v>45327</v>
      </c>
      <c r="I4032">
        <v>337</v>
      </c>
      <c r="J4032">
        <v>0.53</v>
      </c>
      <c r="K4032">
        <v>2.44</v>
      </c>
      <c r="L4032">
        <v>24108.46</v>
      </c>
      <c r="M4032" t="s">
        <v>7752</v>
      </c>
      <c r="N4032" t="s">
        <v>47</v>
      </c>
      <c r="O4032">
        <v>54.08</v>
      </c>
      <c r="P4032">
        <v>54.76</v>
      </c>
      <c r="Q4032">
        <v>52.03</v>
      </c>
      <c r="R4032">
        <v>54.29</v>
      </c>
      <c r="S4032">
        <v>25.33</v>
      </c>
      <c r="T4032">
        <v>0.65</v>
      </c>
      <c r="U4032" t="s">
        <v>200</v>
      </c>
    </row>
    <row r="4033" spans="1:21">
      <c r="A4033" t="str">
        <f>"603898"</f>
        <v>603898</v>
      </c>
      <c r="B4033" t="s">
        <v>7753</v>
      </c>
      <c r="C4033">
        <v>0.9</v>
      </c>
      <c r="D4033">
        <v>11.16</v>
      </c>
      <c r="E4033">
        <v>0.1</v>
      </c>
      <c r="F4033">
        <v>11.16</v>
      </c>
      <c r="G4033">
        <v>11.17</v>
      </c>
      <c r="H4033">
        <v>10087</v>
      </c>
      <c r="I4033">
        <v>123</v>
      </c>
      <c r="J4033">
        <v>-0.08</v>
      </c>
      <c r="K4033">
        <v>0.32</v>
      </c>
      <c r="L4033">
        <v>1122.39</v>
      </c>
      <c r="M4033" t="s">
        <v>7754</v>
      </c>
      <c r="N4033" t="s">
        <v>910</v>
      </c>
      <c r="O4033">
        <v>11.05</v>
      </c>
      <c r="P4033">
        <v>11.19</v>
      </c>
      <c r="Q4033">
        <v>11.02</v>
      </c>
      <c r="R4033">
        <v>11.06</v>
      </c>
      <c r="S4033">
        <v>11.14</v>
      </c>
      <c r="T4033">
        <v>0.68</v>
      </c>
      <c r="U4033" t="s">
        <v>183</v>
      </c>
    </row>
    <row r="4034" spans="1:21">
      <c r="A4034" t="str">
        <f>"603899"</f>
        <v>603899</v>
      </c>
      <c r="B4034" t="s">
        <v>7755</v>
      </c>
      <c r="C4034">
        <v>-0.43</v>
      </c>
      <c r="D4034">
        <v>60.55</v>
      </c>
      <c r="E4034">
        <v>-0.26</v>
      </c>
      <c r="F4034">
        <v>60.55</v>
      </c>
      <c r="G4034">
        <v>60.57</v>
      </c>
      <c r="H4034">
        <v>23088</v>
      </c>
      <c r="I4034">
        <v>202</v>
      </c>
      <c r="J4034">
        <v>0.07</v>
      </c>
      <c r="K4034">
        <v>0.25</v>
      </c>
      <c r="L4034">
        <v>13947.17</v>
      </c>
      <c r="M4034" t="s">
        <v>7756</v>
      </c>
      <c r="N4034" t="s">
        <v>63</v>
      </c>
      <c r="O4034">
        <v>60.56</v>
      </c>
      <c r="P4034">
        <v>61.2</v>
      </c>
      <c r="Q4034">
        <v>60.08</v>
      </c>
      <c r="R4034">
        <v>60.81</v>
      </c>
      <c r="S4034">
        <v>37.71</v>
      </c>
      <c r="T4034">
        <v>0.78</v>
      </c>
      <c r="U4034" t="s">
        <v>848</v>
      </c>
    </row>
    <row r="4035" spans="1:21">
      <c r="A4035" t="str">
        <f>"603900"</f>
        <v>603900</v>
      </c>
      <c r="B4035" t="s">
        <v>7757</v>
      </c>
      <c r="C4035">
        <v>0.72</v>
      </c>
      <c r="D4035">
        <v>7.03</v>
      </c>
      <c r="E4035">
        <v>0.05</v>
      </c>
      <c r="F4035">
        <v>7.02</v>
      </c>
      <c r="G4035">
        <v>7.03</v>
      </c>
      <c r="H4035">
        <v>10688</v>
      </c>
      <c r="I4035">
        <v>107</v>
      </c>
      <c r="J4035">
        <v>0.29</v>
      </c>
      <c r="K4035">
        <v>0.31</v>
      </c>
      <c r="L4035">
        <v>751.66</v>
      </c>
      <c r="M4035" t="s">
        <v>4566</v>
      </c>
      <c r="N4035" t="s">
        <v>1061</v>
      </c>
      <c r="O4035">
        <v>7</v>
      </c>
      <c r="P4035">
        <v>7.1</v>
      </c>
      <c r="Q4035">
        <v>6.95</v>
      </c>
      <c r="R4035">
        <v>6.98</v>
      </c>
      <c r="S4035">
        <v>17.56</v>
      </c>
      <c r="T4035">
        <v>0.86</v>
      </c>
      <c r="U4035" t="s">
        <v>102</v>
      </c>
    </row>
    <row r="4036" spans="1:21">
      <c r="A4036" t="str">
        <f>"603901"</f>
        <v>603901</v>
      </c>
      <c r="B4036" t="s">
        <v>7758</v>
      </c>
      <c r="C4036">
        <v>4.76</v>
      </c>
      <c r="D4036">
        <v>16.07</v>
      </c>
      <c r="E4036">
        <v>0.73</v>
      </c>
      <c r="F4036">
        <v>16.07</v>
      </c>
      <c r="G4036">
        <v>16.08</v>
      </c>
      <c r="H4036">
        <v>51110</v>
      </c>
      <c r="I4036">
        <v>1295</v>
      </c>
      <c r="J4036">
        <v>0</v>
      </c>
      <c r="K4036">
        <v>1.07</v>
      </c>
      <c r="L4036">
        <v>8134.95</v>
      </c>
      <c r="M4036" t="s">
        <v>7759</v>
      </c>
      <c r="N4036" t="s">
        <v>324</v>
      </c>
      <c r="O4036">
        <v>15.36</v>
      </c>
      <c r="P4036">
        <v>16.3</v>
      </c>
      <c r="Q4036">
        <v>15.35</v>
      </c>
      <c r="R4036">
        <v>15.34</v>
      </c>
      <c r="S4036">
        <v>27.04</v>
      </c>
      <c r="T4036">
        <v>1.3</v>
      </c>
      <c r="U4036" t="s">
        <v>200</v>
      </c>
    </row>
    <row r="4037" spans="1:21">
      <c r="A4037" t="str">
        <f>"603903"</f>
        <v>603903</v>
      </c>
      <c r="B4037" t="s">
        <v>7760</v>
      </c>
      <c r="C4037">
        <v>0.09</v>
      </c>
      <c r="D4037">
        <v>10.56</v>
      </c>
      <c r="E4037">
        <v>0.01</v>
      </c>
      <c r="F4037">
        <v>10.56</v>
      </c>
      <c r="G4037">
        <v>10.57</v>
      </c>
      <c r="H4037">
        <v>20350</v>
      </c>
      <c r="I4037">
        <v>817</v>
      </c>
      <c r="J4037">
        <v>0</v>
      </c>
      <c r="K4037">
        <v>1.01</v>
      </c>
      <c r="L4037">
        <v>2141.59</v>
      </c>
      <c r="M4037" t="s">
        <v>7761</v>
      </c>
      <c r="N4037" t="s">
        <v>33</v>
      </c>
      <c r="O4037">
        <v>10.56</v>
      </c>
      <c r="P4037">
        <v>10.62</v>
      </c>
      <c r="Q4037">
        <v>10.44</v>
      </c>
      <c r="R4037">
        <v>10.55</v>
      </c>
      <c r="S4037">
        <v>16.88</v>
      </c>
      <c r="T4037">
        <v>0.42</v>
      </c>
      <c r="U4037" t="s">
        <v>44</v>
      </c>
    </row>
    <row r="4038" spans="1:21">
      <c r="A4038" t="str">
        <f>"603906"</f>
        <v>603906</v>
      </c>
      <c r="B4038" t="s">
        <v>7762</v>
      </c>
      <c r="C4038">
        <v>-1.83</v>
      </c>
      <c r="D4038">
        <v>49.82</v>
      </c>
      <c r="E4038">
        <v>-0.93</v>
      </c>
      <c r="F4038">
        <v>49.81</v>
      </c>
      <c r="G4038">
        <v>49.82</v>
      </c>
      <c r="H4038">
        <v>104644</v>
      </c>
      <c r="I4038">
        <v>1313</v>
      </c>
      <c r="J4038">
        <v>0.12</v>
      </c>
      <c r="K4038">
        <v>2.17</v>
      </c>
      <c r="L4038">
        <v>52419.88</v>
      </c>
      <c r="M4038" t="s">
        <v>7763</v>
      </c>
      <c r="N4038" t="s">
        <v>309</v>
      </c>
      <c r="O4038">
        <v>49.5</v>
      </c>
      <c r="P4038">
        <v>51.77</v>
      </c>
      <c r="Q4038">
        <v>49.22</v>
      </c>
      <c r="R4038">
        <v>50.75</v>
      </c>
      <c r="S4038">
        <v>92.75</v>
      </c>
      <c r="T4038">
        <v>0.8</v>
      </c>
      <c r="U4038" t="s">
        <v>102</v>
      </c>
    </row>
    <row r="4039" spans="1:21">
      <c r="A4039" t="str">
        <f>"603908"</f>
        <v>603908</v>
      </c>
      <c r="B4039" t="s">
        <v>7764</v>
      </c>
      <c r="C4039">
        <v>-1.37</v>
      </c>
      <c r="D4039">
        <v>32.5</v>
      </c>
      <c r="E4039">
        <v>-0.45</v>
      </c>
      <c r="F4039">
        <v>32.5</v>
      </c>
      <c r="G4039">
        <v>32.51</v>
      </c>
      <c r="H4039">
        <v>12590</v>
      </c>
      <c r="I4039">
        <v>216</v>
      </c>
      <c r="J4039">
        <v>0</v>
      </c>
      <c r="K4039">
        <v>1.89</v>
      </c>
      <c r="L4039">
        <v>4041.62</v>
      </c>
      <c r="M4039" t="s">
        <v>7765</v>
      </c>
      <c r="N4039" t="s">
        <v>664</v>
      </c>
      <c r="O4039">
        <v>32.3</v>
      </c>
      <c r="P4039">
        <v>32.64</v>
      </c>
      <c r="Q4039">
        <v>31.25</v>
      </c>
      <c r="R4039">
        <v>32.95</v>
      </c>
      <c r="S4039">
        <v>22.75</v>
      </c>
      <c r="T4039">
        <v>0.64</v>
      </c>
      <c r="U4039" t="s">
        <v>200</v>
      </c>
    </row>
    <row r="4040" spans="1:21">
      <c r="A4040" t="str">
        <f>"603909"</f>
        <v>603909</v>
      </c>
      <c r="B4040" t="s">
        <v>7766</v>
      </c>
      <c r="C4040">
        <v>0.4</v>
      </c>
      <c r="D4040">
        <v>14.98</v>
      </c>
      <c r="E4040">
        <v>0.06</v>
      </c>
      <c r="F4040">
        <v>14.97</v>
      </c>
      <c r="G4040">
        <v>14.98</v>
      </c>
      <c r="H4040">
        <v>6726</v>
      </c>
      <c r="I4040">
        <v>305</v>
      </c>
      <c r="J4040">
        <v>-0.06</v>
      </c>
      <c r="K4040">
        <v>0.34</v>
      </c>
      <c r="L4040">
        <v>997.68</v>
      </c>
      <c r="M4040" t="s">
        <v>7767</v>
      </c>
      <c r="N4040" t="s">
        <v>50</v>
      </c>
      <c r="O4040">
        <v>14.9</v>
      </c>
      <c r="P4040">
        <v>15</v>
      </c>
      <c r="Q4040">
        <v>14.51</v>
      </c>
      <c r="R4040">
        <v>14.92</v>
      </c>
      <c r="S4040">
        <v>94.45</v>
      </c>
      <c r="T4040">
        <v>0.35</v>
      </c>
      <c r="U4040" t="s">
        <v>339</v>
      </c>
    </row>
    <row r="4041" spans="1:21">
      <c r="A4041" t="str">
        <f>"603912"</f>
        <v>603912</v>
      </c>
      <c r="B4041" t="s">
        <v>7768</v>
      </c>
      <c r="C4041">
        <v>0.94</v>
      </c>
      <c r="D4041">
        <v>14</v>
      </c>
      <c r="E4041">
        <v>0.13</v>
      </c>
      <c r="F4041">
        <v>14</v>
      </c>
      <c r="G4041">
        <v>14.01</v>
      </c>
      <c r="H4041">
        <v>19199</v>
      </c>
      <c r="I4041">
        <v>496</v>
      </c>
      <c r="J4041">
        <v>-0.06</v>
      </c>
      <c r="K4041">
        <v>0.89</v>
      </c>
      <c r="L4041">
        <v>2670.35</v>
      </c>
      <c r="M4041" t="s">
        <v>5785</v>
      </c>
      <c r="N4041" t="s">
        <v>324</v>
      </c>
      <c r="O4041">
        <v>13.9</v>
      </c>
      <c r="P4041">
        <v>14.08</v>
      </c>
      <c r="Q4041">
        <v>13.7</v>
      </c>
      <c r="R4041">
        <v>13.87</v>
      </c>
      <c r="S4041">
        <v>31.02</v>
      </c>
      <c r="T4041">
        <v>0.82</v>
      </c>
      <c r="U4041" t="s">
        <v>102</v>
      </c>
    </row>
    <row r="4042" spans="1:21">
      <c r="A4042" t="str">
        <f>"603915"</f>
        <v>603915</v>
      </c>
      <c r="B4042" t="s">
        <v>7769</v>
      </c>
      <c r="C4042">
        <v>0.72</v>
      </c>
      <c r="D4042">
        <v>41.94</v>
      </c>
      <c r="E4042">
        <v>0.3</v>
      </c>
      <c r="F4042">
        <v>41.85</v>
      </c>
      <c r="G4042">
        <v>41.94</v>
      </c>
      <c r="H4042">
        <v>9631</v>
      </c>
      <c r="I4042">
        <v>76</v>
      </c>
      <c r="J4042">
        <v>0.14</v>
      </c>
      <c r="K4042">
        <v>0.76</v>
      </c>
      <c r="L4042">
        <v>4013.09</v>
      </c>
      <c r="M4042" t="s">
        <v>7770</v>
      </c>
      <c r="N4042" t="s">
        <v>347</v>
      </c>
      <c r="O4042">
        <v>42.36</v>
      </c>
      <c r="P4042">
        <v>42.36</v>
      </c>
      <c r="Q4042">
        <v>41.21</v>
      </c>
      <c r="R4042">
        <v>41.64</v>
      </c>
      <c r="S4042">
        <v>43.17</v>
      </c>
      <c r="T4042">
        <v>0.61</v>
      </c>
      <c r="U4042" t="s">
        <v>102</v>
      </c>
    </row>
    <row r="4043" spans="1:21">
      <c r="A4043" t="str">
        <f>"603916"</f>
        <v>603916</v>
      </c>
      <c r="B4043" t="s">
        <v>7771</v>
      </c>
      <c r="C4043">
        <v>10.03</v>
      </c>
      <c r="D4043">
        <v>21.95</v>
      </c>
      <c r="E4043">
        <v>2</v>
      </c>
      <c r="F4043">
        <v>21.95</v>
      </c>
      <c r="G4043" t="s">
        <v>40</v>
      </c>
      <c r="H4043">
        <v>405010</v>
      </c>
      <c r="I4043">
        <v>507</v>
      </c>
      <c r="J4043">
        <v>0</v>
      </c>
      <c r="K4043">
        <v>9.68</v>
      </c>
      <c r="L4043">
        <v>87830.35</v>
      </c>
      <c r="M4043" t="s">
        <v>7772</v>
      </c>
      <c r="N4043" t="s">
        <v>309</v>
      </c>
      <c r="O4043">
        <v>20.72</v>
      </c>
      <c r="P4043">
        <v>21.95</v>
      </c>
      <c r="Q4043">
        <v>20.55</v>
      </c>
      <c r="R4043">
        <v>19.95</v>
      </c>
      <c r="S4043">
        <v>18.86</v>
      </c>
      <c r="T4043">
        <v>6.67</v>
      </c>
      <c r="U4043" t="s">
        <v>102</v>
      </c>
    </row>
    <row r="4044" spans="1:21">
      <c r="A4044" t="str">
        <f>"603917"</f>
        <v>603917</v>
      </c>
      <c r="B4044" t="s">
        <v>7773</v>
      </c>
      <c r="C4044">
        <v>0.22</v>
      </c>
      <c r="D4044">
        <v>22.68</v>
      </c>
      <c r="E4044">
        <v>0.05</v>
      </c>
      <c r="F4044">
        <v>22.68</v>
      </c>
      <c r="G4044">
        <v>22.69</v>
      </c>
      <c r="H4044">
        <v>142592</v>
      </c>
      <c r="I4044">
        <v>1930</v>
      </c>
      <c r="J4044">
        <v>0.18</v>
      </c>
      <c r="K4044">
        <v>9.09</v>
      </c>
      <c r="L4044">
        <v>32437.9</v>
      </c>
      <c r="M4044" t="s">
        <v>7774</v>
      </c>
      <c r="N4044" t="s">
        <v>91</v>
      </c>
      <c r="O4044">
        <v>22.32</v>
      </c>
      <c r="P4044">
        <v>23.85</v>
      </c>
      <c r="Q4044">
        <v>21.85</v>
      </c>
      <c r="R4044">
        <v>22.63</v>
      </c>
      <c r="S4044">
        <v>50.69</v>
      </c>
      <c r="T4044">
        <v>0.84</v>
      </c>
      <c r="U4044" t="s">
        <v>200</v>
      </c>
    </row>
    <row r="4045" spans="1:21">
      <c r="A4045" t="str">
        <f>"603918"</f>
        <v>603918</v>
      </c>
      <c r="B4045" t="s">
        <v>7775</v>
      </c>
      <c r="C4045">
        <v>4.76</v>
      </c>
      <c r="D4045">
        <v>7.49</v>
      </c>
      <c r="E4045">
        <v>0.34</v>
      </c>
      <c r="F4045">
        <v>7.49</v>
      </c>
      <c r="G4045">
        <v>7.5</v>
      </c>
      <c r="H4045">
        <v>96024</v>
      </c>
      <c r="I4045">
        <v>1006</v>
      </c>
      <c r="J4045">
        <v>0</v>
      </c>
      <c r="K4045">
        <v>2.64</v>
      </c>
      <c r="L4045">
        <v>7128.77</v>
      </c>
      <c r="M4045" t="s">
        <v>7776</v>
      </c>
      <c r="N4045" t="s">
        <v>30</v>
      </c>
      <c r="O4045">
        <v>7.15</v>
      </c>
      <c r="P4045">
        <v>7.57</v>
      </c>
      <c r="Q4045">
        <v>7.15</v>
      </c>
      <c r="R4045">
        <v>7.15</v>
      </c>
      <c r="S4045">
        <v>46.37</v>
      </c>
      <c r="T4045">
        <v>1.88</v>
      </c>
      <c r="U4045" t="s">
        <v>848</v>
      </c>
    </row>
    <row r="4046" spans="1:21">
      <c r="A4046" t="str">
        <f>"603919"</f>
        <v>603919</v>
      </c>
      <c r="B4046" t="s">
        <v>7777</v>
      </c>
      <c r="C4046">
        <v>0.06</v>
      </c>
      <c r="D4046">
        <v>34.12</v>
      </c>
      <c r="E4046">
        <v>0.02</v>
      </c>
      <c r="F4046">
        <v>34.12</v>
      </c>
      <c r="G4046">
        <v>34.13</v>
      </c>
      <c r="H4046">
        <v>44698</v>
      </c>
      <c r="I4046">
        <v>433</v>
      </c>
      <c r="J4046">
        <v>0.03</v>
      </c>
      <c r="K4046">
        <v>0.91</v>
      </c>
      <c r="L4046">
        <v>15360.45</v>
      </c>
      <c r="M4046" t="s">
        <v>7778</v>
      </c>
      <c r="N4046" t="s">
        <v>423</v>
      </c>
      <c r="O4046">
        <v>34.12</v>
      </c>
      <c r="P4046">
        <v>34.8</v>
      </c>
      <c r="Q4046">
        <v>34.05</v>
      </c>
      <c r="R4046">
        <v>34.1</v>
      </c>
      <c r="S4046">
        <v>53.4</v>
      </c>
      <c r="T4046">
        <v>1</v>
      </c>
      <c r="U4046" t="s">
        <v>391</v>
      </c>
    </row>
    <row r="4047" spans="1:21">
      <c r="A4047" t="str">
        <f>"603920"</f>
        <v>603920</v>
      </c>
      <c r="B4047" t="s">
        <v>7779</v>
      </c>
      <c r="C4047">
        <v>3.9</v>
      </c>
      <c r="D4047">
        <v>21.3</v>
      </c>
      <c r="E4047">
        <v>0.8</v>
      </c>
      <c r="F4047">
        <v>21.29</v>
      </c>
      <c r="G4047">
        <v>21.3</v>
      </c>
      <c r="H4047">
        <v>143060</v>
      </c>
      <c r="I4047">
        <v>2266</v>
      </c>
      <c r="J4047">
        <v>0.19</v>
      </c>
      <c r="K4047">
        <v>2.7</v>
      </c>
      <c r="L4047">
        <v>29567.01</v>
      </c>
      <c r="M4047" t="s">
        <v>7780</v>
      </c>
      <c r="N4047" t="s">
        <v>69</v>
      </c>
      <c r="O4047">
        <v>20.6</v>
      </c>
      <c r="P4047">
        <v>21.33</v>
      </c>
      <c r="Q4047">
        <v>20</v>
      </c>
      <c r="R4047">
        <v>20.5</v>
      </c>
      <c r="S4047">
        <v>54.4</v>
      </c>
      <c r="T4047">
        <v>0.9</v>
      </c>
      <c r="U4047" t="s">
        <v>183</v>
      </c>
    </row>
    <row r="4048" spans="1:21">
      <c r="A4048" t="str">
        <f>"603922"</f>
        <v>603922</v>
      </c>
      <c r="B4048" t="s">
        <v>7781</v>
      </c>
      <c r="C4048">
        <v>-0.69</v>
      </c>
      <c r="D4048">
        <v>23.15</v>
      </c>
      <c r="E4048">
        <v>-0.16</v>
      </c>
      <c r="F4048">
        <v>23.15</v>
      </c>
      <c r="G4048">
        <v>23.19</v>
      </c>
      <c r="H4048">
        <v>26291</v>
      </c>
      <c r="I4048">
        <v>296</v>
      </c>
      <c r="J4048">
        <v>-0.03</v>
      </c>
      <c r="K4048">
        <v>2.05</v>
      </c>
      <c r="L4048">
        <v>6082.1</v>
      </c>
      <c r="M4048" t="s">
        <v>7782</v>
      </c>
      <c r="N4048" t="s">
        <v>91</v>
      </c>
      <c r="O4048">
        <v>23.31</v>
      </c>
      <c r="P4048">
        <v>23.64</v>
      </c>
      <c r="Q4048">
        <v>22.7</v>
      </c>
      <c r="R4048">
        <v>23.31</v>
      </c>
      <c r="S4048" t="s">
        <v>40</v>
      </c>
      <c r="T4048">
        <v>0.5</v>
      </c>
      <c r="U4048" t="s">
        <v>102</v>
      </c>
    </row>
    <row r="4049" spans="1:21">
      <c r="A4049" t="str">
        <f>"603926"</f>
        <v>603926</v>
      </c>
      <c r="B4049" t="s">
        <v>7783</v>
      </c>
      <c r="C4049">
        <v>2.79</v>
      </c>
      <c r="D4049">
        <v>18.07</v>
      </c>
      <c r="E4049">
        <v>0.49</v>
      </c>
      <c r="F4049">
        <v>18.07</v>
      </c>
      <c r="G4049">
        <v>18.08</v>
      </c>
      <c r="H4049">
        <v>42774</v>
      </c>
      <c r="I4049">
        <v>315</v>
      </c>
      <c r="J4049">
        <v>-0.05</v>
      </c>
      <c r="K4049">
        <v>2.67</v>
      </c>
      <c r="L4049">
        <v>7653.89</v>
      </c>
      <c r="M4049" t="s">
        <v>7784</v>
      </c>
      <c r="N4049" t="s">
        <v>91</v>
      </c>
      <c r="O4049">
        <v>17.58</v>
      </c>
      <c r="P4049">
        <v>18.24</v>
      </c>
      <c r="Q4049">
        <v>17.25</v>
      </c>
      <c r="R4049">
        <v>17.58</v>
      </c>
      <c r="S4049">
        <v>15.83</v>
      </c>
      <c r="T4049">
        <v>1.15</v>
      </c>
      <c r="U4049" t="s">
        <v>200</v>
      </c>
    </row>
    <row r="4050" spans="1:21">
      <c r="A4050" t="str">
        <f>"603927"</f>
        <v>603927</v>
      </c>
      <c r="B4050" t="s">
        <v>7785</v>
      </c>
      <c r="C4050">
        <v>-0.44</v>
      </c>
      <c r="D4050">
        <v>26.85</v>
      </c>
      <c r="E4050">
        <v>-0.12</v>
      </c>
      <c r="F4050">
        <v>26.84</v>
      </c>
      <c r="G4050">
        <v>26.85</v>
      </c>
      <c r="H4050">
        <v>60355</v>
      </c>
      <c r="I4050">
        <v>1380</v>
      </c>
      <c r="J4050">
        <v>-0.03</v>
      </c>
      <c r="K4050">
        <v>1.33</v>
      </c>
      <c r="L4050">
        <v>16241.74</v>
      </c>
      <c r="M4050" t="s">
        <v>7786</v>
      </c>
      <c r="N4050" t="s">
        <v>30</v>
      </c>
      <c r="O4050">
        <v>27</v>
      </c>
      <c r="P4050">
        <v>27.19</v>
      </c>
      <c r="Q4050">
        <v>26.67</v>
      </c>
      <c r="R4050">
        <v>26.97</v>
      </c>
      <c r="S4050">
        <v>41.98</v>
      </c>
      <c r="T4050">
        <v>0.82</v>
      </c>
      <c r="U4050" t="s">
        <v>44</v>
      </c>
    </row>
    <row r="4051" spans="1:21">
      <c r="A4051" t="str">
        <f>"603928"</f>
        <v>603928</v>
      </c>
      <c r="B4051" t="s">
        <v>7787</v>
      </c>
      <c r="C4051">
        <v>10.04</v>
      </c>
      <c r="D4051">
        <v>12.49</v>
      </c>
      <c r="E4051">
        <v>1.14</v>
      </c>
      <c r="F4051">
        <v>12.49</v>
      </c>
      <c r="G4051" t="s">
        <v>40</v>
      </c>
      <c r="H4051">
        <v>77334</v>
      </c>
      <c r="I4051">
        <v>50</v>
      </c>
      <c r="J4051">
        <v>0</v>
      </c>
      <c r="K4051">
        <v>3.84</v>
      </c>
      <c r="L4051">
        <v>9406.8</v>
      </c>
      <c r="M4051" t="s">
        <v>7788</v>
      </c>
      <c r="N4051" t="s">
        <v>309</v>
      </c>
      <c r="O4051">
        <v>11.6</v>
      </c>
      <c r="P4051">
        <v>12.49</v>
      </c>
      <c r="Q4051">
        <v>11.6</v>
      </c>
      <c r="R4051">
        <v>11.35</v>
      </c>
      <c r="S4051">
        <v>21.87</v>
      </c>
      <c r="T4051">
        <v>4.48</v>
      </c>
      <c r="U4051" t="s">
        <v>102</v>
      </c>
    </row>
    <row r="4052" spans="1:21">
      <c r="A4052" t="str">
        <f>"603929"</f>
        <v>603929</v>
      </c>
      <c r="B4052" t="s">
        <v>7789</v>
      </c>
      <c r="C4052">
        <v>1.34</v>
      </c>
      <c r="D4052">
        <v>11.33</v>
      </c>
      <c r="E4052">
        <v>0.15</v>
      </c>
      <c r="F4052">
        <v>11.33</v>
      </c>
      <c r="G4052">
        <v>11.34</v>
      </c>
      <c r="H4052">
        <v>14276</v>
      </c>
      <c r="I4052">
        <v>147</v>
      </c>
      <c r="J4052">
        <v>-0.08</v>
      </c>
      <c r="K4052">
        <v>0.67</v>
      </c>
      <c r="L4052">
        <v>1615.39</v>
      </c>
      <c r="M4052" t="s">
        <v>7687</v>
      </c>
      <c r="N4052" t="s">
        <v>1189</v>
      </c>
      <c r="O4052">
        <v>11.2</v>
      </c>
      <c r="P4052">
        <v>11.41</v>
      </c>
      <c r="Q4052">
        <v>11.11</v>
      </c>
      <c r="R4052">
        <v>11.18</v>
      </c>
      <c r="S4052">
        <v>102.22</v>
      </c>
      <c r="T4052">
        <v>0.69</v>
      </c>
      <c r="U4052" t="s">
        <v>102</v>
      </c>
    </row>
    <row r="4053" spans="1:21">
      <c r="A4053" t="str">
        <f>"603931"</f>
        <v>603931</v>
      </c>
      <c r="B4053" t="s">
        <v>7790</v>
      </c>
      <c r="C4053">
        <v>7.6</v>
      </c>
      <c r="D4053">
        <v>36.26</v>
      </c>
      <c r="E4053">
        <v>2.56</v>
      </c>
      <c r="F4053">
        <v>36.26</v>
      </c>
      <c r="G4053">
        <v>36.27</v>
      </c>
      <c r="H4053">
        <v>47330</v>
      </c>
      <c r="I4053">
        <v>1298</v>
      </c>
      <c r="J4053">
        <v>0</v>
      </c>
      <c r="K4053">
        <v>5.74</v>
      </c>
      <c r="L4053">
        <v>16810.48</v>
      </c>
      <c r="M4053" t="s">
        <v>3033</v>
      </c>
      <c r="N4053" t="s">
        <v>309</v>
      </c>
      <c r="O4053">
        <v>33.6</v>
      </c>
      <c r="P4053">
        <v>36.66</v>
      </c>
      <c r="Q4053">
        <v>33.6</v>
      </c>
      <c r="R4053">
        <v>33.7</v>
      </c>
      <c r="S4053">
        <v>38.28</v>
      </c>
      <c r="T4053">
        <v>2.66</v>
      </c>
      <c r="U4053" t="s">
        <v>200</v>
      </c>
    </row>
    <row r="4054" spans="1:21">
      <c r="A4054" t="str">
        <f>"603933"</f>
        <v>603933</v>
      </c>
      <c r="B4054" t="s">
        <v>7791</v>
      </c>
      <c r="C4054">
        <v>1.99</v>
      </c>
      <c r="D4054">
        <v>13.81</v>
      </c>
      <c r="E4054">
        <v>0.27</v>
      </c>
      <c r="F4054">
        <v>13.8</v>
      </c>
      <c r="G4054">
        <v>13.81</v>
      </c>
      <c r="H4054">
        <v>25367</v>
      </c>
      <c r="I4054">
        <v>222</v>
      </c>
      <c r="J4054">
        <v>0.15</v>
      </c>
      <c r="K4054">
        <v>1.26</v>
      </c>
      <c r="L4054">
        <v>3468.88</v>
      </c>
      <c r="M4054" t="s">
        <v>7792</v>
      </c>
      <c r="N4054" t="s">
        <v>189</v>
      </c>
      <c r="O4054">
        <v>13.44</v>
      </c>
      <c r="P4054">
        <v>13.84</v>
      </c>
      <c r="Q4054">
        <v>13.38</v>
      </c>
      <c r="R4054">
        <v>13.54</v>
      </c>
      <c r="S4054">
        <v>25.7</v>
      </c>
      <c r="T4054">
        <v>1.06</v>
      </c>
      <c r="U4054" t="s">
        <v>339</v>
      </c>
    </row>
    <row r="4055" spans="1:21">
      <c r="A4055" t="str">
        <f>"603936"</f>
        <v>603936</v>
      </c>
      <c r="B4055" t="s">
        <v>7793</v>
      </c>
      <c r="C4055">
        <v>1.65</v>
      </c>
      <c r="D4055">
        <v>13.54</v>
      </c>
      <c r="E4055">
        <v>0.22</v>
      </c>
      <c r="F4055">
        <v>13.54</v>
      </c>
      <c r="G4055">
        <v>13.55</v>
      </c>
      <c r="H4055">
        <v>140393</v>
      </c>
      <c r="I4055">
        <v>1075</v>
      </c>
      <c r="J4055">
        <v>-0.14</v>
      </c>
      <c r="K4055">
        <v>2.78</v>
      </c>
      <c r="L4055">
        <v>18968.1</v>
      </c>
      <c r="M4055" t="s">
        <v>7794</v>
      </c>
      <c r="N4055" t="s">
        <v>69</v>
      </c>
      <c r="O4055">
        <v>13.26</v>
      </c>
      <c r="P4055">
        <v>13.63</v>
      </c>
      <c r="Q4055">
        <v>13.2</v>
      </c>
      <c r="R4055">
        <v>13.32</v>
      </c>
      <c r="S4055">
        <v>25.34</v>
      </c>
      <c r="T4055">
        <v>0.46</v>
      </c>
      <c r="U4055" t="s">
        <v>183</v>
      </c>
    </row>
    <row r="4056" spans="1:21">
      <c r="A4056" t="str">
        <f>"603937"</f>
        <v>603937</v>
      </c>
      <c r="B4056" t="s">
        <v>7795</v>
      </c>
      <c r="C4056">
        <v>1.33</v>
      </c>
      <c r="D4056">
        <v>10.7</v>
      </c>
      <c r="E4056">
        <v>0.14</v>
      </c>
      <c r="F4056">
        <v>10.69</v>
      </c>
      <c r="G4056">
        <v>10.7</v>
      </c>
      <c r="H4056">
        <v>22204</v>
      </c>
      <c r="I4056">
        <v>471</v>
      </c>
      <c r="J4056">
        <v>0.19</v>
      </c>
      <c r="K4056">
        <v>1.06</v>
      </c>
      <c r="L4056">
        <v>2359.47</v>
      </c>
      <c r="M4056" t="s">
        <v>4819</v>
      </c>
      <c r="N4056" t="s">
        <v>494</v>
      </c>
      <c r="O4056">
        <v>10.5</v>
      </c>
      <c r="P4056">
        <v>10.73</v>
      </c>
      <c r="Q4056">
        <v>10.47</v>
      </c>
      <c r="R4056">
        <v>10.56</v>
      </c>
      <c r="S4056">
        <v>16.35</v>
      </c>
      <c r="T4056">
        <v>0.99</v>
      </c>
      <c r="U4056" t="s">
        <v>102</v>
      </c>
    </row>
    <row r="4057" spans="1:21">
      <c r="A4057" t="str">
        <f>"603938"</f>
        <v>603938</v>
      </c>
      <c r="B4057" t="s">
        <v>7796</v>
      </c>
      <c r="C4057">
        <v>0.48</v>
      </c>
      <c r="D4057">
        <v>41.59</v>
      </c>
      <c r="E4057">
        <v>0.2</v>
      </c>
      <c r="F4057">
        <v>41.59</v>
      </c>
      <c r="G4057">
        <v>41.6</v>
      </c>
      <c r="H4057">
        <v>32772</v>
      </c>
      <c r="I4057">
        <v>323</v>
      </c>
      <c r="J4057">
        <v>0</v>
      </c>
      <c r="K4057">
        <v>1.68</v>
      </c>
      <c r="L4057">
        <v>13458.22</v>
      </c>
      <c r="M4057" t="s">
        <v>4551</v>
      </c>
      <c r="N4057" t="s">
        <v>309</v>
      </c>
      <c r="O4057">
        <v>41.39</v>
      </c>
      <c r="P4057">
        <v>41.77</v>
      </c>
      <c r="Q4057">
        <v>40.39</v>
      </c>
      <c r="R4057">
        <v>41.39</v>
      </c>
      <c r="S4057">
        <v>24.67</v>
      </c>
      <c r="T4057">
        <v>0.7</v>
      </c>
      <c r="U4057" t="s">
        <v>207</v>
      </c>
    </row>
    <row r="4058" spans="1:21">
      <c r="A4058" t="str">
        <f>"603939"</f>
        <v>603939</v>
      </c>
      <c r="B4058" t="s">
        <v>7797</v>
      </c>
      <c r="C4058">
        <v>-0.25</v>
      </c>
      <c r="D4058">
        <v>46.98</v>
      </c>
      <c r="E4058">
        <v>-0.12</v>
      </c>
      <c r="F4058">
        <v>46.97</v>
      </c>
      <c r="G4058">
        <v>46.98</v>
      </c>
      <c r="H4058">
        <v>36618</v>
      </c>
      <c r="I4058">
        <v>405</v>
      </c>
      <c r="J4058">
        <v>-0.03</v>
      </c>
      <c r="K4058">
        <v>0.51</v>
      </c>
      <c r="L4058">
        <v>17224.9</v>
      </c>
      <c r="M4058" t="s">
        <v>7798</v>
      </c>
      <c r="N4058" t="s">
        <v>86</v>
      </c>
      <c r="O4058">
        <v>47.21</v>
      </c>
      <c r="P4058">
        <v>47.44</v>
      </c>
      <c r="Q4058">
        <v>46.8</v>
      </c>
      <c r="R4058">
        <v>47.1</v>
      </c>
      <c r="S4058">
        <v>36.39</v>
      </c>
      <c r="T4058">
        <v>1.12</v>
      </c>
      <c r="U4058" t="s">
        <v>204</v>
      </c>
    </row>
    <row r="4059" spans="1:21">
      <c r="A4059" t="str">
        <f>"603948"</f>
        <v>603948</v>
      </c>
      <c r="B4059" t="s">
        <v>7799</v>
      </c>
      <c r="C4059">
        <v>-3.39</v>
      </c>
      <c r="D4059">
        <v>31.88</v>
      </c>
      <c r="E4059">
        <v>-1.12</v>
      </c>
      <c r="F4059">
        <v>31.88</v>
      </c>
      <c r="G4059">
        <v>31.89</v>
      </c>
      <c r="H4059">
        <v>85254</v>
      </c>
      <c r="I4059">
        <v>1063</v>
      </c>
      <c r="J4059">
        <v>-0.21</v>
      </c>
      <c r="K4059">
        <v>11.36</v>
      </c>
      <c r="L4059">
        <v>27231.96</v>
      </c>
      <c r="M4059" t="s">
        <v>1870</v>
      </c>
      <c r="N4059" t="s">
        <v>309</v>
      </c>
      <c r="O4059">
        <v>32.06</v>
      </c>
      <c r="P4059">
        <v>32.97</v>
      </c>
      <c r="Q4059">
        <v>31.11</v>
      </c>
      <c r="R4059">
        <v>33</v>
      </c>
      <c r="S4059">
        <v>24.61</v>
      </c>
      <c r="T4059">
        <v>0.67</v>
      </c>
      <c r="U4059" t="s">
        <v>200</v>
      </c>
    </row>
    <row r="4060" spans="1:21">
      <c r="A4060" t="str">
        <f>"603949"</f>
        <v>603949</v>
      </c>
      <c r="B4060" t="s">
        <v>7800</v>
      </c>
      <c r="C4060">
        <v>3.82</v>
      </c>
      <c r="D4060">
        <v>19.3</v>
      </c>
      <c r="E4060">
        <v>0.71</v>
      </c>
      <c r="F4060">
        <v>19.28</v>
      </c>
      <c r="G4060">
        <v>19.3</v>
      </c>
      <c r="H4060">
        <v>25653</v>
      </c>
      <c r="I4060">
        <v>159</v>
      </c>
      <c r="J4060">
        <v>0.26</v>
      </c>
      <c r="K4060">
        <v>4.89</v>
      </c>
      <c r="L4060">
        <v>4883.45</v>
      </c>
      <c r="M4060" t="s">
        <v>3581</v>
      </c>
      <c r="N4060" t="s">
        <v>91</v>
      </c>
      <c r="O4060">
        <v>18.6</v>
      </c>
      <c r="P4060">
        <v>19.31</v>
      </c>
      <c r="Q4060">
        <v>18.52</v>
      </c>
      <c r="R4060">
        <v>18.59</v>
      </c>
      <c r="S4060">
        <v>29.72</v>
      </c>
      <c r="T4060">
        <v>1.39</v>
      </c>
      <c r="U4060" t="s">
        <v>200</v>
      </c>
    </row>
    <row r="4061" spans="1:21">
      <c r="A4061" t="str">
        <f>"603950"</f>
        <v>603950</v>
      </c>
      <c r="B4061" t="s">
        <v>7801</v>
      </c>
      <c r="C4061">
        <v>1.47</v>
      </c>
      <c r="D4061">
        <v>17.29</v>
      </c>
      <c r="E4061">
        <v>0.25</v>
      </c>
      <c r="F4061">
        <v>17.29</v>
      </c>
      <c r="G4061">
        <v>17.3</v>
      </c>
      <c r="H4061">
        <v>7910</v>
      </c>
      <c r="I4061">
        <v>210</v>
      </c>
      <c r="J4061">
        <v>-0.05</v>
      </c>
      <c r="K4061">
        <v>0.9</v>
      </c>
      <c r="L4061">
        <v>1361.44</v>
      </c>
      <c r="M4061" t="s">
        <v>7802</v>
      </c>
      <c r="N4061" t="s">
        <v>91</v>
      </c>
      <c r="O4061">
        <v>16.96</v>
      </c>
      <c r="P4061">
        <v>17.34</v>
      </c>
      <c r="Q4061">
        <v>16.91</v>
      </c>
      <c r="R4061">
        <v>17.04</v>
      </c>
      <c r="S4061">
        <v>13.69</v>
      </c>
      <c r="T4061">
        <v>0.87</v>
      </c>
      <c r="U4061" t="s">
        <v>267</v>
      </c>
    </row>
    <row r="4062" spans="1:21">
      <c r="A4062" t="str">
        <f>"603955"</f>
        <v>603955</v>
      </c>
      <c r="B4062" t="s">
        <v>7803</v>
      </c>
      <c r="C4062">
        <v>1.12</v>
      </c>
      <c r="D4062">
        <v>12.59</v>
      </c>
      <c r="E4062">
        <v>0.14</v>
      </c>
      <c r="F4062">
        <v>12.58</v>
      </c>
      <c r="G4062">
        <v>12.59</v>
      </c>
      <c r="H4062">
        <v>7482</v>
      </c>
      <c r="I4062">
        <v>219</v>
      </c>
      <c r="J4062">
        <v>0.16</v>
      </c>
      <c r="K4062">
        <v>0.55</v>
      </c>
      <c r="L4062">
        <v>933.88</v>
      </c>
      <c r="M4062" t="s">
        <v>7804</v>
      </c>
      <c r="N4062" t="s">
        <v>33</v>
      </c>
      <c r="O4062">
        <v>12.39</v>
      </c>
      <c r="P4062">
        <v>12.62</v>
      </c>
      <c r="Q4062">
        <v>12.31</v>
      </c>
      <c r="R4062">
        <v>12.45</v>
      </c>
      <c r="S4062">
        <v>30.64</v>
      </c>
      <c r="T4062">
        <v>1.25</v>
      </c>
      <c r="U4062" t="s">
        <v>102</v>
      </c>
    </row>
    <row r="4063" spans="1:21">
      <c r="A4063" t="str">
        <f>"603956"</f>
        <v>603956</v>
      </c>
      <c r="B4063" t="s">
        <v>7805</v>
      </c>
      <c r="C4063">
        <v>2.98</v>
      </c>
      <c r="D4063">
        <v>16.93</v>
      </c>
      <c r="E4063">
        <v>0.49</v>
      </c>
      <c r="F4063">
        <v>16.93</v>
      </c>
      <c r="G4063">
        <v>16.94</v>
      </c>
      <c r="H4063">
        <v>14071</v>
      </c>
      <c r="I4063">
        <v>244</v>
      </c>
      <c r="J4063">
        <v>-0.11</v>
      </c>
      <c r="K4063">
        <v>1.6</v>
      </c>
      <c r="L4063">
        <v>2360.81</v>
      </c>
      <c r="M4063" t="s">
        <v>7806</v>
      </c>
      <c r="N4063" t="s">
        <v>324</v>
      </c>
      <c r="O4063">
        <v>16.32</v>
      </c>
      <c r="P4063">
        <v>17.08</v>
      </c>
      <c r="Q4063">
        <v>16.17</v>
      </c>
      <c r="R4063">
        <v>16.44</v>
      </c>
      <c r="S4063">
        <v>38.27</v>
      </c>
      <c r="T4063">
        <v>1.72</v>
      </c>
      <c r="U4063" t="s">
        <v>848</v>
      </c>
    </row>
    <row r="4064" spans="1:21">
      <c r="A4064" t="str">
        <f>"603958"</f>
        <v>603958</v>
      </c>
      <c r="B4064" t="s">
        <v>7807</v>
      </c>
      <c r="C4064">
        <v>3.05</v>
      </c>
      <c r="D4064">
        <v>6.41</v>
      </c>
      <c r="E4064">
        <v>0.19</v>
      </c>
      <c r="F4064">
        <v>6.4</v>
      </c>
      <c r="G4064">
        <v>6.41</v>
      </c>
      <c r="H4064">
        <v>18674</v>
      </c>
      <c r="I4064">
        <v>505</v>
      </c>
      <c r="J4064">
        <v>0.31</v>
      </c>
      <c r="K4064">
        <v>0.86</v>
      </c>
      <c r="L4064">
        <v>1180.13</v>
      </c>
      <c r="M4064" t="s">
        <v>7808</v>
      </c>
      <c r="N4064" t="s">
        <v>1061</v>
      </c>
      <c r="O4064">
        <v>6.22</v>
      </c>
      <c r="P4064">
        <v>6.43</v>
      </c>
      <c r="Q4064">
        <v>6.15</v>
      </c>
      <c r="R4064">
        <v>6.22</v>
      </c>
      <c r="S4064" t="s">
        <v>40</v>
      </c>
      <c r="T4064">
        <v>1.32</v>
      </c>
      <c r="U4064" t="s">
        <v>102</v>
      </c>
    </row>
    <row r="4065" spans="1:21">
      <c r="A4065" t="str">
        <f>"603959"</f>
        <v>603959</v>
      </c>
      <c r="B4065" t="s">
        <v>7809</v>
      </c>
      <c r="C4065">
        <v>0.48</v>
      </c>
      <c r="D4065">
        <v>18.93</v>
      </c>
      <c r="E4065">
        <v>0.09</v>
      </c>
      <c r="F4065">
        <v>18.93</v>
      </c>
      <c r="G4065">
        <v>18.94</v>
      </c>
      <c r="H4065">
        <v>89079</v>
      </c>
      <c r="I4065">
        <v>517</v>
      </c>
      <c r="J4065">
        <v>0</v>
      </c>
      <c r="K4065">
        <v>1.82</v>
      </c>
      <c r="L4065">
        <v>16946.96</v>
      </c>
      <c r="M4065" t="s">
        <v>7810</v>
      </c>
      <c r="N4065" t="s">
        <v>50</v>
      </c>
      <c r="O4065">
        <v>18.83</v>
      </c>
      <c r="P4065">
        <v>19.31</v>
      </c>
      <c r="Q4065">
        <v>18.5</v>
      </c>
      <c r="R4065">
        <v>18.84</v>
      </c>
      <c r="S4065">
        <v>143.75</v>
      </c>
      <c r="T4065">
        <v>0.56</v>
      </c>
      <c r="U4065" t="s">
        <v>204</v>
      </c>
    </row>
    <row r="4066" spans="1:21">
      <c r="A4066" t="str">
        <f>"603960"</f>
        <v>603960</v>
      </c>
      <c r="B4066" t="s">
        <v>7811</v>
      </c>
      <c r="C4066">
        <v>2.9</v>
      </c>
      <c r="D4066">
        <v>37.91</v>
      </c>
      <c r="E4066">
        <v>1.07</v>
      </c>
      <c r="F4066">
        <v>37.91</v>
      </c>
      <c r="G4066">
        <v>37.98</v>
      </c>
      <c r="H4066">
        <v>37670</v>
      </c>
      <c r="I4066">
        <v>381</v>
      </c>
      <c r="J4066">
        <v>-0.1</v>
      </c>
      <c r="K4066">
        <v>1.45</v>
      </c>
      <c r="L4066">
        <v>14191.79</v>
      </c>
      <c r="M4066" t="s">
        <v>7812</v>
      </c>
      <c r="N4066" t="s">
        <v>91</v>
      </c>
      <c r="O4066">
        <v>36.78</v>
      </c>
      <c r="P4066">
        <v>38.2</v>
      </c>
      <c r="Q4066">
        <v>36.41</v>
      </c>
      <c r="R4066">
        <v>36.84</v>
      </c>
      <c r="S4066">
        <v>149.74</v>
      </c>
      <c r="T4066">
        <v>0.86</v>
      </c>
      <c r="U4066" t="s">
        <v>848</v>
      </c>
    </row>
    <row r="4067" spans="1:21">
      <c r="A4067" t="str">
        <f>"603963"</f>
        <v>603963</v>
      </c>
      <c r="B4067" t="s">
        <v>7813</v>
      </c>
      <c r="C4067">
        <v>1.58</v>
      </c>
      <c r="D4067">
        <v>7.06</v>
      </c>
      <c r="E4067">
        <v>0.11</v>
      </c>
      <c r="F4067">
        <v>7.06</v>
      </c>
      <c r="G4067">
        <v>7.07</v>
      </c>
      <c r="H4067">
        <v>8476</v>
      </c>
      <c r="I4067">
        <v>159</v>
      </c>
      <c r="J4067">
        <v>-0.13</v>
      </c>
      <c r="K4067">
        <v>0.39</v>
      </c>
      <c r="L4067">
        <v>596.96</v>
      </c>
      <c r="M4067" t="s">
        <v>4036</v>
      </c>
      <c r="N4067" t="s">
        <v>192</v>
      </c>
      <c r="O4067">
        <v>6.97</v>
      </c>
      <c r="P4067">
        <v>7.15</v>
      </c>
      <c r="Q4067">
        <v>6.93</v>
      </c>
      <c r="R4067">
        <v>6.95</v>
      </c>
      <c r="S4067" t="s">
        <v>40</v>
      </c>
      <c r="T4067">
        <v>1.22</v>
      </c>
      <c r="U4067" t="s">
        <v>363</v>
      </c>
    </row>
    <row r="4068" spans="1:21">
      <c r="A4068" t="str">
        <f>"603966"</f>
        <v>603966</v>
      </c>
      <c r="B4068" t="s">
        <v>7814</v>
      </c>
      <c r="C4068">
        <v>-1.29</v>
      </c>
      <c r="D4068">
        <v>9.17</v>
      </c>
      <c r="E4068">
        <v>-0.12</v>
      </c>
      <c r="F4068">
        <v>9.17</v>
      </c>
      <c r="G4068">
        <v>9.18</v>
      </c>
      <c r="H4068">
        <v>26459</v>
      </c>
      <c r="I4068">
        <v>323</v>
      </c>
      <c r="J4068">
        <v>0.11</v>
      </c>
      <c r="K4068">
        <v>0.88</v>
      </c>
      <c r="L4068">
        <v>2423.02</v>
      </c>
      <c r="M4068" t="s">
        <v>6957</v>
      </c>
      <c r="N4068" t="s">
        <v>347</v>
      </c>
      <c r="O4068">
        <v>9.29</v>
      </c>
      <c r="P4068">
        <v>9.29</v>
      </c>
      <c r="Q4068">
        <v>9.04</v>
      </c>
      <c r="R4068">
        <v>9.29</v>
      </c>
      <c r="S4068">
        <v>13.39</v>
      </c>
      <c r="T4068">
        <v>0.93</v>
      </c>
      <c r="U4068" t="s">
        <v>102</v>
      </c>
    </row>
    <row r="4069" spans="1:21">
      <c r="A4069" t="str">
        <f>"603967"</f>
        <v>603967</v>
      </c>
      <c r="B4069" t="s">
        <v>7815</v>
      </c>
      <c r="C4069">
        <v>4.64</v>
      </c>
      <c r="D4069">
        <v>13.3</v>
      </c>
      <c r="E4069">
        <v>0.59</v>
      </c>
      <c r="F4069">
        <v>13.29</v>
      </c>
      <c r="G4069">
        <v>13.3</v>
      </c>
      <c r="H4069">
        <v>50607</v>
      </c>
      <c r="I4069">
        <v>1631</v>
      </c>
      <c r="J4069">
        <v>0.23</v>
      </c>
      <c r="K4069">
        <v>5.42</v>
      </c>
      <c r="L4069">
        <v>6613.94</v>
      </c>
      <c r="M4069" t="s">
        <v>7816</v>
      </c>
      <c r="N4069" t="s">
        <v>1049</v>
      </c>
      <c r="O4069">
        <v>12.71</v>
      </c>
      <c r="P4069">
        <v>13.3</v>
      </c>
      <c r="Q4069">
        <v>12.6</v>
      </c>
      <c r="R4069">
        <v>12.71</v>
      </c>
      <c r="S4069">
        <v>16.29</v>
      </c>
      <c r="T4069">
        <v>2.32</v>
      </c>
      <c r="U4069" t="s">
        <v>221</v>
      </c>
    </row>
    <row r="4070" spans="1:21">
      <c r="A4070" t="str">
        <f>"603968"</f>
        <v>603968</v>
      </c>
      <c r="B4070" t="s">
        <v>7817</v>
      </c>
      <c r="C4070">
        <v>-0.66</v>
      </c>
      <c r="D4070">
        <v>16.67</v>
      </c>
      <c r="E4070">
        <v>-0.11</v>
      </c>
      <c r="F4070">
        <v>16.67</v>
      </c>
      <c r="G4070">
        <v>16.69</v>
      </c>
      <c r="H4070">
        <v>37084</v>
      </c>
      <c r="I4070">
        <v>660</v>
      </c>
      <c r="J4070">
        <v>0.3</v>
      </c>
      <c r="K4070">
        <v>1.81</v>
      </c>
      <c r="L4070">
        <v>6169.24</v>
      </c>
      <c r="M4070" t="s">
        <v>7818</v>
      </c>
      <c r="N4070" t="s">
        <v>309</v>
      </c>
      <c r="O4070">
        <v>16.53</v>
      </c>
      <c r="P4070">
        <v>16.93</v>
      </c>
      <c r="Q4070">
        <v>16.4</v>
      </c>
      <c r="R4070">
        <v>16.78</v>
      </c>
      <c r="S4070">
        <v>25.85</v>
      </c>
      <c r="T4070">
        <v>0.68</v>
      </c>
      <c r="U4070" t="s">
        <v>102</v>
      </c>
    </row>
    <row r="4071" spans="1:21">
      <c r="A4071" t="str">
        <f>"603969"</f>
        <v>603969</v>
      </c>
      <c r="B4071" t="s">
        <v>7819</v>
      </c>
      <c r="C4071">
        <v>0.25</v>
      </c>
      <c r="D4071">
        <v>4.05</v>
      </c>
      <c r="E4071">
        <v>0.01</v>
      </c>
      <c r="F4071">
        <v>4.05</v>
      </c>
      <c r="G4071">
        <v>4.06</v>
      </c>
      <c r="H4071">
        <v>69806</v>
      </c>
      <c r="I4071">
        <v>454</v>
      </c>
      <c r="J4071">
        <v>-0.24</v>
      </c>
      <c r="K4071">
        <v>0.83</v>
      </c>
      <c r="L4071">
        <v>2809.14</v>
      </c>
      <c r="M4071" t="s">
        <v>847</v>
      </c>
      <c r="N4071" t="s">
        <v>131</v>
      </c>
      <c r="O4071">
        <v>4.04</v>
      </c>
      <c r="P4071">
        <v>4.07</v>
      </c>
      <c r="Q4071">
        <v>3.98</v>
      </c>
      <c r="R4071">
        <v>4.04</v>
      </c>
      <c r="S4071">
        <v>18.8</v>
      </c>
      <c r="T4071">
        <v>1.23</v>
      </c>
      <c r="U4071" t="s">
        <v>360</v>
      </c>
    </row>
    <row r="4072" spans="1:21">
      <c r="A4072" t="str">
        <f>"603970"</f>
        <v>603970</v>
      </c>
      <c r="B4072" t="s">
        <v>7820</v>
      </c>
      <c r="C4072">
        <v>-0.84</v>
      </c>
      <c r="D4072">
        <v>21.31</v>
      </c>
      <c r="E4072">
        <v>-0.18</v>
      </c>
      <c r="F4072">
        <v>21.26</v>
      </c>
      <c r="G4072">
        <v>21.31</v>
      </c>
      <c r="H4072">
        <v>15194</v>
      </c>
      <c r="I4072">
        <v>450</v>
      </c>
      <c r="J4072">
        <v>0.24</v>
      </c>
      <c r="K4072">
        <v>1.59</v>
      </c>
      <c r="L4072">
        <v>3221.7</v>
      </c>
      <c r="M4072" t="s">
        <v>7821</v>
      </c>
      <c r="N4072" t="s">
        <v>241</v>
      </c>
      <c r="O4072">
        <v>21.4</v>
      </c>
      <c r="P4072">
        <v>21.5</v>
      </c>
      <c r="Q4072">
        <v>21.05</v>
      </c>
      <c r="R4072">
        <v>21.49</v>
      </c>
      <c r="S4072">
        <v>22.42</v>
      </c>
      <c r="T4072">
        <v>0.74</v>
      </c>
      <c r="U4072" t="s">
        <v>44</v>
      </c>
    </row>
    <row r="4073" spans="1:21">
      <c r="A4073" t="str">
        <f>"603976"</f>
        <v>603976</v>
      </c>
      <c r="B4073" t="s">
        <v>7822</v>
      </c>
      <c r="C4073">
        <v>0.67</v>
      </c>
      <c r="D4073">
        <v>33.08</v>
      </c>
      <c r="E4073">
        <v>0.22</v>
      </c>
      <c r="F4073">
        <v>33.07</v>
      </c>
      <c r="G4073">
        <v>33.08</v>
      </c>
      <c r="H4073">
        <v>10768</v>
      </c>
      <c r="I4073">
        <v>153</v>
      </c>
      <c r="J4073">
        <v>0.15</v>
      </c>
      <c r="K4073">
        <v>0.71</v>
      </c>
      <c r="L4073">
        <v>3547.89</v>
      </c>
      <c r="M4073" t="s">
        <v>7823</v>
      </c>
      <c r="N4073" t="s">
        <v>186</v>
      </c>
      <c r="O4073">
        <v>32.7</v>
      </c>
      <c r="P4073">
        <v>33.21</v>
      </c>
      <c r="Q4073">
        <v>32.55</v>
      </c>
      <c r="R4073">
        <v>32.86</v>
      </c>
      <c r="S4073">
        <v>54.52</v>
      </c>
      <c r="T4073">
        <v>0.41</v>
      </c>
      <c r="U4073" t="s">
        <v>314</v>
      </c>
    </row>
    <row r="4074" spans="1:21">
      <c r="A4074" t="str">
        <f>"603977"</f>
        <v>603977</v>
      </c>
      <c r="B4074" t="s">
        <v>7824</v>
      </c>
      <c r="C4074">
        <v>1.44</v>
      </c>
      <c r="D4074">
        <v>9.87</v>
      </c>
      <c r="E4074">
        <v>0.14</v>
      </c>
      <c r="F4074">
        <v>9.86</v>
      </c>
      <c r="G4074">
        <v>9.87</v>
      </c>
      <c r="H4074">
        <v>50249</v>
      </c>
      <c r="I4074">
        <v>811</v>
      </c>
      <c r="J4074">
        <v>0.3</v>
      </c>
      <c r="K4074">
        <v>0.87</v>
      </c>
      <c r="L4074">
        <v>4895.21</v>
      </c>
      <c r="M4074" t="s">
        <v>2336</v>
      </c>
      <c r="N4074" t="s">
        <v>309</v>
      </c>
      <c r="O4074">
        <v>9.65</v>
      </c>
      <c r="P4074">
        <v>9.89</v>
      </c>
      <c r="Q4074">
        <v>9.51</v>
      </c>
      <c r="R4074">
        <v>9.73</v>
      </c>
      <c r="S4074">
        <v>27.5</v>
      </c>
      <c r="T4074">
        <v>0.52</v>
      </c>
      <c r="U4074" t="s">
        <v>235</v>
      </c>
    </row>
    <row r="4075" spans="1:21">
      <c r="A4075" t="str">
        <f>"603978"</f>
        <v>603978</v>
      </c>
      <c r="B4075" t="s">
        <v>7825</v>
      </c>
      <c r="C4075">
        <v>1.19</v>
      </c>
      <c r="D4075">
        <v>28.95</v>
      </c>
      <c r="E4075">
        <v>0.34</v>
      </c>
      <c r="F4075">
        <v>28.95</v>
      </c>
      <c r="G4075">
        <v>28.96</v>
      </c>
      <c r="H4075">
        <v>154883</v>
      </c>
      <c r="I4075">
        <v>730</v>
      </c>
      <c r="J4075">
        <v>-0.3</v>
      </c>
      <c r="K4075">
        <v>9.48</v>
      </c>
      <c r="L4075">
        <v>43970.33</v>
      </c>
      <c r="M4075" t="s">
        <v>7826</v>
      </c>
      <c r="N4075" t="s">
        <v>494</v>
      </c>
      <c r="O4075">
        <v>29.53</v>
      </c>
      <c r="P4075">
        <v>31.22</v>
      </c>
      <c r="Q4075">
        <v>26.51</v>
      </c>
      <c r="R4075">
        <v>28.61</v>
      </c>
      <c r="S4075">
        <v>115.57</v>
      </c>
      <c r="T4075">
        <v>1.61</v>
      </c>
      <c r="U4075" t="s">
        <v>24</v>
      </c>
    </row>
    <row r="4076" spans="1:21">
      <c r="A4076" t="str">
        <f>"603979"</f>
        <v>603979</v>
      </c>
      <c r="B4076" t="s">
        <v>7827</v>
      </c>
      <c r="C4076">
        <v>3.53</v>
      </c>
      <c r="D4076">
        <v>19.92</v>
      </c>
      <c r="E4076">
        <v>0.68</v>
      </c>
      <c r="F4076">
        <v>19.92</v>
      </c>
      <c r="G4076">
        <v>19.93</v>
      </c>
      <c r="H4076">
        <v>69972</v>
      </c>
      <c r="I4076">
        <v>703</v>
      </c>
      <c r="J4076">
        <v>0.1</v>
      </c>
      <c r="K4076">
        <v>1.18</v>
      </c>
      <c r="L4076">
        <v>13843.15</v>
      </c>
      <c r="M4076" t="s">
        <v>7828</v>
      </c>
      <c r="N4076" t="s">
        <v>50</v>
      </c>
      <c r="O4076">
        <v>19.24</v>
      </c>
      <c r="P4076">
        <v>20.28</v>
      </c>
      <c r="Q4076">
        <v>19</v>
      </c>
      <c r="R4076">
        <v>19.24</v>
      </c>
      <c r="S4076">
        <v>25.17</v>
      </c>
      <c r="T4076">
        <v>0.94</v>
      </c>
      <c r="U4076" t="s">
        <v>44</v>
      </c>
    </row>
    <row r="4077" spans="1:21">
      <c r="A4077" t="str">
        <f>"603980"</f>
        <v>603980</v>
      </c>
      <c r="B4077" t="s">
        <v>7829</v>
      </c>
      <c r="C4077">
        <v>0.49</v>
      </c>
      <c r="D4077">
        <v>6.15</v>
      </c>
      <c r="E4077">
        <v>0.03</v>
      </c>
      <c r="F4077">
        <v>6.15</v>
      </c>
      <c r="G4077">
        <v>6.16</v>
      </c>
      <c r="H4077">
        <v>22053</v>
      </c>
      <c r="I4077">
        <v>677</v>
      </c>
      <c r="J4077">
        <v>0.16</v>
      </c>
      <c r="K4077">
        <v>0.32</v>
      </c>
      <c r="L4077">
        <v>1348.35</v>
      </c>
      <c r="M4077" t="s">
        <v>425</v>
      </c>
      <c r="N4077" t="s">
        <v>416</v>
      </c>
      <c r="O4077">
        <v>6.12</v>
      </c>
      <c r="P4077">
        <v>6.16</v>
      </c>
      <c r="Q4077">
        <v>6.08</v>
      </c>
      <c r="R4077">
        <v>6.12</v>
      </c>
      <c r="S4077">
        <v>21.59</v>
      </c>
      <c r="T4077">
        <v>0.82</v>
      </c>
      <c r="U4077" t="s">
        <v>200</v>
      </c>
    </row>
    <row r="4078" spans="1:21">
      <c r="A4078" t="str">
        <f>"603982"</f>
        <v>603982</v>
      </c>
      <c r="B4078" t="s">
        <v>7830</v>
      </c>
      <c r="C4078">
        <v>-0.03</v>
      </c>
      <c r="D4078">
        <v>35.58</v>
      </c>
      <c r="E4078">
        <v>-0.01</v>
      </c>
      <c r="F4078">
        <v>35.57</v>
      </c>
      <c r="G4078">
        <v>35.58</v>
      </c>
      <c r="H4078">
        <v>35145</v>
      </c>
      <c r="I4078">
        <v>646</v>
      </c>
      <c r="J4078">
        <v>-0.1</v>
      </c>
      <c r="K4078">
        <v>4.3</v>
      </c>
      <c r="L4078">
        <v>12567.79</v>
      </c>
      <c r="M4078" t="s">
        <v>7831</v>
      </c>
      <c r="N4078" t="s">
        <v>91</v>
      </c>
      <c r="O4078">
        <v>35.21</v>
      </c>
      <c r="P4078">
        <v>36.22</v>
      </c>
      <c r="Q4078">
        <v>35.21</v>
      </c>
      <c r="R4078">
        <v>35.59</v>
      </c>
      <c r="S4078">
        <v>48.52</v>
      </c>
      <c r="T4078">
        <v>0.5</v>
      </c>
      <c r="U4078" t="s">
        <v>102</v>
      </c>
    </row>
    <row r="4079" spans="1:21">
      <c r="A4079" t="str">
        <f>"603983"</f>
        <v>603983</v>
      </c>
      <c r="B4079" t="s">
        <v>7832</v>
      </c>
      <c r="C4079">
        <v>0.23</v>
      </c>
      <c r="D4079">
        <v>30.3</v>
      </c>
      <c r="E4079">
        <v>0.07</v>
      </c>
      <c r="F4079">
        <v>30.3</v>
      </c>
      <c r="G4079">
        <v>30.31</v>
      </c>
      <c r="H4079">
        <v>10966</v>
      </c>
      <c r="I4079">
        <v>138</v>
      </c>
      <c r="J4079">
        <v>-0.02</v>
      </c>
      <c r="K4079">
        <v>1.42</v>
      </c>
      <c r="L4079">
        <v>3314.76</v>
      </c>
      <c r="M4079" t="s">
        <v>7833</v>
      </c>
      <c r="N4079" t="s">
        <v>332</v>
      </c>
      <c r="O4079">
        <v>30.33</v>
      </c>
      <c r="P4079">
        <v>30.49</v>
      </c>
      <c r="Q4079">
        <v>30.01</v>
      </c>
      <c r="R4079">
        <v>30.23</v>
      </c>
      <c r="S4079">
        <v>64.3</v>
      </c>
      <c r="T4079">
        <v>0.64</v>
      </c>
      <c r="U4079" t="s">
        <v>183</v>
      </c>
    </row>
    <row r="4080" spans="1:21">
      <c r="A4080" t="str">
        <f>"603985"</f>
        <v>603985</v>
      </c>
      <c r="B4080" t="s">
        <v>7834</v>
      </c>
      <c r="C4080">
        <v>-3</v>
      </c>
      <c r="D4080">
        <v>52.11</v>
      </c>
      <c r="E4080">
        <v>-1.61</v>
      </c>
      <c r="F4080">
        <v>52.1</v>
      </c>
      <c r="G4080">
        <v>52.11</v>
      </c>
      <c r="H4080">
        <v>65376</v>
      </c>
      <c r="I4080">
        <v>650</v>
      </c>
      <c r="J4080">
        <v>-0.24</v>
      </c>
      <c r="K4080">
        <v>2.47</v>
      </c>
      <c r="L4080">
        <v>34005.95</v>
      </c>
      <c r="M4080" t="s">
        <v>7835</v>
      </c>
      <c r="N4080" t="s">
        <v>347</v>
      </c>
      <c r="O4080">
        <v>53.18</v>
      </c>
      <c r="P4080">
        <v>53.18</v>
      </c>
      <c r="Q4080">
        <v>51</v>
      </c>
      <c r="R4080">
        <v>53.72</v>
      </c>
      <c r="S4080">
        <v>39.31</v>
      </c>
      <c r="T4080">
        <v>0.63</v>
      </c>
      <c r="U4080" t="s">
        <v>102</v>
      </c>
    </row>
    <row r="4081" spans="1:21">
      <c r="A4081" t="str">
        <f>"603986"</f>
        <v>603986</v>
      </c>
      <c r="B4081" t="s">
        <v>7836</v>
      </c>
      <c r="C4081">
        <v>0.45</v>
      </c>
      <c r="D4081">
        <v>159.3</v>
      </c>
      <c r="E4081">
        <v>0.71</v>
      </c>
      <c r="F4081">
        <v>159.29</v>
      </c>
      <c r="G4081">
        <v>159.3</v>
      </c>
      <c r="H4081">
        <v>115571</v>
      </c>
      <c r="I4081">
        <v>1057</v>
      </c>
      <c r="J4081">
        <v>0.08</v>
      </c>
      <c r="K4081">
        <v>1.87</v>
      </c>
      <c r="L4081">
        <v>183128.91</v>
      </c>
      <c r="M4081" t="s">
        <v>7837</v>
      </c>
      <c r="N4081" t="s">
        <v>1246</v>
      </c>
      <c r="O4081">
        <v>158.65</v>
      </c>
      <c r="P4081">
        <v>160.3</v>
      </c>
      <c r="Q4081">
        <v>157.03</v>
      </c>
      <c r="R4081">
        <v>158.59</v>
      </c>
      <c r="S4081">
        <v>48.36</v>
      </c>
      <c r="T4081">
        <v>0.83</v>
      </c>
      <c r="U4081" t="s">
        <v>44</v>
      </c>
    </row>
    <row r="4082" spans="1:21">
      <c r="A4082" t="str">
        <f>"603987"</f>
        <v>603987</v>
      </c>
      <c r="B4082" t="s">
        <v>7838</v>
      </c>
      <c r="C4082">
        <v>-0.52</v>
      </c>
      <c r="D4082">
        <v>19.09</v>
      </c>
      <c r="E4082">
        <v>-0.1</v>
      </c>
      <c r="F4082">
        <v>19.09</v>
      </c>
      <c r="G4082">
        <v>19.11</v>
      </c>
      <c r="H4082">
        <v>33477</v>
      </c>
      <c r="I4082">
        <v>343</v>
      </c>
      <c r="J4082">
        <v>0</v>
      </c>
      <c r="K4082">
        <v>0.76</v>
      </c>
      <c r="L4082">
        <v>6409.07</v>
      </c>
      <c r="M4082" t="s">
        <v>7839</v>
      </c>
      <c r="N4082" t="s">
        <v>186</v>
      </c>
      <c r="O4082">
        <v>19.19</v>
      </c>
      <c r="P4082">
        <v>19.34</v>
      </c>
      <c r="Q4082">
        <v>19.02</v>
      </c>
      <c r="R4082">
        <v>19.19</v>
      </c>
      <c r="S4082">
        <v>29.7</v>
      </c>
      <c r="T4082">
        <v>0.78</v>
      </c>
      <c r="U4082" t="s">
        <v>848</v>
      </c>
    </row>
    <row r="4083" spans="1:21">
      <c r="A4083" t="str">
        <f>"603988"</f>
        <v>603988</v>
      </c>
      <c r="B4083" t="s">
        <v>7840</v>
      </c>
      <c r="C4083">
        <v>-1.13</v>
      </c>
      <c r="D4083">
        <v>19.19</v>
      </c>
      <c r="E4083">
        <v>-0.22</v>
      </c>
      <c r="F4083">
        <v>19.19</v>
      </c>
      <c r="G4083">
        <v>19.2</v>
      </c>
      <c r="H4083">
        <v>92877</v>
      </c>
      <c r="I4083">
        <v>1128</v>
      </c>
      <c r="J4083">
        <v>0.1</v>
      </c>
      <c r="K4083">
        <v>3.95</v>
      </c>
      <c r="L4083">
        <v>17788.42</v>
      </c>
      <c r="M4083" t="s">
        <v>7841</v>
      </c>
      <c r="N4083" t="s">
        <v>47</v>
      </c>
      <c r="O4083">
        <v>19.32</v>
      </c>
      <c r="P4083">
        <v>19.6</v>
      </c>
      <c r="Q4083">
        <v>18.9</v>
      </c>
      <c r="R4083">
        <v>19.41</v>
      </c>
      <c r="S4083">
        <v>314.79</v>
      </c>
      <c r="T4083">
        <v>0.89</v>
      </c>
      <c r="U4083" t="s">
        <v>102</v>
      </c>
    </row>
    <row r="4084" spans="1:21">
      <c r="A4084" t="str">
        <f>"603989"</f>
        <v>603989</v>
      </c>
      <c r="B4084" t="s">
        <v>7842</v>
      </c>
      <c r="C4084">
        <v>2.8</v>
      </c>
      <c r="D4084">
        <v>44.08</v>
      </c>
      <c r="E4084">
        <v>1.2</v>
      </c>
      <c r="F4084">
        <v>44.05</v>
      </c>
      <c r="G4084">
        <v>44.08</v>
      </c>
      <c r="H4084">
        <v>43668</v>
      </c>
      <c r="I4084">
        <v>295</v>
      </c>
      <c r="J4084">
        <v>0.32</v>
      </c>
      <c r="K4084">
        <v>1.09</v>
      </c>
      <c r="L4084">
        <v>19147.74</v>
      </c>
      <c r="M4084" t="s">
        <v>7843</v>
      </c>
      <c r="N4084" t="s">
        <v>69</v>
      </c>
      <c r="O4084">
        <v>43.5</v>
      </c>
      <c r="P4084">
        <v>44.5</v>
      </c>
      <c r="Q4084">
        <v>43</v>
      </c>
      <c r="R4084">
        <v>42.88</v>
      </c>
      <c r="S4084">
        <v>37.07</v>
      </c>
      <c r="T4084">
        <v>1.1</v>
      </c>
      <c r="U4084" t="s">
        <v>204</v>
      </c>
    </row>
    <row r="4085" spans="1:21">
      <c r="A4085" t="str">
        <f>"603990"</f>
        <v>603990</v>
      </c>
      <c r="B4085" t="s">
        <v>7844</v>
      </c>
      <c r="C4085">
        <v>0.17</v>
      </c>
      <c r="D4085">
        <v>17.88</v>
      </c>
      <c r="E4085">
        <v>0.03</v>
      </c>
      <c r="F4085">
        <v>17.87</v>
      </c>
      <c r="G4085">
        <v>17.88</v>
      </c>
      <c r="H4085">
        <v>24274</v>
      </c>
      <c r="I4085">
        <v>839</v>
      </c>
      <c r="J4085">
        <v>0.06</v>
      </c>
      <c r="K4085">
        <v>1.47</v>
      </c>
      <c r="L4085">
        <v>4321.3</v>
      </c>
      <c r="M4085" t="s">
        <v>7845</v>
      </c>
      <c r="N4085" t="s">
        <v>30</v>
      </c>
      <c r="O4085">
        <v>17.8</v>
      </c>
      <c r="P4085">
        <v>17.98</v>
      </c>
      <c r="Q4085">
        <v>17.6</v>
      </c>
      <c r="R4085">
        <v>17.85</v>
      </c>
      <c r="S4085">
        <v>155.86</v>
      </c>
      <c r="T4085">
        <v>0.63</v>
      </c>
      <c r="U4085" t="s">
        <v>102</v>
      </c>
    </row>
    <row r="4086" spans="1:21">
      <c r="A4086" t="str">
        <f>"603991"</f>
        <v>603991</v>
      </c>
      <c r="B4086" t="s">
        <v>7846</v>
      </c>
      <c r="C4086">
        <v>2.05</v>
      </c>
      <c r="D4086">
        <v>41.91</v>
      </c>
      <c r="E4086">
        <v>0.84</v>
      </c>
      <c r="F4086">
        <v>41.9</v>
      </c>
      <c r="G4086">
        <v>41.91</v>
      </c>
      <c r="H4086">
        <v>3873</v>
      </c>
      <c r="I4086">
        <v>16</v>
      </c>
      <c r="J4086">
        <v>0</v>
      </c>
      <c r="K4086">
        <v>0.52</v>
      </c>
      <c r="L4086">
        <v>1601.2</v>
      </c>
      <c r="M4086" t="s">
        <v>2408</v>
      </c>
      <c r="N4086" t="s">
        <v>839</v>
      </c>
      <c r="O4086">
        <v>41.01</v>
      </c>
      <c r="P4086">
        <v>41.99</v>
      </c>
      <c r="Q4086">
        <v>40</v>
      </c>
      <c r="R4086">
        <v>41.07</v>
      </c>
      <c r="S4086" t="s">
        <v>40</v>
      </c>
      <c r="T4086">
        <v>0.9</v>
      </c>
      <c r="U4086" t="s">
        <v>24</v>
      </c>
    </row>
    <row r="4087" spans="1:21">
      <c r="A4087" t="str">
        <f>"603992"</f>
        <v>603992</v>
      </c>
      <c r="B4087" t="s">
        <v>7847</v>
      </c>
      <c r="C4087">
        <v>3.13</v>
      </c>
      <c r="D4087">
        <v>21.4</v>
      </c>
      <c r="E4087">
        <v>0.65</v>
      </c>
      <c r="F4087">
        <v>21.39</v>
      </c>
      <c r="G4087">
        <v>21.41</v>
      </c>
      <c r="H4087">
        <v>20099</v>
      </c>
      <c r="I4087">
        <v>455</v>
      </c>
      <c r="J4087">
        <v>0.47</v>
      </c>
      <c r="K4087">
        <v>4.49</v>
      </c>
      <c r="L4087">
        <v>4265.48</v>
      </c>
      <c r="M4087" t="s">
        <v>7848</v>
      </c>
      <c r="N4087" t="s">
        <v>910</v>
      </c>
      <c r="O4087">
        <v>20.67</v>
      </c>
      <c r="P4087">
        <v>21.7</v>
      </c>
      <c r="Q4087">
        <v>20.5</v>
      </c>
      <c r="R4087">
        <v>20.75</v>
      </c>
      <c r="S4087">
        <v>30.72</v>
      </c>
      <c r="T4087">
        <v>1.5</v>
      </c>
      <c r="U4087" t="s">
        <v>339</v>
      </c>
    </row>
    <row r="4088" spans="1:21">
      <c r="A4088" t="str">
        <f>"603993"</f>
        <v>603993</v>
      </c>
      <c r="B4088" t="s">
        <v>7849</v>
      </c>
      <c r="C4088">
        <v>2.89</v>
      </c>
      <c r="D4088">
        <v>5.69</v>
      </c>
      <c r="E4088">
        <v>0.16</v>
      </c>
      <c r="F4088">
        <v>5.68</v>
      </c>
      <c r="G4088">
        <v>5.69</v>
      </c>
      <c r="H4088">
        <v>2464593</v>
      </c>
      <c r="I4088">
        <v>40906</v>
      </c>
      <c r="J4088">
        <v>0</v>
      </c>
      <c r="K4088">
        <v>1.4</v>
      </c>
      <c r="L4088">
        <v>139056.78</v>
      </c>
      <c r="M4088" t="s">
        <v>7850</v>
      </c>
      <c r="N4088" t="s">
        <v>523</v>
      </c>
      <c r="O4088">
        <v>5.55</v>
      </c>
      <c r="P4088">
        <v>5.69</v>
      </c>
      <c r="Q4088">
        <v>5.52</v>
      </c>
      <c r="R4088">
        <v>5.53</v>
      </c>
      <c r="S4088">
        <v>25.91</v>
      </c>
      <c r="T4088">
        <v>1.57</v>
      </c>
      <c r="U4088" t="s">
        <v>224</v>
      </c>
    </row>
    <row r="4089" spans="1:21">
      <c r="A4089" t="str">
        <f>"603995"</f>
        <v>603995</v>
      </c>
      <c r="B4089" t="s">
        <v>7851</v>
      </c>
      <c r="C4089">
        <v>2.68</v>
      </c>
      <c r="D4089">
        <v>49.8</v>
      </c>
      <c r="E4089">
        <v>1.3</v>
      </c>
      <c r="F4089">
        <v>49.8</v>
      </c>
      <c r="G4089">
        <v>49.82</v>
      </c>
      <c r="H4089">
        <v>21057</v>
      </c>
      <c r="I4089">
        <v>226</v>
      </c>
      <c r="J4089">
        <v>0.02</v>
      </c>
      <c r="K4089">
        <v>1.88</v>
      </c>
      <c r="L4089">
        <v>10428.32</v>
      </c>
      <c r="M4089" t="s">
        <v>7852</v>
      </c>
      <c r="N4089" t="s">
        <v>628</v>
      </c>
      <c r="O4089">
        <v>48.4</v>
      </c>
      <c r="P4089">
        <v>50.5</v>
      </c>
      <c r="Q4089">
        <v>48.4</v>
      </c>
      <c r="R4089">
        <v>48.5</v>
      </c>
      <c r="S4089">
        <v>19.96</v>
      </c>
      <c r="T4089">
        <v>1.35</v>
      </c>
      <c r="U4089" t="s">
        <v>200</v>
      </c>
    </row>
    <row r="4090" spans="1:21">
      <c r="A4090" t="str">
        <f>"603996"</f>
        <v>603996</v>
      </c>
      <c r="B4090" t="s">
        <v>7853</v>
      </c>
      <c r="C4090">
        <v>-5.03</v>
      </c>
      <c r="D4090">
        <v>2.83</v>
      </c>
      <c r="E4090">
        <v>-0.15</v>
      </c>
      <c r="F4090" t="s">
        <v>40</v>
      </c>
      <c r="G4090">
        <v>2.83</v>
      </c>
      <c r="H4090">
        <v>11532</v>
      </c>
      <c r="I4090">
        <v>595</v>
      </c>
      <c r="J4090">
        <v>0</v>
      </c>
      <c r="K4090">
        <v>0.38</v>
      </c>
      <c r="L4090">
        <v>326.36</v>
      </c>
      <c r="M4090" t="s">
        <v>7854</v>
      </c>
      <c r="N4090" t="s">
        <v>60</v>
      </c>
      <c r="O4090">
        <v>2.83</v>
      </c>
      <c r="P4090">
        <v>2.83</v>
      </c>
      <c r="Q4090">
        <v>2.83</v>
      </c>
      <c r="R4090">
        <v>2.98</v>
      </c>
      <c r="S4090" t="s">
        <v>40</v>
      </c>
      <c r="T4090">
        <v>0.33</v>
      </c>
      <c r="U4090" t="s">
        <v>200</v>
      </c>
    </row>
    <row r="4091" spans="1:21">
      <c r="A4091" t="str">
        <f>"603997"</f>
        <v>603997</v>
      </c>
      <c r="B4091" t="s">
        <v>7855</v>
      </c>
      <c r="C4091">
        <v>2.28</v>
      </c>
      <c r="D4091">
        <v>13.91</v>
      </c>
      <c r="E4091">
        <v>0.31</v>
      </c>
      <c r="F4091">
        <v>13.9</v>
      </c>
      <c r="G4091">
        <v>13.91</v>
      </c>
      <c r="H4091">
        <v>223476</v>
      </c>
      <c r="I4091">
        <v>3187</v>
      </c>
      <c r="J4091">
        <v>0.14</v>
      </c>
      <c r="K4091">
        <v>2.6</v>
      </c>
      <c r="L4091">
        <v>30769.92</v>
      </c>
      <c r="M4091" t="s">
        <v>7856</v>
      </c>
      <c r="N4091" t="s">
        <v>91</v>
      </c>
      <c r="O4091">
        <v>13.6</v>
      </c>
      <c r="P4091">
        <v>14.05</v>
      </c>
      <c r="Q4091">
        <v>13.39</v>
      </c>
      <c r="R4091">
        <v>13.6</v>
      </c>
      <c r="S4091">
        <v>70.97</v>
      </c>
      <c r="T4091">
        <v>0.68</v>
      </c>
      <c r="U4091" t="s">
        <v>200</v>
      </c>
    </row>
    <row r="4092" spans="1:21">
      <c r="A4092" t="str">
        <f>"603998"</f>
        <v>603998</v>
      </c>
      <c r="B4092" t="s">
        <v>7857</v>
      </c>
      <c r="C4092">
        <v>0.37</v>
      </c>
      <c r="D4092">
        <v>5.42</v>
      </c>
      <c r="E4092">
        <v>0.02</v>
      </c>
      <c r="F4092">
        <v>5.42</v>
      </c>
      <c r="G4092">
        <v>5.43</v>
      </c>
      <c r="H4092">
        <v>13313</v>
      </c>
      <c r="I4092">
        <v>112</v>
      </c>
      <c r="J4092">
        <v>0</v>
      </c>
      <c r="K4092">
        <v>0.31</v>
      </c>
      <c r="L4092">
        <v>718.53</v>
      </c>
      <c r="M4092" t="s">
        <v>4833</v>
      </c>
      <c r="N4092" t="s">
        <v>270</v>
      </c>
      <c r="O4092">
        <v>5.38</v>
      </c>
      <c r="P4092">
        <v>5.43</v>
      </c>
      <c r="Q4092">
        <v>5.36</v>
      </c>
      <c r="R4092">
        <v>5.4</v>
      </c>
      <c r="S4092">
        <v>28.09</v>
      </c>
      <c r="T4092">
        <v>0.53</v>
      </c>
      <c r="U4092" t="s">
        <v>204</v>
      </c>
    </row>
    <row r="4093" spans="1:21">
      <c r="A4093" t="str">
        <f>"603999"</f>
        <v>603999</v>
      </c>
      <c r="B4093" t="s">
        <v>7858</v>
      </c>
      <c r="C4093">
        <v>0.8</v>
      </c>
      <c r="D4093">
        <v>5.02</v>
      </c>
      <c r="E4093">
        <v>0.04</v>
      </c>
      <c r="F4093">
        <v>5.01</v>
      </c>
      <c r="G4093">
        <v>5.02</v>
      </c>
      <c r="H4093">
        <v>19003</v>
      </c>
      <c r="I4093">
        <v>138</v>
      </c>
      <c r="J4093">
        <v>0</v>
      </c>
      <c r="K4093">
        <v>0.33</v>
      </c>
      <c r="L4093">
        <v>951.46</v>
      </c>
      <c r="M4093" t="s">
        <v>1067</v>
      </c>
      <c r="N4093" t="s">
        <v>650</v>
      </c>
      <c r="O4093">
        <v>4.96</v>
      </c>
      <c r="P4093">
        <v>5.04</v>
      </c>
      <c r="Q4093">
        <v>4.96</v>
      </c>
      <c r="R4093">
        <v>4.98</v>
      </c>
      <c r="S4093">
        <v>33.9</v>
      </c>
      <c r="T4093">
        <v>0.89</v>
      </c>
      <c r="U4093" t="s">
        <v>391</v>
      </c>
    </row>
    <row r="4094" spans="1:21">
      <c r="A4094" t="str">
        <f>"605001"</f>
        <v>605001</v>
      </c>
      <c r="B4094" t="s">
        <v>7859</v>
      </c>
      <c r="C4094">
        <v>1.24</v>
      </c>
      <c r="D4094">
        <v>8.15</v>
      </c>
      <c r="E4094">
        <v>0.1</v>
      </c>
      <c r="F4094">
        <v>8.15</v>
      </c>
      <c r="G4094">
        <v>8.16</v>
      </c>
      <c r="H4094">
        <v>8108</v>
      </c>
      <c r="I4094">
        <v>67</v>
      </c>
      <c r="J4094">
        <v>0</v>
      </c>
      <c r="K4094">
        <v>0.34</v>
      </c>
      <c r="L4094">
        <v>658.19</v>
      </c>
      <c r="M4094" t="s">
        <v>4381</v>
      </c>
      <c r="N4094" t="s">
        <v>43</v>
      </c>
      <c r="O4094">
        <v>8.06</v>
      </c>
      <c r="P4094">
        <v>8.16</v>
      </c>
      <c r="Q4094">
        <v>8.06</v>
      </c>
      <c r="R4094">
        <v>8.05</v>
      </c>
      <c r="S4094" t="s">
        <v>40</v>
      </c>
      <c r="T4094">
        <v>1.06</v>
      </c>
      <c r="U4094" t="s">
        <v>221</v>
      </c>
    </row>
    <row r="4095" spans="1:21">
      <c r="A4095" t="str">
        <f>"605003"</f>
        <v>605003</v>
      </c>
      <c r="B4095" t="s">
        <v>7860</v>
      </c>
      <c r="C4095">
        <v>-1.35</v>
      </c>
      <c r="D4095">
        <v>22.63</v>
      </c>
      <c r="E4095">
        <v>-0.31</v>
      </c>
      <c r="F4095">
        <v>22.59</v>
      </c>
      <c r="G4095">
        <v>22.63</v>
      </c>
      <c r="H4095">
        <v>6644</v>
      </c>
      <c r="I4095">
        <v>96</v>
      </c>
      <c r="J4095">
        <v>0.13</v>
      </c>
      <c r="K4095">
        <v>2.42</v>
      </c>
      <c r="L4095">
        <v>1494.77</v>
      </c>
      <c r="M4095" t="s">
        <v>6029</v>
      </c>
      <c r="N4095" t="s">
        <v>664</v>
      </c>
      <c r="O4095">
        <v>22.92</v>
      </c>
      <c r="P4095">
        <v>22.96</v>
      </c>
      <c r="Q4095">
        <v>22.12</v>
      </c>
      <c r="R4095">
        <v>22.94</v>
      </c>
      <c r="S4095">
        <v>17.12</v>
      </c>
      <c r="T4095">
        <v>1.26</v>
      </c>
      <c r="U4095" t="s">
        <v>200</v>
      </c>
    </row>
    <row r="4096" spans="1:21">
      <c r="A4096" t="str">
        <f>"605005"</f>
        <v>605005</v>
      </c>
      <c r="B4096" t="s">
        <v>7861</v>
      </c>
      <c r="C4096">
        <v>2.64</v>
      </c>
      <c r="D4096">
        <v>26.45</v>
      </c>
      <c r="E4096">
        <v>0.68</v>
      </c>
      <c r="F4096">
        <v>26.44</v>
      </c>
      <c r="G4096">
        <v>26.45</v>
      </c>
      <c r="H4096">
        <v>66867</v>
      </c>
      <c r="I4096">
        <v>1052</v>
      </c>
      <c r="J4096">
        <v>-0.22</v>
      </c>
      <c r="K4096">
        <v>16.68</v>
      </c>
      <c r="L4096">
        <v>17683.49</v>
      </c>
      <c r="M4096" t="s">
        <v>7862</v>
      </c>
      <c r="N4096" t="s">
        <v>91</v>
      </c>
      <c r="O4096">
        <v>25.89</v>
      </c>
      <c r="P4096">
        <v>27.4</v>
      </c>
      <c r="Q4096">
        <v>25.77</v>
      </c>
      <c r="R4096">
        <v>25.77</v>
      </c>
      <c r="S4096">
        <v>51.74</v>
      </c>
      <c r="T4096">
        <v>0.67</v>
      </c>
      <c r="U4096" t="s">
        <v>200</v>
      </c>
    </row>
    <row r="4097" spans="1:21">
      <c r="A4097" t="str">
        <f>"605006"</f>
        <v>605006</v>
      </c>
      <c r="B4097" t="s">
        <v>7863</v>
      </c>
      <c r="C4097">
        <v>-0.54</v>
      </c>
      <c r="D4097">
        <v>14.72</v>
      </c>
      <c r="E4097">
        <v>-0.08</v>
      </c>
      <c r="F4097">
        <v>14.72</v>
      </c>
      <c r="G4097">
        <v>14.73</v>
      </c>
      <c r="H4097">
        <v>72235</v>
      </c>
      <c r="I4097">
        <v>994</v>
      </c>
      <c r="J4097">
        <v>-0.06</v>
      </c>
      <c r="K4097">
        <v>3.06</v>
      </c>
      <c r="L4097">
        <v>10612.74</v>
      </c>
      <c r="M4097" t="s">
        <v>7864</v>
      </c>
      <c r="N4097" t="s">
        <v>55</v>
      </c>
      <c r="O4097">
        <v>14.79</v>
      </c>
      <c r="P4097">
        <v>14.86</v>
      </c>
      <c r="Q4097">
        <v>14.46</v>
      </c>
      <c r="R4097">
        <v>14.8</v>
      </c>
      <c r="S4097">
        <v>12.27</v>
      </c>
      <c r="T4097">
        <v>1</v>
      </c>
      <c r="U4097" t="s">
        <v>221</v>
      </c>
    </row>
    <row r="4098" spans="1:21">
      <c r="A4098" t="str">
        <f>"605007"</f>
        <v>605007</v>
      </c>
      <c r="B4098" t="s">
        <v>7865</v>
      </c>
      <c r="C4098">
        <v>-0.23</v>
      </c>
      <c r="D4098">
        <v>17.5</v>
      </c>
      <c r="E4098">
        <v>-0.04</v>
      </c>
      <c r="F4098">
        <v>17.49</v>
      </c>
      <c r="G4098">
        <v>17.5</v>
      </c>
      <c r="H4098">
        <v>7185</v>
      </c>
      <c r="I4098">
        <v>86</v>
      </c>
      <c r="J4098">
        <v>0.06</v>
      </c>
      <c r="K4098">
        <v>0.87</v>
      </c>
      <c r="L4098">
        <v>1250.87</v>
      </c>
      <c r="M4098" t="s">
        <v>7866</v>
      </c>
      <c r="N4098" t="s">
        <v>285</v>
      </c>
      <c r="O4098">
        <v>17.5</v>
      </c>
      <c r="P4098">
        <v>17.55</v>
      </c>
      <c r="Q4098">
        <v>17.22</v>
      </c>
      <c r="R4098">
        <v>17.54</v>
      </c>
      <c r="S4098">
        <v>16.71</v>
      </c>
      <c r="T4098">
        <v>0.37</v>
      </c>
      <c r="U4098" t="s">
        <v>200</v>
      </c>
    </row>
    <row r="4099" spans="1:21">
      <c r="A4099" t="str">
        <f>"605008"</f>
        <v>605008</v>
      </c>
      <c r="B4099" t="s">
        <v>7867</v>
      </c>
      <c r="C4099">
        <v>8.76</v>
      </c>
      <c r="D4099">
        <v>16.76</v>
      </c>
      <c r="E4099">
        <v>1.35</v>
      </c>
      <c r="F4099">
        <v>16.76</v>
      </c>
      <c r="G4099">
        <v>16.77</v>
      </c>
      <c r="H4099">
        <v>88558</v>
      </c>
      <c r="I4099">
        <v>1133</v>
      </c>
      <c r="J4099">
        <v>0.06</v>
      </c>
      <c r="K4099">
        <v>4.36</v>
      </c>
      <c r="L4099">
        <v>14465.8</v>
      </c>
      <c r="M4099" t="s">
        <v>7868</v>
      </c>
      <c r="N4099" t="s">
        <v>839</v>
      </c>
      <c r="O4099">
        <v>15.41</v>
      </c>
      <c r="P4099">
        <v>16.9</v>
      </c>
      <c r="Q4099">
        <v>15.36</v>
      </c>
      <c r="R4099">
        <v>15.41</v>
      </c>
      <c r="S4099">
        <v>50.15</v>
      </c>
      <c r="T4099">
        <v>3.18</v>
      </c>
      <c r="U4099" t="s">
        <v>200</v>
      </c>
    </row>
    <row r="4100" spans="1:21">
      <c r="A4100" t="str">
        <f>"605009"</f>
        <v>605009</v>
      </c>
      <c r="B4100" t="s">
        <v>7869</v>
      </c>
      <c r="C4100">
        <v>-0.6</v>
      </c>
      <c r="D4100">
        <v>54.33</v>
      </c>
      <c r="E4100">
        <v>-0.33</v>
      </c>
      <c r="F4100">
        <v>54.33</v>
      </c>
      <c r="G4100">
        <v>54.34</v>
      </c>
      <c r="H4100">
        <v>10881</v>
      </c>
      <c r="I4100">
        <v>159</v>
      </c>
      <c r="J4100">
        <v>0.09</v>
      </c>
      <c r="K4100">
        <v>1.94</v>
      </c>
      <c r="L4100">
        <v>5888.61</v>
      </c>
      <c r="M4100" t="s">
        <v>7870</v>
      </c>
      <c r="N4100" t="s">
        <v>285</v>
      </c>
      <c r="O4100">
        <v>54.6</v>
      </c>
      <c r="P4100">
        <v>54.6</v>
      </c>
      <c r="Q4100">
        <v>53.55</v>
      </c>
      <c r="R4100">
        <v>54.66</v>
      </c>
      <c r="S4100">
        <v>28.42</v>
      </c>
      <c r="T4100">
        <v>0.74</v>
      </c>
      <c r="U4100" t="s">
        <v>200</v>
      </c>
    </row>
    <row r="4101" spans="1:21">
      <c r="A4101" t="str">
        <f>"605011"</f>
        <v>605011</v>
      </c>
      <c r="B4101" t="s">
        <v>7871</v>
      </c>
      <c r="C4101">
        <v>-2.23</v>
      </c>
      <c r="D4101">
        <v>24.59</v>
      </c>
      <c r="E4101">
        <v>-0.56</v>
      </c>
      <c r="F4101">
        <v>24.58</v>
      </c>
      <c r="G4101">
        <v>24.59</v>
      </c>
      <c r="H4101">
        <v>54961</v>
      </c>
      <c r="I4101">
        <v>646</v>
      </c>
      <c r="J4101">
        <v>0</v>
      </c>
      <c r="K4101">
        <v>13.71</v>
      </c>
      <c r="L4101">
        <v>13434.03</v>
      </c>
      <c r="M4101" t="s">
        <v>7872</v>
      </c>
      <c r="N4101" t="s">
        <v>238</v>
      </c>
      <c r="O4101">
        <v>25</v>
      </c>
      <c r="P4101">
        <v>25.08</v>
      </c>
      <c r="Q4101">
        <v>24.03</v>
      </c>
      <c r="R4101">
        <v>25.15</v>
      </c>
      <c r="S4101">
        <v>39</v>
      </c>
      <c r="T4101">
        <v>1.12</v>
      </c>
      <c r="U4101" t="s">
        <v>200</v>
      </c>
    </row>
    <row r="4102" spans="1:21">
      <c r="A4102" t="str">
        <f>"605016"</f>
        <v>605016</v>
      </c>
      <c r="B4102" t="s">
        <v>7873</v>
      </c>
      <c r="C4102">
        <v>-1.09</v>
      </c>
      <c r="D4102">
        <v>29.92</v>
      </c>
      <c r="E4102">
        <v>-0.33</v>
      </c>
      <c r="F4102">
        <v>29.92</v>
      </c>
      <c r="G4102">
        <v>29.94</v>
      </c>
      <c r="H4102">
        <v>6723</v>
      </c>
      <c r="I4102">
        <v>53</v>
      </c>
      <c r="J4102">
        <v>-0.02</v>
      </c>
      <c r="K4102">
        <v>2.11</v>
      </c>
      <c r="L4102">
        <v>2023.96</v>
      </c>
      <c r="M4102" t="s">
        <v>7874</v>
      </c>
      <c r="N4102" t="s">
        <v>299</v>
      </c>
      <c r="O4102">
        <v>30.25</v>
      </c>
      <c r="P4102">
        <v>30.8</v>
      </c>
      <c r="Q4102">
        <v>29.7</v>
      </c>
      <c r="R4102">
        <v>30.25</v>
      </c>
      <c r="S4102">
        <v>37.92</v>
      </c>
      <c r="T4102">
        <v>0.72</v>
      </c>
      <c r="U4102" t="s">
        <v>221</v>
      </c>
    </row>
    <row r="4103" spans="1:21">
      <c r="A4103" t="str">
        <f>"605018"</f>
        <v>605018</v>
      </c>
      <c r="B4103" t="s">
        <v>7875</v>
      </c>
      <c r="C4103">
        <v>10</v>
      </c>
      <c r="D4103">
        <v>16.17</v>
      </c>
      <c r="E4103">
        <v>1.47</v>
      </c>
      <c r="F4103">
        <v>16.17</v>
      </c>
      <c r="G4103" t="s">
        <v>40</v>
      </c>
      <c r="H4103">
        <v>97241</v>
      </c>
      <c r="I4103">
        <v>65</v>
      </c>
      <c r="J4103">
        <v>0</v>
      </c>
      <c r="K4103">
        <v>23.33</v>
      </c>
      <c r="L4103">
        <v>15159.64</v>
      </c>
      <c r="M4103" t="s">
        <v>7876</v>
      </c>
      <c r="N4103" t="s">
        <v>91</v>
      </c>
      <c r="O4103">
        <v>14.3</v>
      </c>
      <c r="P4103">
        <v>16.17</v>
      </c>
      <c r="Q4103">
        <v>14.21</v>
      </c>
      <c r="R4103">
        <v>14.7</v>
      </c>
      <c r="S4103">
        <v>44.55</v>
      </c>
      <c r="T4103">
        <v>2.14</v>
      </c>
      <c r="U4103" t="s">
        <v>200</v>
      </c>
    </row>
    <row r="4104" spans="1:21">
      <c r="A4104" t="str">
        <f>"605020"</f>
        <v>605020</v>
      </c>
      <c r="B4104" t="s">
        <v>7877</v>
      </c>
      <c r="C4104">
        <v>0.33</v>
      </c>
      <c r="D4104">
        <v>30.76</v>
      </c>
      <c r="E4104">
        <v>0.1</v>
      </c>
      <c r="F4104">
        <v>30.76</v>
      </c>
      <c r="G4104">
        <v>30.77</v>
      </c>
      <c r="H4104">
        <v>46079</v>
      </c>
      <c r="I4104">
        <v>502</v>
      </c>
      <c r="J4104">
        <v>-0.02</v>
      </c>
      <c r="K4104">
        <v>6.91</v>
      </c>
      <c r="L4104">
        <v>14143.28</v>
      </c>
      <c r="M4104" t="s">
        <v>7878</v>
      </c>
      <c r="N4104" t="s">
        <v>309</v>
      </c>
      <c r="O4104">
        <v>30.51</v>
      </c>
      <c r="P4104">
        <v>31.33</v>
      </c>
      <c r="Q4104">
        <v>30.02</v>
      </c>
      <c r="R4104">
        <v>30.66</v>
      </c>
      <c r="S4104">
        <v>35.1</v>
      </c>
      <c r="T4104">
        <v>0.98</v>
      </c>
      <c r="U4104" t="s">
        <v>200</v>
      </c>
    </row>
    <row r="4105" spans="1:21">
      <c r="A4105" t="str">
        <f>"605028"</f>
        <v>605028</v>
      </c>
      <c r="B4105" t="s">
        <v>7879</v>
      </c>
      <c r="C4105">
        <v>-0.79</v>
      </c>
      <c r="D4105">
        <v>26.22</v>
      </c>
      <c r="E4105">
        <v>-0.21</v>
      </c>
      <c r="F4105">
        <v>26.22</v>
      </c>
      <c r="G4105">
        <v>26.23</v>
      </c>
      <c r="H4105">
        <v>53040</v>
      </c>
      <c r="I4105">
        <v>512</v>
      </c>
      <c r="J4105">
        <v>-0.22</v>
      </c>
      <c r="K4105">
        <v>13.26</v>
      </c>
      <c r="L4105">
        <v>13836.45</v>
      </c>
      <c r="M4105" t="s">
        <v>7880</v>
      </c>
      <c r="N4105" t="s">
        <v>238</v>
      </c>
      <c r="O4105">
        <v>26.48</v>
      </c>
      <c r="P4105">
        <v>26.5</v>
      </c>
      <c r="Q4105">
        <v>25.6</v>
      </c>
      <c r="R4105">
        <v>26.43</v>
      </c>
      <c r="S4105">
        <v>24.72</v>
      </c>
      <c r="T4105">
        <v>1.21</v>
      </c>
      <c r="U4105" t="s">
        <v>200</v>
      </c>
    </row>
    <row r="4106" spans="1:21">
      <c r="A4106" t="str">
        <f>"605033"</f>
        <v>605033</v>
      </c>
      <c r="B4106" t="s">
        <v>7881</v>
      </c>
      <c r="C4106">
        <v>1.35</v>
      </c>
      <c r="D4106">
        <v>15.73</v>
      </c>
      <c r="E4106">
        <v>0.21</v>
      </c>
      <c r="F4106">
        <v>15.73</v>
      </c>
      <c r="G4106">
        <v>15.74</v>
      </c>
      <c r="H4106">
        <v>20006</v>
      </c>
      <c r="I4106">
        <v>405</v>
      </c>
      <c r="J4106">
        <v>-0.18</v>
      </c>
      <c r="K4106">
        <v>5.92</v>
      </c>
      <c r="L4106">
        <v>3143.14</v>
      </c>
      <c r="M4106" t="s">
        <v>7882</v>
      </c>
      <c r="N4106" t="s">
        <v>241</v>
      </c>
      <c r="O4106">
        <v>15.59</v>
      </c>
      <c r="P4106">
        <v>15.89</v>
      </c>
      <c r="Q4106">
        <v>15.52</v>
      </c>
      <c r="R4106">
        <v>15.52</v>
      </c>
      <c r="S4106">
        <v>25.03</v>
      </c>
      <c r="T4106">
        <v>0.67</v>
      </c>
      <c r="U4106" t="s">
        <v>317</v>
      </c>
    </row>
    <row r="4107" spans="1:21">
      <c r="A4107" t="str">
        <f>"605050"</f>
        <v>605050</v>
      </c>
      <c r="B4107" t="s">
        <v>7883</v>
      </c>
      <c r="C4107">
        <v>0.36</v>
      </c>
      <c r="D4107">
        <v>11.29</v>
      </c>
      <c r="E4107">
        <v>0.04</v>
      </c>
      <c r="F4107">
        <v>11.28</v>
      </c>
      <c r="G4107">
        <v>11.29</v>
      </c>
      <c r="H4107">
        <v>42903</v>
      </c>
      <c r="I4107">
        <v>1146</v>
      </c>
      <c r="J4107">
        <v>0</v>
      </c>
      <c r="K4107">
        <v>2.83</v>
      </c>
      <c r="L4107">
        <v>4872.13</v>
      </c>
      <c r="M4107" t="s">
        <v>7884</v>
      </c>
      <c r="N4107" t="s">
        <v>1049</v>
      </c>
      <c r="O4107">
        <v>11.24</v>
      </c>
      <c r="P4107">
        <v>11.5</v>
      </c>
      <c r="Q4107">
        <v>11.2</v>
      </c>
      <c r="R4107">
        <v>11.25</v>
      </c>
      <c r="S4107">
        <v>14.53</v>
      </c>
      <c r="T4107">
        <v>0.96</v>
      </c>
      <c r="U4107" t="s">
        <v>848</v>
      </c>
    </row>
    <row r="4108" spans="1:21">
      <c r="A4108" t="str">
        <f>"605055"</f>
        <v>605055</v>
      </c>
      <c r="B4108" t="s">
        <v>7885</v>
      </c>
      <c r="C4108">
        <v>0.27</v>
      </c>
      <c r="D4108">
        <v>7.47</v>
      </c>
      <c r="E4108">
        <v>0.02</v>
      </c>
      <c r="F4108">
        <v>7.46</v>
      </c>
      <c r="G4108">
        <v>7.47</v>
      </c>
      <c r="H4108">
        <v>20488</v>
      </c>
      <c r="I4108">
        <v>601</v>
      </c>
      <c r="J4108">
        <v>0</v>
      </c>
      <c r="K4108">
        <v>2.56</v>
      </c>
      <c r="L4108">
        <v>1518.51</v>
      </c>
      <c r="M4108" t="s">
        <v>7886</v>
      </c>
      <c r="N4108" t="s">
        <v>664</v>
      </c>
      <c r="O4108">
        <v>7.46</v>
      </c>
      <c r="P4108">
        <v>7.51</v>
      </c>
      <c r="Q4108">
        <v>7.33</v>
      </c>
      <c r="R4108">
        <v>7.45</v>
      </c>
      <c r="S4108">
        <v>39.78</v>
      </c>
      <c r="T4108">
        <v>0.97</v>
      </c>
      <c r="U4108" t="s">
        <v>200</v>
      </c>
    </row>
    <row r="4109" spans="1:21">
      <c r="A4109" t="str">
        <f>"605056"</f>
        <v>605056</v>
      </c>
      <c r="B4109" t="s">
        <v>7887</v>
      </c>
      <c r="C4109">
        <v>-0.21</v>
      </c>
      <c r="D4109">
        <v>19.07</v>
      </c>
      <c r="E4109">
        <v>-0.04</v>
      </c>
      <c r="F4109">
        <v>19.07</v>
      </c>
      <c r="G4109">
        <v>19.08</v>
      </c>
      <c r="H4109">
        <v>20035</v>
      </c>
      <c r="I4109">
        <v>281</v>
      </c>
      <c r="J4109">
        <v>-0.04</v>
      </c>
      <c r="K4109">
        <v>5.01</v>
      </c>
      <c r="L4109">
        <v>3782.94</v>
      </c>
      <c r="M4109" t="s">
        <v>7888</v>
      </c>
      <c r="N4109" t="s">
        <v>1028</v>
      </c>
      <c r="O4109">
        <v>19.01</v>
      </c>
      <c r="P4109">
        <v>19.2</v>
      </c>
      <c r="Q4109">
        <v>18.51</v>
      </c>
      <c r="R4109">
        <v>19.11</v>
      </c>
      <c r="S4109">
        <v>49.77</v>
      </c>
      <c r="T4109">
        <v>0.7</v>
      </c>
      <c r="U4109" t="s">
        <v>200</v>
      </c>
    </row>
    <row r="4110" spans="1:21">
      <c r="A4110" t="str">
        <f>"605058"</f>
        <v>605058</v>
      </c>
      <c r="B4110" t="s">
        <v>7889</v>
      </c>
      <c r="C4110">
        <v>1.8</v>
      </c>
      <c r="D4110">
        <v>25.45</v>
      </c>
      <c r="E4110">
        <v>0.45</v>
      </c>
      <c r="F4110">
        <v>25.44</v>
      </c>
      <c r="G4110">
        <v>25.45</v>
      </c>
      <c r="H4110">
        <v>15243</v>
      </c>
      <c r="I4110">
        <v>210</v>
      </c>
      <c r="J4110">
        <v>0.2</v>
      </c>
      <c r="K4110">
        <v>4.27</v>
      </c>
      <c r="L4110">
        <v>3867.12</v>
      </c>
      <c r="M4110" t="s">
        <v>7890</v>
      </c>
      <c r="N4110" t="s">
        <v>69</v>
      </c>
      <c r="O4110">
        <v>24.98</v>
      </c>
      <c r="P4110">
        <v>25.6</v>
      </c>
      <c r="Q4110">
        <v>24.86</v>
      </c>
      <c r="R4110">
        <v>25</v>
      </c>
      <c r="S4110">
        <v>23.05</v>
      </c>
      <c r="T4110">
        <v>0.93</v>
      </c>
      <c r="U4110" t="s">
        <v>102</v>
      </c>
    </row>
    <row r="4111" spans="1:21">
      <c r="A4111" t="str">
        <f>"605060"</f>
        <v>605060</v>
      </c>
      <c r="B4111" t="s">
        <v>7891</v>
      </c>
      <c r="C4111">
        <v>1.02</v>
      </c>
      <c r="D4111">
        <v>17.8</v>
      </c>
      <c r="E4111">
        <v>0.18</v>
      </c>
      <c r="F4111">
        <v>17.79</v>
      </c>
      <c r="G4111">
        <v>17.8</v>
      </c>
      <c r="H4111">
        <v>36185</v>
      </c>
      <c r="I4111">
        <v>473</v>
      </c>
      <c r="J4111">
        <v>0.11</v>
      </c>
      <c r="K4111">
        <v>6.03</v>
      </c>
      <c r="L4111">
        <v>6479.55</v>
      </c>
      <c r="M4111" t="s">
        <v>7892</v>
      </c>
      <c r="N4111" t="s">
        <v>347</v>
      </c>
      <c r="O4111">
        <v>17.6</v>
      </c>
      <c r="P4111">
        <v>18.18</v>
      </c>
      <c r="Q4111">
        <v>17.5</v>
      </c>
      <c r="R4111">
        <v>17.62</v>
      </c>
      <c r="S4111">
        <v>25.04</v>
      </c>
      <c r="T4111">
        <v>0.74</v>
      </c>
      <c r="U4111" t="s">
        <v>200</v>
      </c>
    </row>
    <row r="4112" spans="1:21">
      <c r="A4112" t="str">
        <f>"605066"</f>
        <v>605066</v>
      </c>
      <c r="B4112" t="s">
        <v>7893</v>
      </c>
      <c r="C4112">
        <v>1.94</v>
      </c>
      <c r="D4112">
        <v>12.59</v>
      </c>
      <c r="E4112">
        <v>0.24</v>
      </c>
      <c r="F4112">
        <v>12.58</v>
      </c>
      <c r="G4112">
        <v>12.59</v>
      </c>
      <c r="H4112">
        <v>143345</v>
      </c>
      <c r="I4112">
        <v>1064</v>
      </c>
      <c r="J4112">
        <v>0.16</v>
      </c>
      <c r="K4112">
        <v>6.28</v>
      </c>
      <c r="L4112">
        <v>17982.18</v>
      </c>
      <c r="M4112" t="s">
        <v>7894</v>
      </c>
      <c r="N4112" t="s">
        <v>47</v>
      </c>
      <c r="O4112">
        <v>12.34</v>
      </c>
      <c r="P4112">
        <v>12.72</v>
      </c>
      <c r="Q4112">
        <v>12.2</v>
      </c>
      <c r="R4112">
        <v>12.35</v>
      </c>
      <c r="S4112">
        <v>24.34</v>
      </c>
      <c r="T4112">
        <v>0.97</v>
      </c>
      <c r="U4112" t="s">
        <v>200</v>
      </c>
    </row>
    <row r="4113" spans="1:21">
      <c r="A4113" t="str">
        <f>"605068"</f>
        <v>605068</v>
      </c>
      <c r="B4113" t="s">
        <v>7895</v>
      </c>
      <c r="C4113">
        <v>0.58</v>
      </c>
      <c r="D4113">
        <v>36.23</v>
      </c>
      <c r="E4113">
        <v>0.21</v>
      </c>
      <c r="F4113">
        <v>36.2</v>
      </c>
      <c r="G4113">
        <v>36.23</v>
      </c>
      <c r="H4113">
        <v>9444</v>
      </c>
      <c r="I4113">
        <v>26</v>
      </c>
      <c r="J4113">
        <v>0.14</v>
      </c>
      <c r="K4113">
        <v>2.28</v>
      </c>
      <c r="L4113">
        <v>3417.94</v>
      </c>
      <c r="M4113" t="s">
        <v>7896</v>
      </c>
      <c r="N4113" t="s">
        <v>91</v>
      </c>
      <c r="O4113">
        <v>36.02</v>
      </c>
      <c r="P4113">
        <v>36.73</v>
      </c>
      <c r="Q4113">
        <v>35.68</v>
      </c>
      <c r="R4113">
        <v>36.02</v>
      </c>
      <c r="S4113">
        <v>31.54</v>
      </c>
      <c r="T4113">
        <v>0.46</v>
      </c>
      <c r="U4113" t="s">
        <v>200</v>
      </c>
    </row>
    <row r="4114" spans="1:21">
      <c r="A4114" t="str">
        <f>"605069"</f>
        <v>605069</v>
      </c>
      <c r="B4114" t="s">
        <v>7897</v>
      </c>
      <c r="C4114">
        <v>-0.21</v>
      </c>
      <c r="D4114">
        <v>18.78</v>
      </c>
      <c r="E4114">
        <v>-0.04</v>
      </c>
      <c r="F4114">
        <v>18.78</v>
      </c>
      <c r="G4114">
        <v>18.79</v>
      </c>
      <c r="H4114">
        <v>14930</v>
      </c>
      <c r="I4114">
        <v>301</v>
      </c>
      <c r="J4114">
        <v>0</v>
      </c>
      <c r="K4114">
        <v>3.67</v>
      </c>
      <c r="L4114">
        <v>2794.72</v>
      </c>
      <c r="M4114" t="s">
        <v>2231</v>
      </c>
      <c r="N4114" t="s">
        <v>33</v>
      </c>
      <c r="O4114">
        <v>18.82</v>
      </c>
      <c r="P4114">
        <v>18.88</v>
      </c>
      <c r="Q4114">
        <v>18.53</v>
      </c>
      <c r="R4114">
        <v>18.82</v>
      </c>
      <c r="S4114">
        <v>24.73</v>
      </c>
      <c r="T4114">
        <v>0.76</v>
      </c>
      <c r="U4114" t="s">
        <v>44</v>
      </c>
    </row>
    <row r="4115" spans="1:21">
      <c r="A4115" t="str">
        <f>"605077"</f>
        <v>605077</v>
      </c>
      <c r="B4115" t="s">
        <v>7898</v>
      </c>
      <c r="C4115">
        <v>0.39</v>
      </c>
      <c r="D4115">
        <v>43.87</v>
      </c>
      <c r="E4115">
        <v>0.17</v>
      </c>
      <c r="F4115">
        <v>43.86</v>
      </c>
      <c r="G4115">
        <v>43.87</v>
      </c>
      <c r="H4115">
        <v>3939</v>
      </c>
      <c r="I4115">
        <v>92</v>
      </c>
      <c r="J4115">
        <v>-0.08</v>
      </c>
      <c r="K4115">
        <v>0.97</v>
      </c>
      <c r="L4115">
        <v>1721.89</v>
      </c>
      <c r="M4115" t="s">
        <v>7899</v>
      </c>
      <c r="N4115" t="s">
        <v>299</v>
      </c>
      <c r="O4115">
        <v>43.5</v>
      </c>
      <c r="P4115">
        <v>44.54</v>
      </c>
      <c r="Q4115">
        <v>43.28</v>
      </c>
      <c r="R4115">
        <v>43.7</v>
      </c>
      <c r="S4115">
        <v>29.23</v>
      </c>
      <c r="T4115">
        <v>0.55</v>
      </c>
      <c r="U4115" t="s">
        <v>200</v>
      </c>
    </row>
    <row r="4116" spans="1:21">
      <c r="A4116" t="str">
        <f>"605080"</f>
        <v>605080</v>
      </c>
      <c r="B4116" t="s">
        <v>7900</v>
      </c>
      <c r="C4116">
        <v>-2.03</v>
      </c>
      <c r="D4116">
        <v>69.5</v>
      </c>
      <c r="E4116">
        <v>-1.44</v>
      </c>
      <c r="F4116">
        <v>69.5</v>
      </c>
      <c r="G4116">
        <v>69.79</v>
      </c>
      <c r="H4116">
        <v>4459</v>
      </c>
      <c r="I4116">
        <v>25</v>
      </c>
      <c r="J4116">
        <v>0</v>
      </c>
      <c r="K4116">
        <v>1.76</v>
      </c>
      <c r="L4116">
        <v>3088.13</v>
      </c>
      <c r="M4116" t="s">
        <v>7901</v>
      </c>
      <c r="N4116" t="s">
        <v>664</v>
      </c>
      <c r="O4116">
        <v>70.94</v>
      </c>
      <c r="P4116">
        <v>71</v>
      </c>
      <c r="Q4116">
        <v>67.66</v>
      </c>
      <c r="R4116">
        <v>70.94</v>
      </c>
      <c r="S4116">
        <v>28.79</v>
      </c>
      <c r="T4116">
        <v>1.24</v>
      </c>
      <c r="U4116" t="s">
        <v>200</v>
      </c>
    </row>
    <row r="4117" spans="1:21">
      <c r="A4117" t="str">
        <f>"605081"</f>
        <v>605081</v>
      </c>
      <c r="B4117" t="s">
        <v>7902</v>
      </c>
      <c r="C4117">
        <v>0.66</v>
      </c>
      <c r="D4117">
        <v>32.04</v>
      </c>
      <c r="E4117">
        <v>0.21</v>
      </c>
      <c r="F4117">
        <v>32</v>
      </c>
      <c r="G4117">
        <v>32.04</v>
      </c>
      <c r="H4117">
        <v>2630</v>
      </c>
      <c r="I4117">
        <v>31</v>
      </c>
      <c r="J4117">
        <v>0</v>
      </c>
      <c r="K4117">
        <v>1.35</v>
      </c>
      <c r="L4117">
        <v>839.92</v>
      </c>
      <c r="M4117" t="s">
        <v>2962</v>
      </c>
      <c r="N4117" t="s">
        <v>33</v>
      </c>
      <c r="O4117">
        <v>31.8</v>
      </c>
      <c r="P4117">
        <v>32.17</v>
      </c>
      <c r="Q4117">
        <v>31.64</v>
      </c>
      <c r="R4117">
        <v>31.83</v>
      </c>
      <c r="S4117">
        <v>34.11</v>
      </c>
      <c r="T4117">
        <v>0.64</v>
      </c>
      <c r="U4117" t="s">
        <v>848</v>
      </c>
    </row>
    <row r="4118" spans="1:21">
      <c r="A4118" t="str">
        <f>"605086"</f>
        <v>605086</v>
      </c>
      <c r="B4118" t="s">
        <v>7903</v>
      </c>
      <c r="C4118">
        <v>1.67</v>
      </c>
      <c r="D4118">
        <v>23.15</v>
      </c>
      <c r="E4118">
        <v>0.38</v>
      </c>
      <c r="F4118">
        <v>23.15</v>
      </c>
      <c r="G4118">
        <v>23.16</v>
      </c>
      <c r="H4118">
        <v>8679</v>
      </c>
      <c r="I4118">
        <v>442</v>
      </c>
      <c r="J4118">
        <v>0.7</v>
      </c>
      <c r="K4118">
        <v>2.71</v>
      </c>
      <c r="L4118">
        <v>1994.45</v>
      </c>
      <c r="M4118" t="s">
        <v>7782</v>
      </c>
      <c r="N4118" t="s">
        <v>750</v>
      </c>
      <c r="O4118">
        <v>22.8</v>
      </c>
      <c r="P4118">
        <v>23.17</v>
      </c>
      <c r="Q4118">
        <v>22.71</v>
      </c>
      <c r="R4118">
        <v>22.77</v>
      </c>
      <c r="S4118">
        <v>31.85</v>
      </c>
      <c r="T4118">
        <v>0.88</v>
      </c>
      <c r="U4118" t="s">
        <v>339</v>
      </c>
    </row>
    <row r="4119" spans="1:21">
      <c r="A4119" t="str">
        <f>"605088"</f>
        <v>605088</v>
      </c>
      <c r="B4119" t="s">
        <v>7904</v>
      </c>
      <c r="C4119">
        <v>1.59</v>
      </c>
      <c r="D4119">
        <v>15.95</v>
      </c>
      <c r="E4119">
        <v>0.25</v>
      </c>
      <c r="F4119">
        <v>15.95</v>
      </c>
      <c r="G4119">
        <v>15.97</v>
      </c>
      <c r="H4119">
        <v>22285</v>
      </c>
      <c r="I4119">
        <v>332</v>
      </c>
      <c r="J4119">
        <v>-0.05</v>
      </c>
      <c r="K4119">
        <v>2.99</v>
      </c>
      <c r="L4119">
        <v>3560.73</v>
      </c>
      <c r="M4119" t="s">
        <v>7905</v>
      </c>
      <c r="N4119" t="s">
        <v>91</v>
      </c>
      <c r="O4119">
        <v>15.74</v>
      </c>
      <c r="P4119">
        <v>16.14</v>
      </c>
      <c r="Q4119">
        <v>15.7</v>
      </c>
      <c r="R4119">
        <v>15.7</v>
      </c>
      <c r="S4119">
        <v>19.63</v>
      </c>
      <c r="T4119">
        <v>0.6</v>
      </c>
      <c r="U4119" t="s">
        <v>200</v>
      </c>
    </row>
    <row r="4120" spans="1:21">
      <c r="A4120" t="str">
        <f>"605089"</f>
        <v>605089</v>
      </c>
      <c r="B4120" t="s">
        <v>7906</v>
      </c>
      <c r="C4120">
        <v>-1.9</v>
      </c>
      <c r="D4120">
        <v>75.54</v>
      </c>
      <c r="E4120">
        <v>-1.46</v>
      </c>
      <c r="F4120">
        <v>75.54</v>
      </c>
      <c r="G4120">
        <v>75.56</v>
      </c>
      <c r="H4120">
        <v>24048</v>
      </c>
      <c r="I4120">
        <v>239</v>
      </c>
      <c r="J4120">
        <v>0.12</v>
      </c>
      <c r="K4120">
        <v>9.62</v>
      </c>
      <c r="L4120">
        <v>18242.99</v>
      </c>
      <c r="M4120" t="s">
        <v>7907</v>
      </c>
      <c r="N4120" t="s">
        <v>299</v>
      </c>
      <c r="O4120">
        <v>77</v>
      </c>
      <c r="P4120">
        <v>78.32</v>
      </c>
      <c r="Q4120">
        <v>74.64</v>
      </c>
      <c r="R4120">
        <v>77</v>
      </c>
      <c r="S4120">
        <v>55.23</v>
      </c>
      <c r="T4120">
        <v>0.79</v>
      </c>
      <c r="U4120" t="s">
        <v>102</v>
      </c>
    </row>
    <row r="4121" spans="1:21">
      <c r="A4121" t="str">
        <f>"605090"</f>
        <v>605090</v>
      </c>
      <c r="B4121" t="s">
        <v>7908</v>
      </c>
      <c r="C4121">
        <v>6.73</v>
      </c>
      <c r="D4121">
        <v>35.2</v>
      </c>
      <c r="E4121">
        <v>2.22</v>
      </c>
      <c r="F4121">
        <v>35.18</v>
      </c>
      <c r="G4121">
        <v>35.2</v>
      </c>
      <c r="H4121">
        <v>115742</v>
      </c>
      <c r="I4121">
        <v>1222</v>
      </c>
      <c r="J4121">
        <v>-0.13</v>
      </c>
      <c r="K4121">
        <v>13.95</v>
      </c>
      <c r="L4121">
        <v>39506.91</v>
      </c>
      <c r="M4121" t="s">
        <v>7909</v>
      </c>
      <c r="N4121" t="s">
        <v>238</v>
      </c>
      <c r="O4121">
        <v>32.62</v>
      </c>
      <c r="P4121">
        <v>35.53</v>
      </c>
      <c r="Q4121">
        <v>31.7</v>
      </c>
      <c r="R4121">
        <v>32.98</v>
      </c>
      <c r="S4121">
        <v>19.2</v>
      </c>
      <c r="T4121">
        <v>1.88</v>
      </c>
      <c r="U4121" t="s">
        <v>235</v>
      </c>
    </row>
    <row r="4122" spans="1:21">
      <c r="A4122" t="str">
        <f>"605098"</f>
        <v>605098</v>
      </c>
      <c r="B4122" t="s">
        <v>7910</v>
      </c>
      <c r="C4122">
        <v>-2.36</v>
      </c>
      <c r="D4122">
        <v>48.06</v>
      </c>
      <c r="E4122">
        <v>-1.16</v>
      </c>
      <c r="F4122">
        <v>48.06</v>
      </c>
      <c r="G4122">
        <v>48.1</v>
      </c>
      <c r="H4122">
        <v>9476</v>
      </c>
      <c r="I4122">
        <v>139</v>
      </c>
      <c r="J4122">
        <v>0.25</v>
      </c>
      <c r="K4122">
        <v>4.49</v>
      </c>
      <c r="L4122">
        <v>4586.49</v>
      </c>
      <c r="M4122" t="s">
        <v>7911</v>
      </c>
      <c r="N4122" t="s">
        <v>63</v>
      </c>
      <c r="O4122">
        <v>49.13</v>
      </c>
      <c r="P4122">
        <v>49.8</v>
      </c>
      <c r="Q4122">
        <v>47.57</v>
      </c>
      <c r="R4122">
        <v>49.22</v>
      </c>
      <c r="S4122">
        <v>27.86</v>
      </c>
      <c r="T4122">
        <v>1.16</v>
      </c>
      <c r="U4122" t="s">
        <v>848</v>
      </c>
    </row>
    <row r="4123" spans="1:21">
      <c r="A4123" t="str">
        <f>"605099"</f>
        <v>605099</v>
      </c>
      <c r="B4123" t="s">
        <v>7912</v>
      </c>
      <c r="C4123">
        <v>3.36</v>
      </c>
      <c r="D4123">
        <v>38.76</v>
      </c>
      <c r="E4123">
        <v>1.26</v>
      </c>
      <c r="F4123">
        <v>38.75</v>
      </c>
      <c r="G4123">
        <v>38.76</v>
      </c>
      <c r="H4123">
        <v>22202</v>
      </c>
      <c r="I4123">
        <v>203</v>
      </c>
      <c r="J4123">
        <v>0.05</v>
      </c>
      <c r="K4123">
        <v>5.54</v>
      </c>
      <c r="L4123">
        <v>8476.74</v>
      </c>
      <c r="M4123" t="s">
        <v>7913</v>
      </c>
      <c r="N4123" t="s">
        <v>63</v>
      </c>
      <c r="O4123">
        <v>37.5</v>
      </c>
      <c r="P4123">
        <v>39.28</v>
      </c>
      <c r="Q4123">
        <v>36.68</v>
      </c>
      <c r="R4123">
        <v>37.5</v>
      </c>
      <c r="S4123">
        <v>36.49</v>
      </c>
      <c r="T4123">
        <v>1.52</v>
      </c>
      <c r="U4123" t="s">
        <v>102</v>
      </c>
    </row>
    <row r="4124" spans="1:21">
      <c r="A4124" t="str">
        <f>"605100"</f>
        <v>605100</v>
      </c>
      <c r="B4124" t="s">
        <v>7914</v>
      </c>
      <c r="C4124">
        <v>1</v>
      </c>
      <c r="D4124">
        <v>24.19</v>
      </c>
      <c r="E4124">
        <v>0.24</v>
      </c>
      <c r="F4124">
        <v>24.19</v>
      </c>
      <c r="G4124">
        <v>24.2</v>
      </c>
      <c r="H4124">
        <v>5139</v>
      </c>
      <c r="I4124">
        <v>37</v>
      </c>
      <c r="J4124">
        <v>0</v>
      </c>
      <c r="K4124">
        <v>0.94</v>
      </c>
      <c r="L4124">
        <v>1238.59</v>
      </c>
      <c r="M4124" t="s">
        <v>3666</v>
      </c>
      <c r="N4124" t="s">
        <v>347</v>
      </c>
      <c r="O4124">
        <v>23.91</v>
      </c>
      <c r="P4124">
        <v>24.24</v>
      </c>
      <c r="Q4124">
        <v>23.89</v>
      </c>
      <c r="R4124">
        <v>23.95</v>
      </c>
      <c r="S4124">
        <v>16.98</v>
      </c>
      <c r="T4124">
        <v>0.71</v>
      </c>
      <c r="U4124" t="s">
        <v>221</v>
      </c>
    </row>
    <row r="4125" spans="1:21">
      <c r="A4125" t="str">
        <f>"605108"</f>
        <v>605108</v>
      </c>
      <c r="B4125" t="s">
        <v>7915</v>
      </c>
      <c r="C4125">
        <v>0.4</v>
      </c>
      <c r="D4125">
        <v>17.51</v>
      </c>
      <c r="E4125">
        <v>0.07</v>
      </c>
      <c r="F4125">
        <v>17.5</v>
      </c>
      <c r="G4125">
        <v>17.51</v>
      </c>
      <c r="H4125">
        <v>9330</v>
      </c>
      <c r="I4125">
        <v>87</v>
      </c>
      <c r="J4125">
        <v>0.06</v>
      </c>
      <c r="K4125">
        <v>1.14</v>
      </c>
      <c r="L4125">
        <v>1638.75</v>
      </c>
      <c r="M4125" t="s">
        <v>2298</v>
      </c>
      <c r="N4125" t="s">
        <v>39</v>
      </c>
      <c r="O4125">
        <v>17.44</v>
      </c>
      <c r="P4125">
        <v>17.88</v>
      </c>
      <c r="Q4125">
        <v>17.3</v>
      </c>
      <c r="R4125">
        <v>17.44</v>
      </c>
      <c r="S4125">
        <v>42.93</v>
      </c>
      <c r="T4125">
        <v>0.81</v>
      </c>
      <c r="U4125" t="s">
        <v>193</v>
      </c>
    </row>
    <row r="4126" spans="1:21">
      <c r="A4126" t="str">
        <f>"605111"</f>
        <v>605111</v>
      </c>
      <c r="B4126" t="s">
        <v>7916</v>
      </c>
      <c r="C4126">
        <v>5.14</v>
      </c>
      <c r="D4126">
        <v>213.26</v>
      </c>
      <c r="E4126">
        <v>10.43</v>
      </c>
      <c r="F4126">
        <v>213.25</v>
      </c>
      <c r="G4126">
        <v>213.26</v>
      </c>
      <c r="H4126">
        <v>56424</v>
      </c>
      <c r="I4126">
        <v>369</v>
      </c>
      <c r="J4126">
        <v>0.08</v>
      </c>
      <c r="K4126">
        <v>5.56</v>
      </c>
      <c r="L4126">
        <v>119327.23</v>
      </c>
      <c r="M4126" t="s">
        <v>7917</v>
      </c>
      <c r="N4126" t="s">
        <v>1246</v>
      </c>
      <c r="O4126">
        <v>202.67</v>
      </c>
      <c r="P4126">
        <v>216.27</v>
      </c>
      <c r="Q4126">
        <v>201.17</v>
      </c>
      <c r="R4126">
        <v>202.83</v>
      </c>
      <c r="S4126">
        <v>72.92</v>
      </c>
      <c r="T4126">
        <v>0.94</v>
      </c>
      <c r="U4126" t="s">
        <v>102</v>
      </c>
    </row>
    <row r="4127" spans="1:21">
      <c r="A4127" t="str">
        <f>"605116"</f>
        <v>605116</v>
      </c>
      <c r="B4127" t="s">
        <v>7918</v>
      </c>
      <c r="C4127">
        <v>0.65</v>
      </c>
      <c r="D4127">
        <v>13.93</v>
      </c>
      <c r="E4127">
        <v>0.09</v>
      </c>
      <c r="F4127">
        <v>13.93</v>
      </c>
      <c r="G4127">
        <v>13.94</v>
      </c>
      <c r="H4127">
        <v>7628</v>
      </c>
      <c r="I4127">
        <v>136</v>
      </c>
      <c r="J4127">
        <v>-0.2</v>
      </c>
      <c r="K4127">
        <v>0.99</v>
      </c>
      <c r="L4127">
        <v>1060.71</v>
      </c>
      <c r="M4127" t="s">
        <v>4581</v>
      </c>
      <c r="N4127" t="s">
        <v>192</v>
      </c>
      <c r="O4127">
        <v>13.84</v>
      </c>
      <c r="P4127">
        <v>13.98</v>
      </c>
      <c r="Q4127">
        <v>13.65</v>
      </c>
      <c r="R4127">
        <v>13.84</v>
      </c>
      <c r="S4127">
        <v>31.38</v>
      </c>
      <c r="T4127">
        <v>0.88</v>
      </c>
      <c r="U4127" t="s">
        <v>200</v>
      </c>
    </row>
    <row r="4128" spans="1:21">
      <c r="A4128" t="str">
        <f>"605117"</f>
        <v>605117</v>
      </c>
      <c r="B4128" t="s">
        <v>7919</v>
      </c>
      <c r="C4128">
        <v>0.37</v>
      </c>
      <c r="D4128">
        <v>278.02</v>
      </c>
      <c r="E4128">
        <v>1.02</v>
      </c>
      <c r="F4128">
        <v>278.02</v>
      </c>
      <c r="G4128">
        <v>278.03</v>
      </c>
      <c r="H4128">
        <v>16001</v>
      </c>
      <c r="I4128">
        <v>166</v>
      </c>
      <c r="J4128">
        <v>-0.36</v>
      </c>
      <c r="K4128">
        <v>3.75</v>
      </c>
      <c r="L4128">
        <v>44517.23</v>
      </c>
      <c r="M4128" t="s">
        <v>7920</v>
      </c>
      <c r="N4128" t="s">
        <v>60</v>
      </c>
      <c r="O4128">
        <v>271.5</v>
      </c>
      <c r="P4128">
        <v>283.83</v>
      </c>
      <c r="Q4128">
        <v>271.5</v>
      </c>
      <c r="R4128">
        <v>277</v>
      </c>
      <c r="S4128">
        <v>88.82</v>
      </c>
      <c r="T4128">
        <v>0.69</v>
      </c>
      <c r="U4128" t="s">
        <v>200</v>
      </c>
    </row>
    <row r="4129" spans="1:21">
      <c r="A4129" t="str">
        <f>"605118"</f>
        <v>605118</v>
      </c>
      <c r="B4129" t="s">
        <v>7921</v>
      </c>
      <c r="C4129">
        <v>0.8</v>
      </c>
      <c r="D4129">
        <v>15.14</v>
      </c>
      <c r="E4129">
        <v>0.12</v>
      </c>
      <c r="F4129">
        <v>15.13</v>
      </c>
      <c r="G4129">
        <v>15.14</v>
      </c>
      <c r="H4129">
        <v>61266</v>
      </c>
      <c r="I4129">
        <v>766</v>
      </c>
      <c r="J4129">
        <v>0.66</v>
      </c>
      <c r="K4129">
        <v>14.94</v>
      </c>
      <c r="L4129">
        <v>9160.91</v>
      </c>
      <c r="M4129" t="s">
        <v>7922</v>
      </c>
      <c r="N4129" t="s">
        <v>69</v>
      </c>
      <c r="O4129">
        <v>14.77</v>
      </c>
      <c r="P4129">
        <v>15.3</v>
      </c>
      <c r="Q4129">
        <v>14.5</v>
      </c>
      <c r="R4129">
        <v>15.02</v>
      </c>
      <c r="S4129">
        <v>39.97</v>
      </c>
      <c r="T4129">
        <v>1.3</v>
      </c>
      <c r="U4129" t="s">
        <v>339</v>
      </c>
    </row>
    <row r="4130" spans="1:21">
      <c r="A4130" t="str">
        <f>"605122"</f>
        <v>605122</v>
      </c>
      <c r="B4130" t="s">
        <v>7923</v>
      </c>
      <c r="C4130">
        <v>0.28</v>
      </c>
      <c r="D4130">
        <v>21.29</v>
      </c>
      <c r="E4130">
        <v>0.06</v>
      </c>
      <c r="F4130">
        <v>21.28</v>
      </c>
      <c r="G4130">
        <v>21.29</v>
      </c>
      <c r="H4130">
        <v>5291</v>
      </c>
      <c r="I4130">
        <v>166</v>
      </c>
      <c r="J4130">
        <v>0.09</v>
      </c>
      <c r="K4130">
        <v>1.22</v>
      </c>
      <c r="L4130">
        <v>1118.95</v>
      </c>
      <c r="M4130" t="s">
        <v>1734</v>
      </c>
      <c r="N4130" t="s">
        <v>75</v>
      </c>
      <c r="O4130">
        <v>21.23</v>
      </c>
      <c r="P4130">
        <v>21.3</v>
      </c>
      <c r="Q4130">
        <v>21.02</v>
      </c>
      <c r="R4130">
        <v>21.23</v>
      </c>
      <c r="S4130">
        <v>26.17</v>
      </c>
      <c r="T4130">
        <v>0.76</v>
      </c>
      <c r="U4130" t="s">
        <v>314</v>
      </c>
    </row>
    <row r="4131" spans="1:21">
      <c r="A4131" t="str">
        <f>"605123"</f>
        <v>605123</v>
      </c>
      <c r="B4131" t="s">
        <v>7924</v>
      </c>
      <c r="C4131">
        <v>-2.33</v>
      </c>
      <c r="D4131">
        <v>131</v>
      </c>
      <c r="E4131">
        <v>-3.13</v>
      </c>
      <c r="F4131">
        <v>131</v>
      </c>
      <c r="G4131">
        <v>131.16</v>
      </c>
      <c r="H4131">
        <v>22499</v>
      </c>
      <c r="I4131">
        <v>87</v>
      </c>
      <c r="J4131">
        <v>0.04</v>
      </c>
      <c r="K4131">
        <v>5.43</v>
      </c>
      <c r="L4131">
        <v>29898.8</v>
      </c>
      <c r="M4131" t="s">
        <v>7925</v>
      </c>
      <c r="N4131" t="s">
        <v>611</v>
      </c>
      <c r="O4131">
        <v>134.13</v>
      </c>
      <c r="P4131">
        <v>138.38</v>
      </c>
      <c r="Q4131">
        <v>129.21</v>
      </c>
      <c r="R4131">
        <v>134.13</v>
      </c>
      <c r="S4131">
        <v>55.39</v>
      </c>
      <c r="T4131">
        <v>0.87</v>
      </c>
      <c r="U4131" t="s">
        <v>102</v>
      </c>
    </row>
    <row r="4132" spans="1:21">
      <c r="A4132" t="str">
        <f>"605128"</f>
        <v>605128</v>
      </c>
      <c r="B4132" t="s">
        <v>7926</v>
      </c>
      <c r="C4132">
        <v>-2.37</v>
      </c>
      <c r="D4132">
        <v>31.71</v>
      </c>
      <c r="E4132">
        <v>-0.77</v>
      </c>
      <c r="F4132">
        <v>31.71</v>
      </c>
      <c r="G4132">
        <v>31.72</v>
      </c>
      <c r="H4132">
        <v>18560</v>
      </c>
      <c r="I4132">
        <v>569</v>
      </c>
      <c r="J4132">
        <v>-0.55</v>
      </c>
      <c r="K4132">
        <v>4.45</v>
      </c>
      <c r="L4132">
        <v>5891.51</v>
      </c>
      <c r="M4132" t="s">
        <v>3143</v>
      </c>
      <c r="N4132" t="s">
        <v>91</v>
      </c>
      <c r="O4132">
        <v>32.17</v>
      </c>
      <c r="P4132">
        <v>32.52</v>
      </c>
      <c r="Q4132">
        <v>31.26</v>
      </c>
      <c r="R4132">
        <v>32.48</v>
      </c>
      <c r="S4132">
        <v>39.04</v>
      </c>
      <c r="T4132">
        <v>0.58</v>
      </c>
      <c r="U4132" t="s">
        <v>848</v>
      </c>
    </row>
    <row r="4133" spans="1:21">
      <c r="A4133" t="str">
        <f>"605133"</f>
        <v>605133</v>
      </c>
      <c r="B4133" t="s">
        <v>7927</v>
      </c>
      <c r="C4133">
        <v>-2.11</v>
      </c>
      <c r="D4133">
        <v>27.84</v>
      </c>
      <c r="E4133">
        <v>-0.6</v>
      </c>
      <c r="F4133">
        <v>27.83</v>
      </c>
      <c r="G4133">
        <v>27.84</v>
      </c>
      <c r="H4133">
        <v>174677</v>
      </c>
      <c r="I4133">
        <v>1724</v>
      </c>
      <c r="J4133">
        <v>1.24</v>
      </c>
      <c r="K4133">
        <v>43.67</v>
      </c>
      <c r="L4133">
        <v>49705.84</v>
      </c>
      <c r="M4133" t="s">
        <v>7928</v>
      </c>
      <c r="N4133" t="s">
        <v>91</v>
      </c>
      <c r="O4133">
        <v>27.6</v>
      </c>
      <c r="P4133">
        <v>30.21</v>
      </c>
      <c r="Q4133">
        <v>26.67</v>
      </c>
      <c r="R4133">
        <v>28.44</v>
      </c>
      <c r="S4133">
        <v>40.4</v>
      </c>
      <c r="T4133">
        <v>1.33</v>
      </c>
      <c r="U4133" t="s">
        <v>102</v>
      </c>
    </row>
    <row r="4134" spans="1:21">
      <c r="A4134" t="str">
        <f>"605136"</f>
        <v>605136</v>
      </c>
      <c r="B4134" t="s">
        <v>7929</v>
      </c>
      <c r="C4134">
        <v>0.21</v>
      </c>
      <c r="D4134">
        <v>24.32</v>
      </c>
      <c r="E4134">
        <v>0.05</v>
      </c>
      <c r="F4134">
        <v>24.32</v>
      </c>
      <c r="G4134">
        <v>24.33</v>
      </c>
      <c r="H4134">
        <v>24671</v>
      </c>
      <c r="I4134">
        <v>353</v>
      </c>
      <c r="J4134">
        <v>-0.03</v>
      </c>
      <c r="K4134">
        <v>1.26</v>
      </c>
      <c r="L4134">
        <v>5966.13</v>
      </c>
      <c r="M4134" t="s">
        <v>6758</v>
      </c>
      <c r="N4134" t="s">
        <v>66</v>
      </c>
      <c r="O4134">
        <v>24.17</v>
      </c>
      <c r="P4134">
        <v>24.46</v>
      </c>
      <c r="Q4134">
        <v>23.92</v>
      </c>
      <c r="R4134">
        <v>24.27</v>
      </c>
      <c r="S4134">
        <v>28.05</v>
      </c>
      <c r="T4134">
        <v>0.61</v>
      </c>
      <c r="U4134" t="s">
        <v>848</v>
      </c>
    </row>
    <row r="4135" spans="1:21">
      <c r="A4135" t="str">
        <f>"605138"</f>
        <v>605138</v>
      </c>
      <c r="B4135" t="s">
        <v>7930</v>
      </c>
      <c r="C4135">
        <v>0.86</v>
      </c>
      <c r="D4135">
        <v>11.69</v>
      </c>
      <c r="E4135">
        <v>0.1</v>
      </c>
      <c r="F4135">
        <v>11.69</v>
      </c>
      <c r="G4135">
        <v>11.7</v>
      </c>
      <c r="H4135">
        <v>54598</v>
      </c>
      <c r="I4135">
        <v>960</v>
      </c>
      <c r="J4135">
        <v>-0.08</v>
      </c>
      <c r="K4135">
        <v>9.83</v>
      </c>
      <c r="L4135">
        <v>6339.18</v>
      </c>
      <c r="M4135" t="s">
        <v>7931</v>
      </c>
      <c r="N4135" t="s">
        <v>1061</v>
      </c>
      <c r="O4135">
        <v>11.7</v>
      </c>
      <c r="P4135">
        <v>11.74</v>
      </c>
      <c r="Q4135">
        <v>11.43</v>
      </c>
      <c r="R4135">
        <v>11.59</v>
      </c>
      <c r="S4135">
        <v>20.79</v>
      </c>
      <c r="T4135">
        <v>0.5</v>
      </c>
      <c r="U4135" t="s">
        <v>200</v>
      </c>
    </row>
    <row r="4136" spans="1:21">
      <c r="A4136" t="str">
        <f>"605151"</f>
        <v>605151</v>
      </c>
      <c r="B4136" t="s">
        <v>7932</v>
      </c>
      <c r="C4136">
        <v>2.02</v>
      </c>
      <c r="D4136">
        <v>18.65</v>
      </c>
      <c r="E4136">
        <v>0.37</v>
      </c>
      <c r="F4136">
        <v>18.64</v>
      </c>
      <c r="G4136">
        <v>18.65</v>
      </c>
      <c r="H4136">
        <v>30362</v>
      </c>
      <c r="I4136">
        <v>710</v>
      </c>
      <c r="J4136">
        <v>0.21</v>
      </c>
      <c r="K4136">
        <v>9.11</v>
      </c>
      <c r="L4136">
        <v>5633.14</v>
      </c>
      <c r="M4136" t="s">
        <v>7933</v>
      </c>
      <c r="N4136" t="s">
        <v>91</v>
      </c>
      <c r="O4136">
        <v>18.3</v>
      </c>
      <c r="P4136">
        <v>18.82</v>
      </c>
      <c r="Q4136">
        <v>18.15</v>
      </c>
      <c r="R4136">
        <v>18.28</v>
      </c>
      <c r="S4136">
        <v>23.21</v>
      </c>
      <c r="T4136">
        <v>1.32</v>
      </c>
      <c r="U4136" t="s">
        <v>848</v>
      </c>
    </row>
    <row r="4137" spans="1:21">
      <c r="A4137" t="str">
        <f>"605155"</f>
        <v>605155</v>
      </c>
      <c r="B4137" t="s">
        <v>7934</v>
      </c>
      <c r="C4137">
        <v>1.18</v>
      </c>
      <c r="D4137">
        <v>20.6</v>
      </c>
      <c r="E4137">
        <v>0.24</v>
      </c>
      <c r="F4137">
        <v>20.58</v>
      </c>
      <c r="G4137">
        <v>20.6</v>
      </c>
      <c r="H4137">
        <v>11768</v>
      </c>
      <c r="I4137">
        <v>188</v>
      </c>
      <c r="J4137">
        <v>0.19</v>
      </c>
      <c r="K4137">
        <v>4.9</v>
      </c>
      <c r="L4137">
        <v>2400.23</v>
      </c>
      <c r="M4137" t="s">
        <v>7546</v>
      </c>
      <c r="N4137" t="s">
        <v>910</v>
      </c>
      <c r="O4137">
        <v>20.45</v>
      </c>
      <c r="P4137">
        <v>20.62</v>
      </c>
      <c r="Q4137">
        <v>20</v>
      </c>
      <c r="R4137">
        <v>20.36</v>
      </c>
      <c r="S4137">
        <v>20.59</v>
      </c>
      <c r="T4137">
        <v>1.04</v>
      </c>
      <c r="U4137" t="s">
        <v>200</v>
      </c>
    </row>
    <row r="4138" spans="1:21">
      <c r="A4138" t="str">
        <f>"605158"</f>
        <v>605158</v>
      </c>
      <c r="B4138" t="s">
        <v>7935</v>
      </c>
      <c r="C4138">
        <v>1.1</v>
      </c>
      <c r="D4138">
        <v>7.37</v>
      </c>
      <c r="E4138">
        <v>0.08</v>
      </c>
      <c r="F4138">
        <v>7.37</v>
      </c>
      <c r="G4138">
        <v>7.38</v>
      </c>
      <c r="H4138">
        <v>10943</v>
      </c>
      <c r="I4138">
        <v>58</v>
      </c>
      <c r="J4138">
        <v>-0.13</v>
      </c>
      <c r="K4138">
        <v>0.76</v>
      </c>
      <c r="L4138">
        <v>803.73</v>
      </c>
      <c r="M4138" t="s">
        <v>7936</v>
      </c>
      <c r="N4138" t="s">
        <v>724</v>
      </c>
      <c r="O4138">
        <v>7.33</v>
      </c>
      <c r="P4138">
        <v>7.4</v>
      </c>
      <c r="Q4138">
        <v>7.24</v>
      </c>
      <c r="R4138">
        <v>7.29</v>
      </c>
      <c r="S4138">
        <v>14.42</v>
      </c>
      <c r="T4138">
        <v>1.06</v>
      </c>
      <c r="U4138" t="s">
        <v>200</v>
      </c>
    </row>
    <row r="4139" spans="1:21">
      <c r="A4139" t="str">
        <f>"605162"</f>
        <v>605162</v>
      </c>
      <c r="B4139" t="s">
        <v>7937</v>
      </c>
      <c r="C4139">
        <v>0.93</v>
      </c>
      <c r="D4139">
        <v>14.04</v>
      </c>
      <c r="E4139">
        <v>0.13</v>
      </c>
      <c r="F4139">
        <v>14.03</v>
      </c>
      <c r="G4139">
        <v>14.04</v>
      </c>
      <c r="H4139">
        <v>118654</v>
      </c>
      <c r="I4139">
        <v>2611</v>
      </c>
      <c r="J4139">
        <v>-0.06</v>
      </c>
      <c r="K4139">
        <v>14.82</v>
      </c>
      <c r="L4139">
        <v>16603.66</v>
      </c>
      <c r="M4139" t="s">
        <v>7938</v>
      </c>
      <c r="N4139" t="s">
        <v>238</v>
      </c>
      <c r="O4139">
        <v>13.8</v>
      </c>
      <c r="P4139">
        <v>14.3</v>
      </c>
      <c r="Q4139">
        <v>13.62</v>
      </c>
      <c r="R4139">
        <v>13.91</v>
      </c>
      <c r="S4139">
        <v>53.26</v>
      </c>
      <c r="T4139">
        <v>0.68</v>
      </c>
      <c r="U4139" t="s">
        <v>200</v>
      </c>
    </row>
    <row r="4140" spans="1:21">
      <c r="A4140" t="str">
        <f>"605166"</f>
        <v>605166</v>
      </c>
      <c r="B4140" t="s">
        <v>7939</v>
      </c>
      <c r="C4140">
        <v>3.27</v>
      </c>
      <c r="D4140">
        <v>12.94</v>
      </c>
      <c r="E4140">
        <v>0.41</v>
      </c>
      <c r="F4140">
        <v>12.94</v>
      </c>
      <c r="G4140">
        <v>12.95</v>
      </c>
      <c r="H4140">
        <v>105848</v>
      </c>
      <c r="I4140">
        <v>2312</v>
      </c>
      <c r="J4140">
        <v>0.31</v>
      </c>
      <c r="K4140">
        <v>5.64</v>
      </c>
      <c r="L4140">
        <v>13428.62</v>
      </c>
      <c r="M4140" t="s">
        <v>7940</v>
      </c>
      <c r="N4140" t="s">
        <v>309</v>
      </c>
      <c r="O4140">
        <v>12.55</v>
      </c>
      <c r="P4140">
        <v>12.98</v>
      </c>
      <c r="Q4140">
        <v>12.28</v>
      </c>
      <c r="R4140">
        <v>12.53</v>
      </c>
      <c r="S4140">
        <v>15.31</v>
      </c>
      <c r="T4140">
        <v>0.68</v>
      </c>
      <c r="U4140" t="s">
        <v>200</v>
      </c>
    </row>
    <row r="4141" spans="1:21">
      <c r="A4141" t="str">
        <f>"605167"</f>
        <v>605167</v>
      </c>
      <c r="B4141" t="s">
        <v>7941</v>
      </c>
      <c r="C4141">
        <v>4.27</v>
      </c>
      <c r="D4141">
        <v>9.28</v>
      </c>
      <c r="E4141">
        <v>0.38</v>
      </c>
      <c r="F4141">
        <v>9.28</v>
      </c>
      <c r="G4141">
        <v>9.29</v>
      </c>
      <c r="H4141">
        <v>105936</v>
      </c>
      <c r="I4141">
        <v>1657</v>
      </c>
      <c r="J4141">
        <v>0</v>
      </c>
      <c r="K4141">
        <v>9.44</v>
      </c>
      <c r="L4141">
        <v>9806.04</v>
      </c>
      <c r="M4141" t="s">
        <v>4661</v>
      </c>
      <c r="N4141" t="s">
        <v>324</v>
      </c>
      <c r="O4141">
        <v>8.92</v>
      </c>
      <c r="P4141">
        <v>9.45</v>
      </c>
      <c r="Q4141">
        <v>8.88</v>
      </c>
      <c r="R4141">
        <v>8.9</v>
      </c>
      <c r="S4141">
        <v>46.11</v>
      </c>
      <c r="T4141">
        <v>1.97</v>
      </c>
      <c r="U4141" t="s">
        <v>102</v>
      </c>
    </row>
    <row r="4142" spans="1:21">
      <c r="A4142" t="str">
        <f>"605168"</f>
        <v>605168</v>
      </c>
      <c r="B4142" t="s">
        <v>7942</v>
      </c>
      <c r="C4142">
        <v>-0.78</v>
      </c>
      <c r="D4142">
        <v>119.51</v>
      </c>
      <c r="E4142">
        <v>-0.94</v>
      </c>
      <c r="F4142">
        <v>119.51</v>
      </c>
      <c r="G4142">
        <v>119.67</v>
      </c>
      <c r="H4142">
        <v>3801</v>
      </c>
      <c r="I4142">
        <v>42</v>
      </c>
      <c r="J4142">
        <v>-0.19</v>
      </c>
      <c r="K4142">
        <v>1.25</v>
      </c>
      <c r="L4142">
        <v>4564.96</v>
      </c>
      <c r="M4142" t="s">
        <v>7943</v>
      </c>
      <c r="N4142" t="s">
        <v>479</v>
      </c>
      <c r="O4142">
        <v>120.68</v>
      </c>
      <c r="P4142">
        <v>122.27</v>
      </c>
      <c r="Q4142">
        <v>119</v>
      </c>
      <c r="R4142">
        <v>120.45</v>
      </c>
      <c r="S4142">
        <v>23.96</v>
      </c>
      <c r="T4142">
        <v>0.53</v>
      </c>
      <c r="U4142" t="s">
        <v>317</v>
      </c>
    </row>
    <row r="4143" spans="1:21">
      <c r="A4143" t="str">
        <f>"605169"</f>
        <v>605169</v>
      </c>
      <c r="B4143" t="s">
        <v>7944</v>
      </c>
      <c r="C4143">
        <v>4.54</v>
      </c>
      <c r="D4143">
        <v>18.9</v>
      </c>
      <c r="E4143">
        <v>0.82</v>
      </c>
      <c r="F4143">
        <v>18.89</v>
      </c>
      <c r="G4143">
        <v>18.9</v>
      </c>
      <c r="H4143">
        <v>112234</v>
      </c>
      <c r="I4143">
        <v>1258</v>
      </c>
      <c r="J4143">
        <v>0.43</v>
      </c>
      <c r="K4143">
        <v>21.58</v>
      </c>
      <c r="L4143">
        <v>20886.64</v>
      </c>
      <c r="M4143" t="s">
        <v>4759</v>
      </c>
      <c r="N4143" t="s">
        <v>238</v>
      </c>
      <c r="O4143">
        <v>18.08</v>
      </c>
      <c r="P4143">
        <v>18.95</v>
      </c>
      <c r="Q4143">
        <v>17.86</v>
      </c>
      <c r="R4143">
        <v>18.08</v>
      </c>
      <c r="S4143">
        <v>20.8</v>
      </c>
      <c r="T4143">
        <v>1.59</v>
      </c>
      <c r="U4143" t="s">
        <v>210</v>
      </c>
    </row>
    <row r="4144" spans="1:21">
      <c r="A4144" t="str">
        <f>"605177"</f>
        <v>605177</v>
      </c>
      <c r="B4144" t="s">
        <v>7945</v>
      </c>
      <c r="C4144">
        <v>-0.11</v>
      </c>
      <c r="D4144">
        <v>26.49</v>
      </c>
      <c r="E4144">
        <v>-0.03</v>
      </c>
      <c r="F4144">
        <v>26.49</v>
      </c>
      <c r="G4144">
        <v>26.5</v>
      </c>
      <c r="H4144">
        <v>6691</v>
      </c>
      <c r="I4144">
        <v>48</v>
      </c>
      <c r="J4144">
        <v>0.15</v>
      </c>
      <c r="K4144">
        <v>2.36</v>
      </c>
      <c r="L4144">
        <v>1762.8</v>
      </c>
      <c r="M4144" t="s">
        <v>7946</v>
      </c>
      <c r="N4144" t="s">
        <v>192</v>
      </c>
      <c r="O4144">
        <v>26.52</v>
      </c>
      <c r="P4144">
        <v>26.68</v>
      </c>
      <c r="Q4144">
        <v>26.1</v>
      </c>
      <c r="R4144">
        <v>26.52</v>
      </c>
      <c r="S4144">
        <v>42.3</v>
      </c>
      <c r="T4144">
        <v>1.03</v>
      </c>
      <c r="U4144" t="s">
        <v>200</v>
      </c>
    </row>
    <row r="4145" spans="1:21">
      <c r="A4145" t="str">
        <f>"605178"</f>
        <v>605178</v>
      </c>
      <c r="B4145" t="s">
        <v>7947</v>
      </c>
      <c r="C4145">
        <v>0.96</v>
      </c>
      <c r="D4145">
        <v>36.94</v>
      </c>
      <c r="E4145">
        <v>0.35</v>
      </c>
      <c r="F4145">
        <v>36.93</v>
      </c>
      <c r="G4145">
        <v>36.94</v>
      </c>
      <c r="H4145">
        <v>4821</v>
      </c>
      <c r="I4145">
        <v>138</v>
      </c>
      <c r="J4145">
        <v>0.05</v>
      </c>
      <c r="K4145">
        <v>1.54</v>
      </c>
      <c r="L4145">
        <v>1779.96</v>
      </c>
      <c r="M4145" t="s">
        <v>7948</v>
      </c>
      <c r="N4145" t="s">
        <v>1189</v>
      </c>
      <c r="O4145">
        <v>36.59</v>
      </c>
      <c r="P4145">
        <v>37.24</v>
      </c>
      <c r="Q4145">
        <v>36.58</v>
      </c>
      <c r="R4145">
        <v>36.59</v>
      </c>
      <c r="S4145">
        <v>79.78</v>
      </c>
      <c r="T4145">
        <v>0.48</v>
      </c>
      <c r="U4145" t="s">
        <v>44</v>
      </c>
    </row>
    <row r="4146" spans="1:21">
      <c r="A4146" t="str">
        <f>"605179"</f>
        <v>605179</v>
      </c>
      <c r="B4146" t="s">
        <v>7949</v>
      </c>
      <c r="C4146">
        <v>0.35</v>
      </c>
      <c r="D4146">
        <v>14.22</v>
      </c>
      <c r="E4146">
        <v>0.05</v>
      </c>
      <c r="F4146">
        <v>14.22</v>
      </c>
      <c r="G4146">
        <v>14.23</v>
      </c>
      <c r="H4146">
        <v>12743</v>
      </c>
      <c r="I4146">
        <v>250</v>
      </c>
      <c r="J4146">
        <v>-0.06</v>
      </c>
      <c r="K4146">
        <v>2.09</v>
      </c>
      <c r="L4146">
        <v>1805.7</v>
      </c>
      <c r="M4146" t="s">
        <v>7950</v>
      </c>
      <c r="N4146" t="s">
        <v>1735</v>
      </c>
      <c r="O4146">
        <v>14.19</v>
      </c>
      <c r="P4146">
        <v>14.32</v>
      </c>
      <c r="Q4146">
        <v>14.06</v>
      </c>
      <c r="R4146">
        <v>14.17</v>
      </c>
      <c r="S4146">
        <v>69.49</v>
      </c>
      <c r="T4146">
        <v>0.62</v>
      </c>
      <c r="U4146" t="s">
        <v>200</v>
      </c>
    </row>
    <row r="4147" spans="1:21">
      <c r="A4147" t="str">
        <f>"605180"</f>
        <v>605180</v>
      </c>
      <c r="B4147" t="s">
        <v>7951</v>
      </c>
      <c r="C4147">
        <v>-0.8</v>
      </c>
      <c r="D4147">
        <v>36.97</v>
      </c>
      <c r="E4147">
        <v>-0.3</v>
      </c>
      <c r="F4147">
        <v>36.97</v>
      </c>
      <c r="G4147">
        <v>36.98</v>
      </c>
      <c r="H4147">
        <v>9923</v>
      </c>
      <c r="I4147">
        <v>62</v>
      </c>
      <c r="J4147">
        <v>0.11</v>
      </c>
      <c r="K4147">
        <v>3.97</v>
      </c>
      <c r="L4147">
        <v>3660.59</v>
      </c>
      <c r="M4147" t="s">
        <v>6118</v>
      </c>
      <c r="N4147" t="s">
        <v>664</v>
      </c>
      <c r="O4147">
        <v>37.59</v>
      </c>
      <c r="P4147">
        <v>37.6</v>
      </c>
      <c r="Q4147">
        <v>36.5</v>
      </c>
      <c r="R4147">
        <v>37.27</v>
      </c>
      <c r="S4147">
        <v>18.43</v>
      </c>
      <c r="T4147">
        <v>0.8</v>
      </c>
      <c r="U4147" t="s">
        <v>200</v>
      </c>
    </row>
    <row r="4148" spans="1:21">
      <c r="A4148" t="str">
        <f>"605183"</f>
        <v>605183</v>
      </c>
      <c r="B4148" t="s">
        <v>7952</v>
      </c>
      <c r="C4148">
        <v>1.29</v>
      </c>
      <c r="D4148">
        <v>18.9</v>
      </c>
      <c r="E4148">
        <v>0.24</v>
      </c>
      <c r="F4148">
        <v>18.9</v>
      </c>
      <c r="G4148">
        <v>18.91</v>
      </c>
      <c r="H4148">
        <v>52625</v>
      </c>
      <c r="I4148">
        <v>1160</v>
      </c>
      <c r="J4148">
        <v>0.16</v>
      </c>
      <c r="K4148">
        <v>10.8</v>
      </c>
      <c r="L4148">
        <v>9785.46</v>
      </c>
      <c r="M4148" t="s">
        <v>7953</v>
      </c>
      <c r="N4148" t="s">
        <v>309</v>
      </c>
      <c r="O4148">
        <v>18.66</v>
      </c>
      <c r="P4148">
        <v>18.94</v>
      </c>
      <c r="Q4148">
        <v>18.12</v>
      </c>
      <c r="R4148">
        <v>18.66</v>
      </c>
      <c r="S4148">
        <v>28.21</v>
      </c>
      <c r="T4148">
        <v>0.72</v>
      </c>
      <c r="U4148" t="s">
        <v>102</v>
      </c>
    </row>
    <row r="4149" spans="1:21">
      <c r="A4149" t="str">
        <f>"605186"</f>
        <v>605186</v>
      </c>
      <c r="B4149" t="s">
        <v>7954</v>
      </c>
      <c r="C4149">
        <v>-2.25</v>
      </c>
      <c r="D4149">
        <v>38.61</v>
      </c>
      <c r="E4149">
        <v>-0.89</v>
      </c>
      <c r="F4149">
        <v>38.61</v>
      </c>
      <c r="G4149">
        <v>38.65</v>
      </c>
      <c r="H4149">
        <v>12210</v>
      </c>
      <c r="I4149">
        <v>226</v>
      </c>
      <c r="J4149">
        <v>-0.02</v>
      </c>
      <c r="K4149">
        <v>3.59</v>
      </c>
      <c r="L4149">
        <v>4711.55</v>
      </c>
      <c r="M4149" t="s">
        <v>471</v>
      </c>
      <c r="N4149" t="s">
        <v>186</v>
      </c>
      <c r="O4149">
        <v>39.39</v>
      </c>
      <c r="P4149">
        <v>39.4</v>
      </c>
      <c r="Q4149">
        <v>38.15</v>
      </c>
      <c r="R4149">
        <v>39.5</v>
      </c>
      <c r="S4149">
        <v>50.61</v>
      </c>
      <c r="T4149">
        <v>0.5</v>
      </c>
      <c r="U4149" t="s">
        <v>848</v>
      </c>
    </row>
    <row r="4150" spans="1:21">
      <c r="A4150" t="str">
        <f>"605188"</f>
        <v>605188</v>
      </c>
      <c r="B4150" t="s">
        <v>7955</v>
      </c>
      <c r="C4150">
        <v>0.65</v>
      </c>
      <c r="D4150">
        <v>7.73</v>
      </c>
      <c r="E4150">
        <v>0.05</v>
      </c>
      <c r="F4150">
        <v>7.73</v>
      </c>
      <c r="G4150">
        <v>7.74</v>
      </c>
      <c r="H4150">
        <v>19224</v>
      </c>
      <c r="I4150">
        <v>370</v>
      </c>
      <c r="J4150">
        <v>0.13</v>
      </c>
      <c r="K4150">
        <v>3.18</v>
      </c>
      <c r="L4150">
        <v>1474.59</v>
      </c>
      <c r="M4150" t="s">
        <v>7956</v>
      </c>
      <c r="N4150" t="s">
        <v>707</v>
      </c>
      <c r="O4150">
        <v>7.69</v>
      </c>
      <c r="P4150">
        <v>7.75</v>
      </c>
      <c r="Q4150">
        <v>7.59</v>
      </c>
      <c r="R4150">
        <v>7.68</v>
      </c>
      <c r="S4150">
        <v>77.31</v>
      </c>
      <c r="T4150">
        <v>0.34</v>
      </c>
      <c r="U4150" t="s">
        <v>235</v>
      </c>
    </row>
    <row r="4151" spans="1:21">
      <c r="A4151" t="str">
        <f>"605189"</f>
        <v>605189</v>
      </c>
      <c r="B4151" t="s">
        <v>7957</v>
      </c>
      <c r="C4151">
        <v>0.76</v>
      </c>
      <c r="D4151">
        <v>22.52</v>
      </c>
      <c r="E4151">
        <v>0.17</v>
      </c>
      <c r="F4151">
        <v>22.51</v>
      </c>
      <c r="G4151">
        <v>22.52</v>
      </c>
      <c r="H4151">
        <v>10419</v>
      </c>
      <c r="I4151">
        <v>56</v>
      </c>
      <c r="J4151">
        <v>0.09</v>
      </c>
      <c r="K4151">
        <v>3.34</v>
      </c>
      <c r="L4151">
        <v>2343.99</v>
      </c>
      <c r="M4151" t="s">
        <v>4570</v>
      </c>
      <c r="N4151" t="s">
        <v>664</v>
      </c>
      <c r="O4151">
        <v>22.48</v>
      </c>
      <c r="P4151">
        <v>22.65</v>
      </c>
      <c r="Q4151">
        <v>22.23</v>
      </c>
      <c r="R4151">
        <v>22.35</v>
      </c>
      <c r="S4151">
        <v>12.98</v>
      </c>
      <c r="T4151">
        <v>0.57</v>
      </c>
      <c r="U4151" t="s">
        <v>193</v>
      </c>
    </row>
    <row r="4152" spans="1:21">
      <c r="A4152" t="str">
        <f>"605196"</f>
        <v>605196</v>
      </c>
      <c r="B4152" t="s">
        <v>7958</v>
      </c>
      <c r="C4152">
        <v>-1.64</v>
      </c>
      <c r="D4152">
        <v>11.39</v>
      </c>
      <c r="E4152">
        <v>-0.19</v>
      </c>
      <c r="F4152">
        <v>11.38</v>
      </c>
      <c r="G4152">
        <v>11.39</v>
      </c>
      <c r="H4152">
        <v>128173</v>
      </c>
      <c r="I4152">
        <v>2952</v>
      </c>
      <c r="J4152">
        <v>0.09</v>
      </c>
      <c r="K4152">
        <v>16.86</v>
      </c>
      <c r="L4152">
        <v>14622.42</v>
      </c>
      <c r="M4152" t="s">
        <v>7959</v>
      </c>
      <c r="N4152" t="s">
        <v>47</v>
      </c>
      <c r="O4152">
        <v>11.2</v>
      </c>
      <c r="P4152">
        <v>11.53</v>
      </c>
      <c r="Q4152">
        <v>11.2</v>
      </c>
      <c r="R4152">
        <v>11.58</v>
      </c>
      <c r="S4152">
        <v>68.11</v>
      </c>
      <c r="T4152">
        <v>0.98</v>
      </c>
      <c r="U4152" t="s">
        <v>207</v>
      </c>
    </row>
    <row r="4153" spans="1:21">
      <c r="A4153" t="str">
        <f>"605198"</f>
        <v>605198</v>
      </c>
      <c r="B4153" t="s">
        <v>7960</v>
      </c>
      <c r="C4153">
        <v>-3.12</v>
      </c>
      <c r="D4153">
        <v>20.16</v>
      </c>
      <c r="E4153">
        <v>-0.65</v>
      </c>
      <c r="F4153">
        <v>20.16</v>
      </c>
      <c r="G4153">
        <v>20.17</v>
      </c>
      <c r="H4153">
        <v>29118</v>
      </c>
      <c r="I4153">
        <v>678</v>
      </c>
      <c r="J4153">
        <v>0.05</v>
      </c>
      <c r="K4153">
        <v>3.48</v>
      </c>
      <c r="L4153">
        <v>5819.34</v>
      </c>
      <c r="M4153" t="s">
        <v>7961</v>
      </c>
      <c r="N4153" t="s">
        <v>825</v>
      </c>
      <c r="O4153">
        <v>20.6</v>
      </c>
      <c r="P4153">
        <v>20.6</v>
      </c>
      <c r="Q4153">
        <v>19.56</v>
      </c>
      <c r="R4153">
        <v>20.81</v>
      </c>
      <c r="S4153">
        <v>56.88</v>
      </c>
      <c r="T4153">
        <v>0.89</v>
      </c>
      <c r="U4153" t="s">
        <v>221</v>
      </c>
    </row>
    <row r="4154" spans="1:21">
      <c r="A4154" t="str">
        <f>"605199"</f>
        <v>605199</v>
      </c>
      <c r="B4154" t="s">
        <v>7962</v>
      </c>
      <c r="C4154">
        <v>2.47</v>
      </c>
      <c r="D4154">
        <v>24.03</v>
      </c>
      <c r="E4154">
        <v>0.58</v>
      </c>
      <c r="F4154">
        <v>24.02</v>
      </c>
      <c r="G4154">
        <v>24.03</v>
      </c>
      <c r="H4154">
        <v>99654</v>
      </c>
      <c r="I4154">
        <v>2781</v>
      </c>
      <c r="J4154">
        <v>0.46</v>
      </c>
      <c r="K4154">
        <v>12.04</v>
      </c>
      <c r="L4154">
        <v>23498.39</v>
      </c>
      <c r="M4154" t="s">
        <v>7963</v>
      </c>
      <c r="N4154" t="s">
        <v>270</v>
      </c>
      <c r="O4154">
        <v>23.53</v>
      </c>
      <c r="P4154">
        <v>24.09</v>
      </c>
      <c r="Q4154">
        <v>23.12</v>
      </c>
      <c r="R4154">
        <v>23.45</v>
      </c>
      <c r="S4154">
        <v>93.21</v>
      </c>
      <c r="T4154">
        <v>0.8</v>
      </c>
      <c r="U4154" t="s">
        <v>294</v>
      </c>
    </row>
    <row r="4155" spans="1:21">
      <c r="A4155" t="str">
        <f>"605208"</f>
        <v>605208</v>
      </c>
      <c r="B4155" t="s">
        <v>7964</v>
      </c>
      <c r="C4155">
        <v>-0.71</v>
      </c>
      <c r="D4155">
        <v>22.5</v>
      </c>
      <c r="E4155">
        <v>-0.16</v>
      </c>
      <c r="F4155">
        <v>22.5</v>
      </c>
      <c r="G4155">
        <v>22.51</v>
      </c>
      <c r="H4155">
        <v>30737</v>
      </c>
      <c r="I4155">
        <v>221</v>
      </c>
      <c r="J4155">
        <v>0</v>
      </c>
      <c r="K4155">
        <v>6.54</v>
      </c>
      <c r="L4155">
        <v>6898.28</v>
      </c>
      <c r="M4155" t="s">
        <v>1056</v>
      </c>
      <c r="N4155" t="s">
        <v>494</v>
      </c>
      <c r="O4155">
        <v>22.52</v>
      </c>
      <c r="P4155">
        <v>22.71</v>
      </c>
      <c r="Q4155">
        <v>22.14</v>
      </c>
      <c r="R4155">
        <v>22.66</v>
      </c>
      <c r="S4155">
        <v>19.34</v>
      </c>
      <c r="T4155">
        <v>0.83</v>
      </c>
      <c r="U4155" t="s">
        <v>848</v>
      </c>
    </row>
    <row r="4156" spans="1:21">
      <c r="A4156" t="str">
        <f>"605218"</f>
        <v>605218</v>
      </c>
      <c r="B4156" t="s">
        <v>7965</v>
      </c>
      <c r="C4156">
        <v>-2.43</v>
      </c>
      <c r="D4156">
        <v>17.28</v>
      </c>
      <c r="E4156">
        <v>-0.43</v>
      </c>
      <c r="F4156">
        <v>17.27</v>
      </c>
      <c r="G4156">
        <v>17.28</v>
      </c>
      <c r="H4156">
        <v>172905</v>
      </c>
      <c r="I4156">
        <v>2448</v>
      </c>
      <c r="J4156">
        <v>0.35</v>
      </c>
      <c r="K4156">
        <v>19.59</v>
      </c>
      <c r="L4156">
        <v>30542.88</v>
      </c>
      <c r="M4156" t="s">
        <v>7966</v>
      </c>
      <c r="N4156" t="s">
        <v>69</v>
      </c>
      <c r="O4156">
        <v>17.21</v>
      </c>
      <c r="P4156">
        <v>18.65</v>
      </c>
      <c r="Q4156">
        <v>16.77</v>
      </c>
      <c r="R4156">
        <v>17.71</v>
      </c>
      <c r="S4156">
        <v>67.79</v>
      </c>
      <c r="T4156">
        <v>2.45</v>
      </c>
      <c r="U4156" t="s">
        <v>102</v>
      </c>
    </row>
    <row r="4157" spans="1:21">
      <c r="A4157" t="str">
        <f>"605222"</f>
        <v>605222</v>
      </c>
      <c r="B4157" t="s">
        <v>7967</v>
      </c>
      <c r="C4157">
        <v>-5.22</v>
      </c>
      <c r="D4157">
        <v>29.8</v>
      </c>
      <c r="E4157">
        <v>-1.64</v>
      </c>
      <c r="F4157">
        <v>29.8</v>
      </c>
      <c r="G4157">
        <v>29.81</v>
      </c>
      <c r="H4157">
        <v>246062</v>
      </c>
      <c r="I4157">
        <v>3504</v>
      </c>
      <c r="J4157">
        <v>0.07</v>
      </c>
      <c r="K4157">
        <v>24.61</v>
      </c>
      <c r="L4157">
        <v>74014.89</v>
      </c>
      <c r="M4157" t="s">
        <v>7968</v>
      </c>
      <c r="N4157" t="s">
        <v>47</v>
      </c>
      <c r="O4157">
        <v>30.66</v>
      </c>
      <c r="P4157">
        <v>31.4</v>
      </c>
      <c r="Q4157">
        <v>28.95</v>
      </c>
      <c r="R4157">
        <v>31.44</v>
      </c>
      <c r="S4157">
        <v>18.38</v>
      </c>
      <c r="T4157">
        <v>1.89</v>
      </c>
      <c r="U4157" t="s">
        <v>848</v>
      </c>
    </row>
    <row r="4158" spans="1:21">
      <c r="A4158" t="str">
        <f>"605228"</f>
        <v>605228</v>
      </c>
      <c r="B4158" t="s">
        <v>7969</v>
      </c>
      <c r="C4158">
        <v>1.86</v>
      </c>
      <c r="D4158">
        <v>9.32</v>
      </c>
      <c r="E4158">
        <v>0.17</v>
      </c>
      <c r="F4158">
        <v>9.31</v>
      </c>
      <c r="G4158">
        <v>9.32</v>
      </c>
      <c r="H4158">
        <v>66157</v>
      </c>
      <c r="I4158">
        <v>1166</v>
      </c>
      <c r="J4158">
        <v>0.22</v>
      </c>
      <c r="K4158">
        <v>8.27</v>
      </c>
      <c r="L4158">
        <v>6166.9</v>
      </c>
      <c r="M4158" t="s">
        <v>7970</v>
      </c>
      <c r="N4158" t="s">
        <v>91</v>
      </c>
      <c r="O4158">
        <v>9.15</v>
      </c>
      <c r="P4158">
        <v>9.5</v>
      </c>
      <c r="Q4158">
        <v>9.07</v>
      </c>
      <c r="R4158">
        <v>9.15</v>
      </c>
      <c r="S4158">
        <v>42.7</v>
      </c>
      <c r="T4158">
        <v>0.73</v>
      </c>
      <c r="U4158" t="s">
        <v>200</v>
      </c>
    </row>
    <row r="4159" spans="1:21">
      <c r="A4159" t="str">
        <f>"605255"</f>
        <v>605255</v>
      </c>
      <c r="B4159" t="s">
        <v>7971</v>
      </c>
      <c r="C4159">
        <v>3.81</v>
      </c>
      <c r="D4159">
        <v>17.44</v>
      </c>
      <c r="E4159">
        <v>0.64</v>
      </c>
      <c r="F4159">
        <v>17.43</v>
      </c>
      <c r="G4159">
        <v>17.44</v>
      </c>
      <c r="H4159">
        <v>32372</v>
      </c>
      <c r="I4159">
        <v>352</v>
      </c>
      <c r="J4159">
        <v>-0.1</v>
      </c>
      <c r="K4159">
        <v>9.66</v>
      </c>
      <c r="L4159">
        <v>5605.98</v>
      </c>
      <c r="M4159" t="s">
        <v>2792</v>
      </c>
      <c r="N4159" t="s">
        <v>91</v>
      </c>
      <c r="O4159">
        <v>16.71</v>
      </c>
      <c r="P4159">
        <v>17.66</v>
      </c>
      <c r="Q4159">
        <v>16.71</v>
      </c>
      <c r="R4159">
        <v>16.8</v>
      </c>
      <c r="S4159">
        <v>46.95</v>
      </c>
      <c r="T4159">
        <v>1.3</v>
      </c>
      <c r="U4159" t="s">
        <v>200</v>
      </c>
    </row>
    <row r="4160" spans="1:21">
      <c r="A4160" t="str">
        <f>"605258"</f>
        <v>605258</v>
      </c>
      <c r="B4160" t="s">
        <v>7972</v>
      </c>
      <c r="C4160">
        <v>3.37</v>
      </c>
      <c r="D4160">
        <v>29.78</v>
      </c>
      <c r="E4160">
        <v>0.97</v>
      </c>
      <c r="F4160">
        <v>29.78</v>
      </c>
      <c r="G4160">
        <v>29.79</v>
      </c>
      <c r="H4160">
        <v>8138</v>
      </c>
      <c r="I4160">
        <v>335</v>
      </c>
      <c r="J4160">
        <v>0.3</v>
      </c>
      <c r="K4160">
        <v>3.7</v>
      </c>
      <c r="L4160">
        <v>2406.84</v>
      </c>
      <c r="M4160" t="s">
        <v>7973</v>
      </c>
      <c r="N4160" t="s">
        <v>69</v>
      </c>
      <c r="O4160">
        <v>29</v>
      </c>
      <c r="P4160">
        <v>29.99</v>
      </c>
      <c r="Q4160">
        <v>28.8</v>
      </c>
      <c r="R4160">
        <v>28.81</v>
      </c>
      <c r="S4160">
        <v>32.13</v>
      </c>
      <c r="T4160">
        <v>1.21</v>
      </c>
      <c r="U4160" t="s">
        <v>102</v>
      </c>
    </row>
    <row r="4161" spans="1:21">
      <c r="A4161" t="str">
        <f>"605259"</f>
        <v>605259</v>
      </c>
      <c r="B4161" t="s">
        <v>7974</v>
      </c>
      <c r="C4161">
        <v>-2.8</v>
      </c>
      <c r="D4161">
        <v>37.2</v>
      </c>
      <c r="E4161">
        <v>-1.07</v>
      </c>
      <c r="F4161">
        <v>37.2</v>
      </c>
      <c r="G4161">
        <v>37.22</v>
      </c>
      <c r="H4161">
        <v>32430</v>
      </c>
      <c r="I4161">
        <v>810</v>
      </c>
      <c r="J4161">
        <v>-0.44</v>
      </c>
      <c r="K4161">
        <v>14.74</v>
      </c>
      <c r="L4161">
        <v>12220.8</v>
      </c>
      <c r="M4161" t="s">
        <v>1590</v>
      </c>
      <c r="N4161" t="s">
        <v>786</v>
      </c>
      <c r="O4161">
        <v>38.68</v>
      </c>
      <c r="P4161">
        <v>39.15</v>
      </c>
      <c r="Q4161">
        <v>37.2</v>
      </c>
      <c r="R4161">
        <v>38.27</v>
      </c>
      <c r="S4161">
        <v>21.73</v>
      </c>
      <c r="T4161">
        <v>0.68</v>
      </c>
      <c r="U4161" t="s">
        <v>200</v>
      </c>
    </row>
    <row r="4162" spans="1:21">
      <c r="A4162" t="str">
        <f>"605266"</f>
        <v>605266</v>
      </c>
      <c r="B4162" t="s">
        <v>7975</v>
      </c>
      <c r="C4162">
        <v>0.45</v>
      </c>
      <c r="D4162">
        <v>77.98</v>
      </c>
      <c r="E4162">
        <v>0.35</v>
      </c>
      <c r="F4162">
        <v>77.98</v>
      </c>
      <c r="G4162">
        <v>77.99</v>
      </c>
      <c r="H4162">
        <v>1126</v>
      </c>
      <c r="I4162">
        <v>47</v>
      </c>
      <c r="J4162">
        <v>0.03</v>
      </c>
      <c r="K4162">
        <v>0.65</v>
      </c>
      <c r="L4162">
        <v>876.08</v>
      </c>
      <c r="M4162" t="s">
        <v>7976</v>
      </c>
      <c r="N4162" t="s">
        <v>86</v>
      </c>
      <c r="O4162">
        <v>77.63</v>
      </c>
      <c r="P4162">
        <v>78.36</v>
      </c>
      <c r="Q4162">
        <v>77.3</v>
      </c>
      <c r="R4162">
        <v>77.63</v>
      </c>
      <c r="S4162">
        <v>20.71</v>
      </c>
      <c r="T4162">
        <v>0.36</v>
      </c>
      <c r="U4162" t="s">
        <v>363</v>
      </c>
    </row>
    <row r="4163" spans="1:21">
      <c r="A4163" t="str">
        <f>"605268"</f>
        <v>605268</v>
      </c>
      <c r="B4163" t="s">
        <v>7977</v>
      </c>
      <c r="C4163">
        <v>2.88</v>
      </c>
      <c r="D4163">
        <v>12.15</v>
      </c>
      <c r="E4163">
        <v>0.34</v>
      </c>
      <c r="F4163">
        <v>12.14</v>
      </c>
      <c r="G4163">
        <v>12.15</v>
      </c>
      <c r="H4163">
        <v>20707</v>
      </c>
      <c r="I4163">
        <v>1446</v>
      </c>
      <c r="J4163">
        <v>0.58</v>
      </c>
      <c r="K4163">
        <v>3.09</v>
      </c>
      <c r="L4163">
        <v>2478.54</v>
      </c>
      <c r="M4163" t="s">
        <v>1946</v>
      </c>
      <c r="N4163" t="s">
        <v>910</v>
      </c>
      <c r="O4163">
        <v>11.82</v>
      </c>
      <c r="P4163">
        <v>12.15</v>
      </c>
      <c r="Q4163">
        <v>11.8</v>
      </c>
      <c r="R4163">
        <v>11.81</v>
      </c>
      <c r="S4163">
        <v>26.78</v>
      </c>
      <c r="T4163">
        <v>1.15</v>
      </c>
      <c r="U4163" t="s">
        <v>200</v>
      </c>
    </row>
    <row r="4164" spans="1:21">
      <c r="A4164" t="str">
        <f>"605277"</f>
        <v>605277</v>
      </c>
      <c r="B4164" t="s">
        <v>7978</v>
      </c>
      <c r="C4164">
        <v>0.65</v>
      </c>
      <c r="D4164">
        <v>35.45</v>
      </c>
      <c r="E4164">
        <v>0.23</v>
      </c>
      <c r="F4164">
        <v>35.45</v>
      </c>
      <c r="G4164">
        <v>35.47</v>
      </c>
      <c r="H4164">
        <v>32553</v>
      </c>
      <c r="I4164">
        <v>412</v>
      </c>
      <c r="J4164">
        <v>0.03</v>
      </c>
      <c r="K4164">
        <v>9.76</v>
      </c>
      <c r="L4164">
        <v>11619.24</v>
      </c>
      <c r="M4164" t="s">
        <v>5574</v>
      </c>
      <c r="N4164" t="s">
        <v>47</v>
      </c>
      <c r="O4164">
        <v>35.24</v>
      </c>
      <c r="P4164">
        <v>36.38</v>
      </c>
      <c r="Q4164">
        <v>35.19</v>
      </c>
      <c r="R4164">
        <v>35.22</v>
      </c>
      <c r="S4164">
        <v>27.53</v>
      </c>
      <c r="T4164">
        <v>0.54</v>
      </c>
      <c r="U4164" t="s">
        <v>200</v>
      </c>
    </row>
    <row r="4165" spans="1:21">
      <c r="A4165" t="str">
        <f>"605286"</f>
        <v>605286</v>
      </c>
      <c r="B4165" t="s">
        <v>7979</v>
      </c>
      <c r="C4165">
        <v>1.85</v>
      </c>
      <c r="D4165">
        <v>43</v>
      </c>
      <c r="E4165">
        <v>0.78</v>
      </c>
      <c r="F4165">
        <v>42.99</v>
      </c>
      <c r="G4165">
        <v>43</v>
      </c>
      <c r="H4165">
        <v>33036</v>
      </c>
      <c r="I4165">
        <v>507</v>
      </c>
      <c r="J4165">
        <v>-0.43</v>
      </c>
      <c r="K4165">
        <v>7.87</v>
      </c>
      <c r="L4165">
        <v>13933.38</v>
      </c>
      <c r="M4165" t="s">
        <v>895</v>
      </c>
      <c r="N4165" t="s">
        <v>43</v>
      </c>
      <c r="O4165">
        <v>41.46</v>
      </c>
      <c r="P4165">
        <v>43.66</v>
      </c>
      <c r="Q4165">
        <v>41.04</v>
      </c>
      <c r="R4165">
        <v>42.22</v>
      </c>
      <c r="S4165">
        <v>46.82</v>
      </c>
      <c r="T4165">
        <v>0.65</v>
      </c>
      <c r="U4165" t="s">
        <v>102</v>
      </c>
    </row>
    <row r="4166" spans="1:21">
      <c r="A4166" t="str">
        <f>"605287"</f>
        <v>605287</v>
      </c>
      <c r="B4166" t="s">
        <v>7980</v>
      </c>
      <c r="C4166">
        <v>1.07</v>
      </c>
      <c r="D4166">
        <v>27.41</v>
      </c>
      <c r="E4166">
        <v>0.29</v>
      </c>
      <c r="F4166">
        <v>27.41</v>
      </c>
      <c r="G4166">
        <v>27.42</v>
      </c>
      <c r="H4166">
        <v>4115</v>
      </c>
      <c r="I4166">
        <v>26</v>
      </c>
      <c r="J4166">
        <v>0.04</v>
      </c>
      <c r="K4166">
        <v>1.65</v>
      </c>
      <c r="L4166">
        <v>1126.69</v>
      </c>
      <c r="M4166" t="s">
        <v>2667</v>
      </c>
      <c r="N4166" t="s">
        <v>1189</v>
      </c>
      <c r="O4166">
        <v>27</v>
      </c>
      <c r="P4166">
        <v>27.55</v>
      </c>
      <c r="Q4166">
        <v>27</v>
      </c>
      <c r="R4166">
        <v>27.12</v>
      </c>
      <c r="S4166">
        <v>13.8</v>
      </c>
      <c r="T4166">
        <v>0.63</v>
      </c>
      <c r="U4166" t="s">
        <v>221</v>
      </c>
    </row>
    <row r="4167" spans="1:21">
      <c r="A4167" t="str">
        <f>"605288"</f>
        <v>605288</v>
      </c>
      <c r="B4167" t="s">
        <v>7981</v>
      </c>
      <c r="C4167">
        <v>-4.22</v>
      </c>
      <c r="D4167">
        <v>72.01</v>
      </c>
      <c r="E4167">
        <v>-3.17</v>
      </c>
      <c r="F4167">
        <v>72</v>
      </c>
      <c r="G4167">
        <v>72.01</v>
      </c>
      <c r="H4167">
        <v>8304</v>
      </c>
      <c r="I4167">
        <v>278</v>
      </c>
      <c r="J4167">
        <v>0.22</v>
      </c>
      <c r="K4167">
        <v>4.75</v>
      </c>
      <c r="L4167">
        <v>6116.23</v>
      </c>
      <c r="M4167" t="s">
        <v>7982</v>
      </c>
      <c r="N4167" t="s">
        <v>47</v>
      </c>
      <c r="O4167">
        <v>75.01</v>
      </c>
      <c r="P4167">
        <v>76</v>
      </c>
      <c r="Q4167">
        <v>71.8</v>
      </c>
      <c r="R4167">
        <v>75.18</v>
      </c>
      <c r="S4167">
        <v>42.96</v>
      </c>
      <c r="T4167">
        <v>0.77</v>
      </c>
      <c r="U4167" t="s">
        <v>102</v>
      </c>
    </row>
    <row r="4168" spans="1:21">
      <c r="A4168" t="str">
        <f>"605289"</f>
        <v>605289</v>
      </c>
      <c r="B4168" t="s">
        <v>7983</v>
      </c>
      <c r="C4168">
        <v>4.88</v>
      </c>
      <c r="D4168">
        <v>30.1</v>
      </c>
      <c r="E4168">
        <v>1.4</v>
      </c>
      <c r="F4168">
        <v>30.1</v>
      </c>
      <c r="G4168">
        <v>30.11</v>
      </c>
      <c r="H4168">
        <v>61170</v>
      </c>
      <c r="I4168">
        <v>769</v>
      </c>
      <c r="J4168">
        <v>0.07</v>
      </c>
      <c r="K4168">
        <v>28.23</v>
      </c>
      <c r="L4168">
        <v>18441.97</v>
      </c>
      <c r="M4168" t="s">
        <v>4175</v>
      </c>
      <c r="N4168" t="s">
        <v>50</v>
      </c>
      <c r="O4168">
        <v>28.8</v>
      </c>
      <c r="P4168">
        <v>30.88</v>
      </c>
      <c r="Q4168">
        <v>28.73</v>
      </c>
      <c r="R4168">
        <v>28.7</v>
      </c>
      <c r="S4168">
        <v>26.55</v>
      </c>
      <c r="T4168">
        <v>0.72</v>
      </c>
      <c r="U4168" t="s">
        <v>848</v>
      </c>
    </row>
    <row r="4169" spans="1:21">
      <c r="A4169" t="str">
        <f>"605296"</f>
        <v>605296</v>
      </c>
      <c r="B4169" t="s">
        <v>7984</v>
      </c>
      <c r="C4169">
        <v>0.2</v>
      </c>
      <c r="D4169">
        <v>39.98</v>
      </c>
      <c r="E4169">
        <v>0.08</v>
      </c>
      <c r="F4169">
        <v>39.98</v>
      </c>
      <c r="G4169">
        <v>39.99</v>
      </c>
      <c r="H4169">
        <v>10006</v>
      </c>
      <c r="I4169">
        <v>200</v>
      </c>
      <c r="J4169">
        <v>0.05</v>
      </c>
      <c r="K4169">
        <v>2.5</v>
      </c>
      <c r="L4169">
        <v>3978.41</v>
      </c>
      <c r="M4169" t="s">
        <v>7985</v>
      </c>
      <c r="N4169" t="s">
        <v>147</v>
      </c>
      <c r="O4169">
        <v>39.63</v>
      </c>
      <c r="P4169">
        <v>39.98</v>
      </c>
      <c r="Q4169">
        <v>39.5</v>
      </c>
      <c r="R4169">
        <v>39.9</v>
      </c>
      <c r="S4169">
        <v>52.43</v>
      </c>
      <c r="T4169">
        <v>0.99</v>
      </c>
      <c r="U4169" t="s">
        <v>363</v>
      </c>
    </row>
    <row r="4170" spans="1:21">
      <c r="A4170" t="str">
        <f>"605298"</f>
        <v>605298</v>
      </c>
      <c r="B4170" t="s">
        <v>7986</v>
      </c>
      <c r="C4170">
        <v>1.7</v>
      </c>
      <c r="D4170">
        <v>18.58</v>
      </c>
      <c r="E4170">
        <v>0.31</v>
      </c>
      <c r="F4170">
        <v>18.57</v>
      </c>
      <c r="G4170">
        <v>18.58</v>
      </c>
      <c r="H4170">
        <v>8654</v>
      </c>
      <c r="I4170">
        <v>214</v>
      </c>
      <c r="J4170">
        <v>0.05</v>
      </c>
      <c r="K4170">
        <v>3.21</v>
      </c>
      <c r="L4170">
        <v>1600.08</v>
      </c>
      <c r="M4170" t="s">
        <v>6994</v>
      </c>
      <c r="N4170" t="s">
        <v>43</v>
      </c>
      <c r="O4170">
        <v>18.26</v>
      </c>
      <c r="P4170">
        <v>18.69</v>
      </c>
      <c r="Q4170">
        <v>18.1</v>
      </c>
      <c r="R4170">
        <v>18.27</v>
      </c>
      <c r="S4170">
        <v>26.12</v>
      </c>
      <c r="T4170">
        <v>1.39</v>
      </c>
      <c r="U4170" t="s">
        <v>102</v>
      </c>
    </row>
    <row r="4171" spans="1:21">
      <c r="A4171" t="str">
        <f>"605299"</f>
        <v>605299</v>
      </c>
      <c r="B4171" t="s">
        <v>7987</v>
      </c>
      <c r="C4171">
        <v>2.96</v>
      </c>
      <c r="D4171">
        <v>20.17</v>
      </c>
      <c r="E4171">
        <v>0.58</v>
      </c>
      <c r="F4171">
        <v>20.17</v>
      </c>
      <c r="G4171">
        <v>20.18</v>
      </c>
      <c r="H4171">
        <v>27206</v>
      </c>
      <c r="I4171">
        <v>371</v>
      </c>
      <c r="J4171">
        <v>-0.04</v>
      </c>
      <c r="K4171">
        <v>5.44</v>
      </c>
      <c r="L4171">
        <v>5449.78</v>
      </c>
      <c r="M4171" t="s">
        <v>7988</v>
      </c>
      <c r="N4171" t="s">
        <v>63</v>
      </c>
      <c r="O4171">
        <v>19.59</v>
      </c>
      <c r="P4171">
        <v>20.56</v>
      </c>
      <c r="Q4171">
        <v>19.5</v>
      </c>
      <c r="R4171">
        <v>19.59</v>
      </c>
      <c r="S4171">
        <v>79.85</v>
      </c>
      <c r="T4171">
        <v>0.93</v>
      </c>
      <c r="U4171" t="s">
        <v>339</v>
      </c>
    </row>
    <row r="4172" spans="1:21">
      <c r="A4172" t="str">
        <f>"605300"</f>
        <v>605300</v>
      </c>
      <c r="B4172" t="s">
        <v>7989</v>
      </c>
      <c r="C4172">
        <v>-1.73</v>
      </c>
      <c r="D4172">
        <v>20.49</v>
      </c>
      <c r="E4172">
        <v>-0.36</v>
      </c>
      <c r="F4172">
        <v>20.49</v>
      </c>
      <c r="G4172">
        <v>20.5</v>
      </c>
      <c r="H4172">
        <v>59230</v>
      </c>
      <c r="I4172">
        <v>539</v>
      </c>
      <c r="J4172">
        <v>0.1</v>
      </c>
      <c r="K4172">
        <v>14.8</v>
      </c>
      <c r="L4172">
        <v>12356.1</v>
      </c>
      <c r="M4172" t="s">
        <v>7990</v>
      </c>
      <c r="N4172" t="s">
        <v>299</v>
      </c>
      <c r="O4172">
        <v>21.3</v>
      </c>
      <c r="P4172">
        <v>21.8</v>
      </c>
      <c r="Q4172">
        <v>20.2</v>
      </c>
      <c r="R4172">
        <v>20.85</v>
      </c>
      <c r="S4172">
        <v>55.62</v>
      </c>
      <c r="T4172">
        <v>1.02</v>
      </c>
      <c r="U4172" t="s">
        <v>102</v>
      </c>
    </row>
    <row r="4173" spans="1:21">
      <c r="A4173" t="str">
        <f>"605303"</f>
        <v>605303</v>
      </c>
      <c r="B4173" t="s">
        <v>7991</v>
      </c>
      <c r="C4173">
        <v>3.21</v>
      </c>
      <c r="D4173">
        <v>14.78</v>
      </c>
      <c r="E4173">
        <v>0.46</v>
      </c>
      <c r="F4173">
        <v>14.78</v>
      </c>
      <c r="G4173">
        <v>14.79</v>
      </c>
      <c r="H4173">
        <v>18660</v>
      </c>
      <c r="I4173">
        <v>165</v>
      </c>
      <c r="J4173">
        <v>-0.19</v>
      </c>
      <c r="K4173">
        <v>4.63</v>
      </c>
      <c r="L4173">
        <v>2781.31</v>
      </c>
      <c r="M4173" t="s">
        <v>7992</v>
      </c>
      <c r="N4173" t="s">
        <v>50</v>
      </c>
      <c r="O4173">
        <v>14.41</v>
      </c>
      <c r="P4173">
        <v>15.5</v>
      </c>
      <c r="Q4173">
        <v>14.39</v>
      </c>
      <c r="R4173">
        <v>14.32</v>
      </c>
      <c r="S4173">
        <v>108.87</v>
      </c>
      <c r="T4173">
        <v>2.16</v>
      </c>
      <c r="U4173" t="s">
        <v>200</v>
      </c>
    </row>
    <row r="4174" spans="1:21">
      <c r="A4174" t="str">
        <f>"605305"</f>
        <v>605305</v>
      </c>
      <c r="B4174" t="s">
        <v>7993</v>
      </c>
      <c r="C4174">
        <v>-2.92</v>
      </c>
      <c r="D4174">
        <v>109.5</v>
      </c>
      <c r="E4174">
        <v>-3.29</v>
      </c>
      <c r="F4174">
        <v>109.5</v>
      </c>
      <c r="G4174">
        <v>109.51</v>
      </c>
      <c r="H4174">
        <v>10946</v>
      </c>
      <c r="I4174">
        <v>389</v>
      </c>
      <c r="J4174">
        <v>-0.41</v>
      </c>
      <c r="K4174">
        <v>3.98</v>
      </c>
      <c r="L4174">
        <v>12238.44</v>
      </c>
      <c r="M4174" t="s">
        <v>7994</v>
      </c>
      <c r="N4174" t="s">
        <v>324</v>
      </c>
      <c r="O4174">
        <v>113.86</v>
      </c>
      <c r="P4174">
        <v>115.5</v>
      </c>
      <c r="Q4174">
        <v>109.47</v>
      </c>
      <c r="R4174">
        <v>112.79</v>
      </c>
      <c r="S4174">
        <v>50.07</v>
      </c>
      <c r="T4174">
        <v>0.79</v>
      </c>
      <c r="U4174" t="s">
        <v>44</v>
      </c>
    </row>
    <row r="4175" spans="1:21">
      <c r="A4175" t="str">
        <f>"605318"</f>
        <v>605318</v>
      </c>
      <c r="B4175" t="s">
        <v>7995</v>
      </c>
      <c r="C4175">
        <v>0.9</v>
      </c>
      <c r="D4175">
        <v>14.64</v>
      </c>
      <c r="E4175">
        <v>0.13</v>
      </c>
      <c r="F4175">
        <v>14.64</v>
      </c>
      <c r="G4175">
        <v>14.65</v>
      </c>
      <c r="H4175">
        <v>6963</v>
      </c>
      <c r="I4175">
        <v>123</v>
      </c>
      <c r="J4175">
        <v>0.14</v>
      </c>
      <c r="K4175">
        <v>2.16</v>
      </c>
      <c r="L4175">
        <v>1018.99</v>
      </c>
      <c r="M4175" t="s">
        <v>7996</v>
      </c>
      <c r="N4175" t="s">
        <v>1189</v>
      </c>
      <c r="O4175">
        <v>14.91</v>
      </c>
      <c r="P4175">
        <v>14.91</v>
      </c>
      <c r="Q4175">
        <v>14.42</v>
      </c>
      <c r="R4175">
        <v>14.51</v>
      </c>
      <c r="S4175">
        <v>35.13</v>
      </c>
      <c r="T4175">
        <v>0.53</v>
      </c>
      <c r="U4175" t="s">
        <v>200</v>
      </c>
    </row>
    <row r="4176" spans="1:21">
      <c r="A4176" t="str">
        <f>"605319"</f>
        <v>605319</v>
      </c>
      <c r="B4176" t="s">
        <v>7997</v>
      </c>
      <c r="C4176">
        <v>-1.87</v>
      </c>
      <c r="D4176">
        <v>16.78</v>
      </c>
      <c r="E4176">
        <v>-0.32</v>
      </c>
      <c r="F4176">
        <v>16.78</v>
      </c>
      <c r="G4176">
        <v>16.79</v>
      </c>
      <c r="H4176">
        <v>71556</v>
      </c>
      <c r="I4176">
        <v>1453</v>
      </c>
      <c r="J4176">
        <v>0.6</v>
      </c>
      <c r="K4176">
        <v>14.31</v>
      </c>
      <c r="L4176">
        <v>12202.71</v>
      </c>
      <c r="M4176" t="s">
        <v>4637</v>
      </c>
      <c r="N4176" t="s">
        <v>91</v>
      </c>
      <c r="O4176">
        <v>17.09</v>
      </c>
      <c r="P4176">
        <v>17.54</v>
      </c>
      <c r="Q4176">
        <v>16.66</v>
      </c>
      <c r="R4176">
        <v>17.1</v>
      </c>
      <c r="S4176">
        <v>39.7</v>
      </c>
      <c r="T4176">
        <v>0.73</v>
      </c>
      <c r="U4176" t="s">
        <v>102</v>
      </c>
    </row>
    <row r="4177" spans="1:21">
      <c r="A4177" t="str">
        <f>"605333"</f>
        <v>605333</v>
      </c>
      <c r="B4177" t="s">
        <v>7998</v>
      </c>
      <c r="C4177">
        <v>1.33</v>
      </c>
      <c r="D4177">
        <v>25.23</v>
      </c>
      <c r="E4177">
        <v>0.33</v>
      </c>
      <c r="F4177">
        <v>25.23</v>
      </c>
      <c r="G4177">
        <v>25.25</v>
      </c>
      <c r="H4177">
        <v>217129</v>
      </c>
      <c r="I4177">
        <v>5641</v>
      </c>
      <c r="J4177">
        <v>1.28</v>
      </c>
      <c r="K4177">
        <v>34.7</v>
      </c>
      <c r="L4177">
        <v>54309.14</v>
      </c>
      <c r="M4177" t="s">
        <v>7999</v>
      </c>
      <c r="N4177" t="s">
        <v>91</v>
      </c>
      <c r="O4177">
        <v>24.5</v>
      </c>
      <c r="P4177">
        <v>26</v>
      </c>
      <c r="Q4177">
        <v>23.8</v>
      </c>
      <c r="R4177">
        <v>24.9</v>
      </c>
      <c r="S4177">
        <v>167.31</v>
      </c>
      <c r="T4177">
        <v>0.9</v>
      </c>
      <c r="U4177" t="s">
        <v>102</v>
      </c>
    </row>
    <row r="4178" spans="1:21">
      <c r="A4178" t="str">
        <f>"605336"</f>
        <v>605336</v>
      </c>
      <c r="B4178" t="s">
        <v>8000</v>
      </c>
      <c r="C4178">
        <v>1.47</v>
      </c>
      <c r="D4178">
        <v>32.4</v>
      </c>
      <c r="E4178">
        <v>0.47</v>
      </c>
      <c r="F4178">
        <v>32.38</v>
      </c>
      <c r="G4178">
        <v>32.4</v>
      </c>
      <c r="H4178">
        <v>12178</v>
      </c>
      <c r="I4178">
        <v>522</v>
      </c>
      <c r="J4178">
        <v>0.43</v>
      </c>
      <c r="K4178">
        <v>2.72</v>
      </c>
      <c r="L4178">
        <v>3921.34</v>
      </c>
      <c r="M4178" t="s">
        <v>8001</v>
      </c>
      <c r="N4178" t="s">
        <v>60</v>
      </c>
      <c r="O4178">
        <v>31.89</v>
      </c>
      <c r="P4178">
        <v>32.78</v>
      </c>
      <c r="Q4178">
        <v>31.62</v>
      </c>
      <c r="R4178">
        <v>31.93</v>
      </c>
      <c r="S4178">
        <v>18.76</v>
      </c>
      <c r="T4178">
        <v>0.55</v>
      </c>
      <c r="U4178" t="s">
        <v>200</v>
      </c>
    </row>
    <row r="4179" spans="1:21">
      <c r="A4179" t="str">
        <f>"605337"</f>
        <v>605337</v>
      </c>
      <c r="B4179" t="s">
        <v>8002</v>
      </c>
      <c r="C4179">
        <v>-1.9</v>
      </c>
      <c r="D4179">
        <v>41.22</v>
      </c>
      <c r="E4179">
        <v>-0.8</v>
      </c>
      <c r="F4179">
        <v>41.22</v>
      </c>
      <c r="G4179">
        <v>41.23</v>
      </c>
      <c r="H4179">
        <v>45115</v>
      </c>
      <c r="I4179">
        <v>312</v>
      </c>
      <c r="J4179">
        <v>-0.01</v>
      </c>
      <c r="K4179">
        <v>8.33</v>
      </c>
      <c r="L4179">
        <v>18663.72</v>
      </c>
      <c r="M4179" t="s">
        <v>8003</v>
      </c>
      <c r="N4179" t="s">
        <v>1735</v>
      </c>
      <c r="O4179">
        <v>41.86</v>
      </c>
      <c r="P4179">
        <v>42.69</v>
      </c>
      <c r="Q4179">
        <v>40.6</v>
      </c>
      <c r="R4179">
        <v>42.02</v>
      </c>
      <c r="S4179">
        <v>34.36</v>
      </c>
      <c r="T4179">
        <v>1.1</v>
      </c>
      <c r="U4179" t="s">
        <v>200</v>
      </c>
    </row>
    <row r="4180" spans="1:21">
      <c r="A4180" t="str">
        <f>"605338"</f>
        <v>605338</v>
      </c>
      <c r="B4180" t="s">
        <v>8004</v>
      </c>
      <c r="C4180">
        <v>0.77</v>
      </c>
      <c r="D4180">
        <v>35.4</v>
      </c>
      <c r="E4180">
        <v>0.27</v>
      </c>
      <c r="F4180">
        <v>35.4</v>
      </c>
      <c r="G4180">
        <v>35.41</v>
      </c>
      <c r="H4180">
        <v>20112</v>
      </c>
      <c r="I4180">
        <v>280</v>
      </c>
      <c r="J4180">
        <v>0.85</v>
      </c>
      <c r="K4180">
        <v>2.33</v>
      </c>
      <c r="L4180">
        <v>7155.9</v>
      </c>
      <c r="M4180" t="s">
        <v>7471</v>
      </c>
      <c r="N4180" t="s">
        <v>299</v>
      </c>
      <c r="O4180">
        <v>35.4</v>
      </c>
      <c r="P4180">
        <v>36.5</v>
      </c>
      <c r="Q4180">
        <v>34.76</v>
      </c>
      <c r="R4180">
        <v>35.13</v>
      </c>
      <c r="S4180">
        <v>29.15</v>
      </c>
      <c r="T4180">
        <v>0.56</v>
      </c>
      <c r="U4180" t="s">
        <v>848</v>
      </c>
    </row>
    <row r="4181" spans="1:21">
      <c r="A4181" t="str">
        <f>"605339"</f>
        <v>605339</v>
      </c>
      <c r="B4181" t="s">
        <v>8005</v>
      </c>
      <c r="C4181">
        <v>0.18</v>
      </c>
      <c r="D4181">
        <v>33.66</v>
      </c>
      <c r="E4181">
        <v>0.06</v>
      </c>
      <c r="F4181">
        <v>33.66</v>
      </c>
      <c r="G4181">
        <v>33.67</v>
      </c>
      <c r="H4181">
        <v>19829</v>
      </c>
      <c r="I4181">
        <v>373</v>
      </c>
      <c r="J4181">
        <v>-0.05</v>
      </c>
      <c r="K4181">
        <v>3.12</v>
      </c>
      <c r="L4181">
        <v>6661.24</v>
      </c>
      <c r="M4181" t="s">
        <v>8006</v>
      </c>
      <c r="N4181" t="s">
        <v>299</v>
      </c>
      <c r="O4181">
        <v>33.5</v>
      </c>
      <c r="P4181">
        <v>33.94</v>
      </c>
      <c r="Q4181">
        <v>33.32</v>
      </c>
      <c r="R4181">
        <v>33.6</v>
      </c>
      <c r="S4181">
        <v>39.06</v>
      </c>
      <c r="T4181">
        <v>0.45</v>
      </c>
      <c r="U4181" t="s">
        <v>848</v>
      </c>
    </row>
    <row r="4182" spans="1:21">
      <c r="A4182" t="str">
        <f>"605358"</f>
        <v>605358</v>
      </c>
      <c r="B4182" t="s">
        <v>8007</v>
      </c>
      <c r="C4182">
        <v>-1.99</v>
      </c>
      <c r="D4182">
        <v>126.28</v>
      </c>
      <c r="E4182">
        <v>-2.57</v>
      </c>
      <c r="F4182">
        <v>126.28</v>
      </c>
      <c r="G4182">
        <v>126.3</v>
      </c>
      <c r="H4182">
        <v>70317</v>
      </c>
      <c r="I4182">
        <v>900</v>
      </c>
      <c r="J4182">
        <v>-0.23</v>
      </c>
      <c r="K4182">
        <v>2.49</v>
      </c>
      <c r="L4182">
        <v>89835.05</v>
      </c>
      <c r="M4182" t="s">
        <v>8008</v>
      </c>
      <c r="N4182" t="s">
        <v>1246</v>
      </c>
      <c r="O4182">
        <v>128.51</v>
      </c>
      <c r="P4182">
        <v>131.28</v>
      </c>
      <c r="Q4182">
        <v>125.94</v>
      </c>
      <c r="R4182">
        <v>128.85</v>
      </c>
      <c r="S4182">
        <v>107.15</v>
      </c>
      <c r="T4182">
        <v>1.11</v>
      </c>
      <c r="U4182" t="s">
        <v>200</v>
      </c>
    </row>
    <row r="4183" spans="1:21">
      <c r="A4183" t="str">
        <f>"605365"</f>
        <v>605365</v>
      </c>
      <c r="B4183" t="s">
        <v>8009</v>
      </c>
      <c r="C4183">
        <v>0.32</v>
      </c>
      <c r="D4183">
        <v>18.62</v>
      </c>
      <c r="E4183">
        <v>0.06</v>
      </c>
      <c r="F4183">
        <v>18.61</v>
      </c>
      <c r="G4183">
        <v>18.62</v>
      </c>
      <c r="H4183">
        <v>14820</v>
      </c>
      <c r="I4183">
        <v>169</v>
      </c>
      <c r="J4183">
        <v>-0.04</v>
      </c>
      <c r="K4183">
        <v>2.96</v>
      </c>
      <c r="L4183">
        <v>2744.63</v>
      </c>
      <c r="M4183" t="s">
        <v>8010</v>
      </c>
      <c r="N4183" t="s">
        <v>60</v>
      </c>
      <c r="O4183">
        <v>18.49</v>
      </c>
      <c r="P4183">
        <v>18.68</v>
      </c>
      <c r="Q4183">
        <v>18.32</v>
      </c>
      <c r="R4183">
        <v>18.56</v>
      </c>
      <c r="S4183">
        <v>23.9</v>
      </c>
      <c r="T4183">
        <v>0.85</v>
      </c>
      <c r="U4183" t="s">
        <v>339</v>
      </c>
    </row>
    <row r="4184" spans="1:21">
      <c r="A4184" t="str">
        <f>"605366"</f>
        <v>605366</v>
      </c>
      <c r="B4184" t="s">
        <v>8011</v>
      </c>
      <c r="C4184">
        <v>-0.07</v>
      </c>
      <c r="D4184">
        <v>13.98</v>
      </c>
      <c r="E4184">
        <v>-0.01</v>
      </c>
      <c r="F4184">
        <v>13.98</v>
      </c>
      <c r="G4184">
        <v>13.99</v>
      </c>
      <c r="H4184">
        <v>51393</v>
      </c>
      <c r="I4184">
        <v>725</v>
      </c>
      <c r="J4184">
        <v>0.14</v>
      </c>
      <c r="K4184">
        <v>3.18</v>
      </c>
      <c r="L4184">
        <v>7130.52</v>
      </c>
      <c r="M4184" t="s">
        <v>8012</v>
      </c>
      <c r="N4184" t="s">
        <v>309</v>
      </c>
      <c r="O4184">
        <v>13.9</v>
      </c>
      <c r="P4184">
        <v>14.07</v>
      </c>
      <c r="Q4184">
        <v>13.64</v>
      </c>
      <c r="R4184">
        <v>13.99</v>
      </c>
      <c r="S4184">
        <v>39.79</v>
      </c>
      <c r="T4184">
        <v>0.56</v>
      </c>
      <c r="U4184" t="s">
        <v>235</v>
      </c>
    </row>
    <row r="4185" spans="1:21">
      <c r="A4185" t="str">
        <f>"605368"</f>
        <v>605368</v>
      </c>
      <c r="B4185" t="s">
        <v>8013</v>
      </c>
      <c r="C4185">
        <v>0.55</v>
      </c>
      <c r="D4185">
        <v>14.73</v>
      </c>
      <c r="E4185">
        <v>0.08</v>
      </c>
      <c r="F4185">
        <v>14.73</v>
      </c>
      <c r="G4185">
        <v>14.74</v>
      </c>
      <c r="H4185">
        <v>36921</v>
      </c>
      <c r="I4185">
        <v>594</v>
      </c>
      <c r="J4185">
        <v>0.07</v>
      </c>
      <c r="K4185">
        <v>5.64</v>
      </c>
      <c r="L4185">
        <v>5433.26</v>
      </c>
      <c r="M4185" t="s">
        <v>8014</v>
      </c>
      <c r="N4185" t="s">
        <v>238</v>
      </c>
      <c r="O4185">
        <v>14.8</v>
      </c>
      <c r="P4185">
        <v>14.85</v>
      </c>
      <c r="Q4185">
        <v>14.51</v>
      </c>
      <c r="R4185">
        <v>14.65</v>
      </c>
      <c r="S4185">
        <v>17</v>
      </c>
      <c r="T4185">
        <v>0.96</v>
      </c>
      <c r="U4185" t="s">
        <v>224</v>
      </c>
    </row>
    <row r="4186" spans="1:21">
      <c r="A4186" t="str">
        <f>"605369"</f>
        <v>605369</v>
      </c>
      <c r="B4186" t="s">
        <v>8015</v>
      </c>
      <c r="C4186">
        <v>-1.85</v>
      </c>
      <c r="D4186">
        <v>103.2</v>
      </c>
      <c r="E4186">
        <v>-1.94</v>
      </c>
      <c r="F4186">
        <v>103.2</v>
      </c>
      <c r="G4186">
        <v>103.39</v>
      </c>
      <c r="H4186">
        <v>5782</v>
      </c>
      <c r="I4186">
        <v>99</v>
      </c>
      <c r="J4186">
        <v>-0.28</v>
      </c>
      <c r="K4186">
        <v>2.07</v>
      </c>
      <c r="L4186">
        <v>5976.09</v>
      </c>
      <c r="M4186" t="s">
        <v>8016</v>
      </c>
      <c r="N4186" t="s">
        <v>186</v>
      </c>
      <c r="O4186">
        <v>104.12</v>
      </c>
      <c r="P4186">
        <v>106.56</v>
      </c>
      <c r="Q4186">
        <v>101.52</v>
      </c>
      <c r="R4186">
        <v>105.14</v>
      </c>
      <c r="S4186">
        <v>34.59</v>
      </c>
      <c r="T4186">
        <v>0.62</v>
      </c>
      <c r="U4186" t="s">
        <v>200</v>
      </c>
    </row>
    <row r="4187" spans="1:21">
      <c r="A4187" t="str">
        <f>"605376"</f>
        <v>605376</v>
      </c>
      <c r="B4187" t="s">
        <v>8017</v>
      </c>
      <c r="C4187">
        <v>1.66</v>
      </c>
      <c r="D4187">
        <v>77.77</v>
      </c>
      <c r="E4187">
        <v>1.27</v>
      </c>
      <c r="F4187">
        <v>77.77</v>
      </c>
      <c r="G4187">
        <v>77.8</v>
      </c>
      <c r="H4187">
        <v>26511</v>
      </c>
      <c r="I4187">
        <v>89</v>
      </c>
      <c r="J4187">
        <v>-0.12</v>
      </c>
      <c r="K4187">
        <v>4.05</v>
      </c>
      <c r="L4187">
        <v>20323.49</v>
      </c>
      <c r="M4187" t="s">
        <v>8018</v>
      </c>
      <c r="N4187" t="s">
        <v>523</v>
      </c>
      <c r="O4187">
        <v>76.48</v>
      </c>
      <c r="P4187">
        <v>78.18</v>
      </c>
      <c r="Q4187">
        <v>74.2</v>
      </c>
      <c r="R4187">
        <v>76.5</v>
      </c>
      <c r="S4187">
        <v>86.07</v>
      </c>
      <c r="T4187">
        <v>1.19</v>
      </c>
      <c r="U4187" t="s">
        <v>102</v>
      </c>
    </row>
    <row r="4188" spans="1:21">
      <c r="A4188" t="str">
        <f>"605377"</f>
        <v>605377</v>
      </c>
      <c r="B4188" t="s">
        <v>8019</v>
      </c>
      <c r="C4188">
        <v>2.16</v>
      </c>
      <c r="D4188">
        <v>17.01</v>
      </c>
      <c r="E4188">
        <v>0.36</v>
      </c>
      <c r="F4188">
        <v>17.01</v>
      </c>
      <c r="G4188">
        <v>17.02</v>
      </c>
      <c r="H4188">
        <v>20785</v>
      </c>
      <c r="I4188">
        <v>179</v>
      </c>
      <c r="J4188">
        <v>0.12</v>
      </c>
      <c r="K4188">
        <v>2.91</v>
      </c>
      <c r="L4188">
        <v>3500.65</v>
      </c>
      <c r="M4188" t="s">
        <v>8020</v>
      </c>
      <c r="N4188" t="s">
        <v>285</v>
      </c>
      <c r="O4188">
        <v>16.54</v>
      </c>
      <c r="P4188">
        <v>17.13</v>
      </c>
      <c r="Q4188">
        <v>16.48</v>
      </c>
      <c r="R4188">
        <v>16.65</v>
      </c>
      <c r="S4188">
        <v>11.45</v>
      </c>
      <c r="T4188">
        <v>1.67</v>
      </c>
      <c r="U4188" t="s">
        <v>200</v>
      </c>
    </row>
    <row r="4189" spans="1:21">
      <c r="A4189" t="str">
        <f>"605378"</f>
        <v>605378</v>
      </c>
      <c r="B4189" t="s">
        <v>8021</v>
      </c>
      <c r="C4189">
        <v>-0.89</v>
      </c>
      <c r="D4189">
        <v>30.05</v>
      </c>
      <c r="E4189">
        <v>-0.27</v>
      </c>
      <c r="F4189">
        <v>30.05</v>
      </c>
      <c r="G4189">
        <v>30.06</v>
      </c>
      <c r="H4189">
        <v>20061</v>
      </c>
      <c r="I4189">
        <v>418</v>
      </c>
      <c r="J4189">
        <v>-0.09</v>
      </c>
      <c r="K4189">
        <v>6.02</v>
      </c>
      <c r="L4189">
        <v>6017.38</v>
      </c>
      <c r="M4189" t="s">
        <v>7650</v>
      </c>
      <c r="N4189" t="s">
        <v>47</v>
      </c>
      <c r="O4189">
        <v>30.3</v>
      </c>
      <c r="P4189">
        <v>30.3</v>
      </c>
      <c r="Q4189">
        <v>29.7</v>
      </c>
      <c r="R4189">
        <v>30.32</v>
      </c>
      <c r="S4189">
        <v>46.37</v>
      </c>
      <c r="T4189">
        <v>0.69</v>
      </c>
      <c r="U4189" t="s">
        <v>200</v>
      </c>
    </row>
    <row r="4190" spans="1:21">
      <c r="A4190" t="str">
        <f>"605388"</f>
        <v>605388</v>
      </c>
      <c r="B4190" t="s">
        <v>8022</v>
      </c>
      <c r="C4190">
        <v>-0.51</v>
      </c>
      <c r="D4190">
        <v>17.52</v>
      </c>
      <c r="E4190">
        <v>-0.09</v>
      </c>
      <c r="F4190">
        <v>17.52</v>
      </c>
      <c r="G4190">
        <v>17.53</v>
      </c>
      <c r="H4190">
        <v>38056</v>
      </c>
      <c r="I4190">
        <v>759</v>
      </c>
      <c r="J4190">
        <v>0.06</v>
      </c>
      <c r="K4190">
        <v>2.7</v>
      </c>
      <c r="L4190">
        <v>6686.31</v>
      </c>
      <c r="M4190" t="s">
        <v>8023</v>
      </c>
      <c r="N4190" t="s">
        <v>825</v>
      </c>
      <c r="O4190">
        <v>17.65</v>
      </c>
      <c r="P4190">
        <v>17.85</v>
      </c>
      <c r="Q4190">
        <v>17.4</v>
      </c>
      <c r="R4190">
        <v>17.61</v>
      </c>
      <c r="S4190">
        <v>39.23</v>
      </c>
      <c r="T4190">
        <v>0.97</v>
      </c>
      <c r="U4190" t="s">
        <v>267</v>
      </c>
    </row>
    <row r="4191" spans="1:21">
      <c r="A4191" t="str">
        <f>"605389"</f>
        <v>605389</v>
      </c>
      <c r="B4191" t="s">
        <v>8024</v>
      </c>
      <c r="C4191">
        <v>2.27</v>
      </c>
      <c r="D4191">
        <v>48.63</v>
      </c>
      <c r="E4191">
        <v>1.08</v>
      </c>
      <c r="F4191">
        <v>48.63</v>
      </c>
      <c r="G4191">
        <v>48.64</v>
      </c>
      <c r="H4191">
        <v>7694</v>
      </c>
      <c r="I4191">
        <v>123</v>
      </c>
      <c r="J4191">
        <v>0.12</v>
      </c>
      <c r="K4191">
        <v>3.16</v>
      </c>
      <c r="L4191">
        <v>3718.26</v>
      </c>
      <c r="M4191" t="s">
        <v>8025</v>
      </c>
      <c r="N4191" t="s">
        <v>347</v>
      </c>
      <c r="O4191">
        <v>47.55</v>
      </c>
      <c r="P4191">
        <v>48.97</v>
      </c>
      <c r="Q4191">
        <v>47.2</v>
      </c>
      <c r="R4191">
        <v>47.55</v>
      </c>
      <c r="S4191">
        <v>22.51</v>
      </c>
      <c r="T4191">
        <v>0.97</v>
      </c>
      <c r="U4191" t="s">
        <v>102</v>
      </c>
    </row>
    <row r="4192" spans="1:21">
      <c r="A4192" t="str">
        <f>"605398"</f>
        <v>605398</v>
      </c>
      <c r="B4192" t="s">
        <v>8026</v>
      </c>
      <c r="C4192">
        <v>0.83</v>
      </c>
      <c r="D4192">
        <v>38.88</v>
      </c>
      <c r="E4192">
        <v>0.32</v>
      </c>
      <c r="F4192">
        <v>38.88</v>
      </c>
      <c r="G4192">
        <v>39.01</v>
      </c>
      <c r="H4192">
        <v>2657</v>
      </c>
      <c r="I4192">
        <v>13</v>
      </c>
      <c r="J4192">
        <v>0.05</v>
      </c>
      <c r="K4192">
        <v>1.79</v>
      </c>
      <c r="L4192">
        <v>1035.87</v>
      </c>
      <c r="M4192" t="s">
        <v>1815</v>
      </c>
      <c r="N4192" t="s">
        <v>30</v>
      </c>
      <c r="O4192">
        <v>38.79</v>
      </c>
      <c r="P4192">
        <v>39.2</v>
      </c>
      <c r="Q4192">
        <v>38.62</v>
      </c>
      <c r="R4192">
        <v>38.56</v>
      </c>
      <c r="S4192">
        <v>45.21</v>
      </c>
      <c r="T4192">
        <v>0.69</v>
      </c>
      <c r="U4192" t="s">
        <v>848</v>
      </c>
    </row>
    <row r="4193" spans="1:21">
      <c r="A4193" t="str">
        <f>"605399"</f>
        <v>605399</v>
      </c>
      <c r="B4193" t="s">
        <v>8027</v>
      </c>
      <c r="C4193">
        <v>-1.96</v>
      </c>
      <c r="D4193">
        <v>40.48</v>
      </c>
      <c r="E4193">
        <v>-0.81</v>
      </c>
      <c r="F4193">
        <v>40.48</v>
      </c>
      <c r="G4193">
        <v>40.5</v>
      </c>
      <c r="H4193">
        <v>132876</v>
      </c>
      <c r="I4193">
        <v>680</v>
      </c>
      <c r="J4193">
        <v>-0.29</v>
      </c>
      <c r="K4193">
        <v>20.42</v>
      </c>
      <c r="L4193">
        <v>55208.07</v>
      </c>
      <c r="M4193" t="s">
        <v>8028</v>
      </c>
      <c r="N4193" t="s">
        <v>309</v>
      </c>
      <c r="O4193">
        <v>42.5</v>
      </c>
      <c r="P4193">
        <v>43.3</v>
      </c>
      <c r="Q4193">
        <v>40.35</v>
      </c>
      <c r="R4193">
        <v>41.29</v>
      </c>
      <c r="S4193">
        <v>18.64</v>
      </c>
      <c r="T4193">
        <v>2.87</v>
      </c>
      <c r="U4193" t="s">
        <v>235</v>
      </c>
    </row>
    <row r="4194" spans="1:21">
      <c r="A4194" t="str">
        <f>"605488"</f>
        <v>605488</v>
      </c>
      <c r="B4194" t="s">
        <v>8029</v>
      </c>
      <c r="C4194">
        <v>2.87</v>
      </c>
      <c r="D4194">
        <v>26.86</v>
      </c>
      <c r="E4194">
        <v>0.75</v>
      </c>
      <c r="F4194">
        <v>26.85</v>
      </c>
      <c r="G4194">
        <v>26.86</v>
      </c>
      <c r="H4194">
        <v>15991</v>
      </c>
      <c r="I4194">
        <v>195</v>
      </c>
      <c r="J4194">
        <v>0.04</v>
      </c>
      <c r="K4194">
        <v>5.33</v>
      </c>
      <c r="L4194">
        <v>4261.41</v>
      </c>
      <c r="M4194" t="s">
        <v>8030</v>
      </c>
      <c r="N4194" t="s">
        <v>839</v>
      </c>
      <c r="O4194">
        <v>26.1</v>
      </c>
      <c r="P4194">
        <v>26.9</v>
      </c>
      <c r="Q4194">
        <v>26.1</v>
      </c>
      <c r="R4194">
        <v>26.11</v>
      </c>
      <c r="S4194">
        <v>22.18</v>
      </c>
      <c r="T4194">
        <v>1.9</v>
      </c>
      <c r="U4194" t="s">
        <v>200</v>
      </c>
    </row>
    <row r="4195" spans="1:21">
      <c r="A4195" t="str">
        <f>"605499"</f>
        <v>605499</v>
      </c>
      <c r="B4195" t="s">
        <v>8031</v>
      </c>
      <c r="C4195">
        <v>-0.45</v>
      </c>
      <c r="D4195">
        <v>177.3</v>
      </c>
      <c r="E4195">
        <v>-0.81</v>
      </c>
      <c r="F4195">
        <v>177.3</v>
      </c>
      <c r="G4195">
        <v>177.32</v>
      </c>
      <c r="H4195">
        <v>9290</v>
      </c>
      <c r="I4195">
        <v>78</v>
      </c>
      <c r="J4195">
        <v>0.22</v>
      </c>
      <c r="K4195">
        <v>2.32</v>
      </c>
      <c r="L4195">
        <v>16588.51</v>
      </c>
      <c r="M4195" t="s">
        <v>8032</v>
      </c>
      <c r="N4195" t="s">
        <v>825</v>
      </c>
      <c r="O4195">
        <v>178.04</v>
      </c>
      <c r="P4195">
        <v>182.91</v>
      </c>
      <c r="Q4195">
        <v>176</v>
      </c>
      <c r="R4195">
        <v>178.11</v>
      </c>
      <c r="S4195">
        <v>53.4</v>
      </c>
      <c r="T4195">
        <v>0.94</v>
      </c>
      <c r="U4195" t="s">
        <v>24</v>
      </c>
    </row>
    <row r="4196" spans="1:21">
      <c r="A4196" t="str">
        <f>"605500"</f>
        <v>605500</v>
      </c>
      <c r="B4196" t="s">
        <v>8033</v>
      </c>
      <c r="C4196">
        <v>0.94</v>
      </c>
      <c r="D4196">
        <v>17.2</v>
      </c>
      <c r="E4196">
        <v>0.16</v>
      </c>
      <c r="F4196">
        <v>17.2</v>
      </c>
      <c r="G4196">
        <v>17.21</v>
      </c>
      <c r="H4196">
        <v>5609</v>
      </c>
      <c r="I4196">
        <v>190</v>
      </c>
      <c r="J4196">
        <v>0</v>
      </c>
      <c r="K4196">
        <v>1.12</v>
      </c>
      <c r="L4196">
        <v>962.43</v>
      </c>
      <c r="M4196" t="s">
        <v>3266</v>
      </c>
      <c r="N4196" t="s">
        <v>285</v>
      </c>
      <c r="O4196">
        <v>17.05</v>
      </c>
      <c r="P4196">
        <v>17.24</v>
      </c>
      <c r="Q4196">
        <v>17.05</v>
      </c>
      <c r="R4196">
        <v>17.04</v>
      </c>
      <c r="S4196">
        <v>13.51</v>
      </c>
      <c r="T4196">
        <v>0.56</v>
      </c>
      <c r="U4196" t="s">
        <v>200</v>
      </c>
    </row>
    <row r="4197" spans="1:21">
      <c r="A4197" t="str">
        <f>"605507"</f>
        <v>605507</v>
      </c>
      <c r="B4197" t="s">
        <v>8034</v>
      </c>
      <c r="C4197">
        <v>0.83</v>
      </c>
      <c r="D4197">
        <v>27.96</v>
      </c>
      <c r="E4197">
        <v>0.23</v>
      </c>
      <c r="F4197">
        <v>27.95</v>
      </c>
      <c r="G4197">
        <v>27.96</v>
      </c>
      <c r="H4197">
        <v>10818</v>
      </c>
      <c r="I4197">
        <v>405</v>
      </c>
      <c r="J4197">
        <v>0.07</v>
      </c>
      <c r="K4197">
        <v>1.29</v>
      </c>
      <c r="L4197">
        <v>3019.74</v>
      </c>
      <c r="M4197" t="s">
        <v>8035</v>
      </c>
      <c r="N4197" t="s">
        <v>192</v>
      </c>
      <c r="O4197">
        <v>27.74</v>
      </c>
      <c r="P4197">
        <v>28.06</v>
      </c>
      <c r="Q4197">
        <v>27.74</v>
      </c>
      <c r="R4197">
        <v>27.73</v>
      </c>
      <c r="S4197">
        <v>22.49</v>
      </c>
      <c r="T4197">
        <v>0.45</v>
      </c>
      <c r="U4197" t="s">
        <v>200</v>
      </c>
    </row>
    <row r="4198" spans="1:21">
      <c r="A4198" t="str">
        <f>"605555"</f>
        <v>605555</v>
      </c>
      <c r="B4198" t="s">
        <v>8036</v>
      </c>
      <c r="C4198">
        <v>-3.24</v>
      </c>
      <c r="D4198">
        <v>45.92</v>
      </c>
      <c r="E4198">
        <v>-1.54</v>
      </c>
      <c r="F4198">
        <v>45.91</v>
      </c>
      <c r="G4198">
        <v>45.92</v>
      </c>
      <c r="H4198">
        <v>74176</v>
      </c>
      <c r="I4198">
        <v>1409</v>
      </c>
      <c r="J4198">
        <v>0.97</v>
      </c>
      <c r="K4198">
        <v>14.84</v>
      </c>
      <c r="L4198">
        <v>33991.8</v>
      </c>
      <c r="M4198" t="s">
        <v>8037</v>
      </c>
      <c r="N4198" t="s">
        <v>60</v>
      </c>
      <c r="O4198">
        <v>47</v>
      </c>
      <c r="P4198">
        <v>48.1</v>
      </c>
      <c r="Q4198">
        <v>45</v>
      </c>
      <c r="R4198">
        <v>47.46</v>
      </c>
      <c r="S4198">
        <v>29.79</v>
      </c>
      <c r="T4198">
        <v>0.65</v>
      </c>
      <c r="U4198" t="s">
        <v>200</v>
      </c>
    </row>
    <row r="4199" spans="1:21">
      <c r="A4199" t="str">
        <f>"605566"</f>
        <v>605566</v>
      </c>
      <c r="B4199" t="s">
        <v>8038</v>
      </c>
      <c r="C4199">
        <v>0.2</v>
      </c>
      <c r="D4199">
        <v>30.38</v>
      </c>
      <c r="E4199">
        <v>0.06</v>
      </c>
      <c r="F4199">
        <v>30.38</v>
      </c>
      <c r="G4199">
        <v>30.39</v>
      </c>
      <c r="H4199">
        <v>19995</v>
      </c>
      <c r="I4199">
        <v>222</v>
      </c>
      <c r="J4199">
        <v>-0.06</v>
      </c>
      <c r="K4199">
        <v>6</v>
      </c>
      <c r="L4199">
        <v>6054.79</v>
      </c>
      <c r="M4199" t="s">
        <v>8039</v>
      </c>
      <c r="N4199" t="s">
        <v>416</v>
      </c>
      <c r="O4199">
        <v>30.28</v>
      </c>
      <c r="P4199">
        <v>30.66</v>
      </c>
      <c r="Q4199">
        <v>29.94</v>
      </c>
      <c r="R4199">
        <v>30.32</v>
      </c>
      <c r="S4199">
        <v>21.4</v>
      </c>
      <c r="T4199">
        <v>0.54</v>
      </c>
      <c r="U4199" t="s">
        <v>200</v>
      </c>
    </row>
    <row r="4200" spans="1:21">
      <c r="A4200" t="str">
        <f>"605567"</f>
        <v>605567</v>
      </c>
      <c r="B4200" t="s">
        <v>8040</v>
      </c>
      <c r="C4200">
        <v>-0.7</v>
      </c>
      <c r="D4200">
        <v>15.5</v>
      </c>
      <c r="E4200">
        <v>-0.11</v>
      </c>
      <c r="F4200">
        <v>15.49</v>
      </c>
      <c r="G4200">
        <v>15.5</v>
      </c>
      <c r="H4200">
        <v>71479</v>
      </c>
      <c r="I4200">
        <v>1002</v>
      </c>
      <c r="J4200">
        <v>0.06</v>
      </c>
      <c r="K4200">
        <v>14.3</v>
      </c>
      <c r="L4200">
        <v>11017.76</v>
      </c>
      <c r="M4200" t="s">
        <v>2208</v>
      </c>
      <c r="N4200" t="s">
        <v>299</v>
      </c>
      <c r="O4200">
        <v>15.5</v>
      </c>
      <c r="P4200">
        <v>15.68</v>
      </c>
      <c r="Q4200">
        <v>15.14</v>
      </c>
      <c r="R4200">
        <v>15.61</v>
      </c>
      <c r="S4200">
        <v>34.08</v>
      </c>
      <c r="T4200">
        <v>0.65</v>
      </c>
      <c r="U4200" t="s">
        <v>221</v>
      </c>
    </row>
    <row r="4201" spans="1:21">
      <c r="A4201" t="str">
        <f>"605577"</f>
        <v>605577</v>
      </c>
      <c r="B4201" t="s">
        <v>8041</v>
      </c>
      <c r="C4201">
        <v>-1.22</v>
      </c>
      <c r="D4201">
        <v>12.92</v>
      </c>
      <c r="E4201">
        <v>-0.16</v>
      </c>
      <c r="F4201">
        <v>12.91</v>
      </c>
      <c r="G4201">
        <v>12.92</v>
      </c>
      <c r="H4201">
        <v>50810</v>
      </c>
      <c r="I4201">
        <v>842</v>
      </c>
      <c r="J4201">
        <v>-0.22</v>
      </c>
      <c r="K4201">
        <v>11.43</v>
      </c>
      <c r="L4201">
        <v>6601.32</v>
      </c>
      <c r="M4201" t="s">
        <v>610</v>
      </c>
      <c r="N4201" t="s">
        <v>650</v>
      </c>
      <c r="O4201">
        <v>13.08</v>
      </c>
      <c r="P4201">
        <v>13.24</v>
      </c>
      <c r="Q4201">
        <v>12.84</v>
      </c>
      <c r="R4201">
        <v>13.08</v>
      </c>
      <c r="S4201">
        <v>16.55</v>
      </c>
      <c r="T4201">
        <v>0.49</v>
      </c>
      <c r="U4201" t="s">
        <v>445</v>
      </c>
    </row>
    <row r="4202" spans="1:21">
      <c r="A4202" t="str">
        <f>"605580"</f>
        <v>605580</v>
      </c>
      <c r="B4202" t="s">
        <v>8042</v>
      </c>
      <c r="C4202">
        <v>-0.75</v>
      </c>
      <c r="D4202">
        <v>18.52</v>
      </c>
      <c r="E4202">
        <v>-0.14</v>
      </c>
      <c r="F4202">
        <v>18.52</v>
      </c>
      <c r="G4202">
        <v>18.53</v>
      </c>
      <c r="H4202">
        <v>74115</v>
      </c>
      <c r="I4202">
        <v>1464</v>
      </c>
      <c r="J4202">
        <v>0.16</v>
      </c>
      <c r="K4202">
        <v>14.82</v>
      </c>
      <c r="L4202">
        <v>13633.97</v>
      </c>
      <c r="M4202" t="s">
        <v>8043</v>
      </c>
      <c r="N4202" t="s">
        <v>238</v>
      </c>
      <c r="O4202">
        <v>18.66</v>
      </c>
      <c r="P4202">
        <v>18.68</v>
      </c>
      <c r="Q4202">
        <v>18.2</v>
      </c>
      <c r="R4202">
        <v>18.66</v>
      </c>
      <c r="S4202">
        <v>30.89</v>
      </c>
      <c r="T4202">
        <v>0.6</v>
      </c>
      <c r="U4202" t="s">
        <v>200</v>
      </c>
    </row>
    <row r="4203" spans="1:21">
      <c r="A4203" t="str">
        <f>"605588"</f>
        <v>605588</v>
      </c>
      <c r="B4203" t="s">
        <v>8044</v>
      </c>
      <c r="C4203">
        <v>0.14</v>
      </c>
      <c r="D4203">
        <v>42.44</v>
      </c>
      <c r="E4203">
        <v>0.06</v>
      </c>
      <c r="F4203">
        <v>42.43</v>
      </c>
      <c r="G4203">
        <v>42.44</v>
      </c>
      <c r="H4203">
        <v>7959</v>
      </c>
      <c r="I4203">
        <v>164</v>
      </c>
      <c r="J4203">
        <v>-0.08</v>
      </c>
      <c r="K4203">
        <v>4.36</v>
      </c>
      <c r="L4203">
        <v>3381.83</v>
      </c>
      <c r="M4203" t="s">
        <v>2804</v>
      </c>
      <c r="N4203" t="s">
        <v>1246</v>
      </c>
      <c r="O4203">
        <v>42</v>
      </c>
      <c r="P4203">
        <v>42.94</v>
      </c>
      <c r="Q4203">
        <v>41.91</v>
      </c>
      <c r="R4203">
        <v>42.38</v>
      </c>
      <c r="S4203">
        <v>34.63</v>
      </c>
      <c r="T4203">
        <v>0.47</v>
      </c>
      <c r="U4203" t="s">
        <v>102</v>
      </c>
    </row>
    <row r="4204" spans="1:21">
      <c r="A4204" t="str">
        <f>"605589"</f>
        <v>605589</v>
      </c>
      <c r="B4204" t="s">
        <v>8045</v>
      </c>
      <c r="C4204">
        <v>2.85</v>
      </c>
      <c r="D4204">
        <v>39.02</v>
      </c>
      <c r="E4204">
        <v>1.08</v>
      </c>
      <c r="F4204">
        <v>39.01</v>
      </c>
      <c r="G4204">
        <v>39.02</v>
      </c>
      <c r="H4204">
        <v>61233</v>
      </c>
      <c r="I4204">
        <v>639</v>
      </c>
      <c r="J4204">
        <v>-0.14</v>
      </c>
      <c r="K4204">
        <v>7.55</v>
      </c>
      <c r="L4204">
        <v>23880.81</v>
      </c>
      <c r="M4204" t="s">
        <v>8046</v>
      </c>
      <c r="N4204" t="s">
        <v>309</v>
      </c>
      <c r="O4204">
        <v>37.85</v>
      </c>
      <c r="P4204">
        <v>40.4</v>
      </c>
      <c r="Q4204">
        <v>37.46</v>
      </c>
      <c r="R4204">
        <v>37.94</v>
      </c>
      <c r="S4204">
        <v>43.1</v>
      </c>
      <c r="T4204">
        <v>0.9</v>
      </c>
      <c r="U4204" t="s">
        <v>221</v>
      </c>
    </row>
    <row r="4205" spans="1:21">
      <c r="A4205" t="str">
        <f>"605598"</f>
        <v>605598</v>
      </c>
      <c r="B4205" t="s">
        <v>8047</v>
      </c>
      <c r="C4205">
        <v>2.13</v>
      </c>
      <c r="D4205">
        <v>15.37</v>
      </c>
      <c r="E4205">
        <v>0.32</v>
      </c>
      <c r="F4205">
        <v>15.36</v>
      </c>
      <c r="G4205">
        <v>15.37</v>
      </c>
      <c r="H4205">
        <v>44581</v>
      </c>
      <c r="I4205">
        <v>3746</v>
      </c>
      <c r="J4205">
        <v>-0.05</v>
      </c>
      <c r="K4205">
        <v>10.32</v>
      </c>
      <c r="L4205">
        <v>6754.04</v>
      </c>
      <c r="M4205" t="s">
        <v>8048</v>
      </c>
      <c r="N4205" t="s">
        <v>50</v>
      </c>
      <c r="O4205">
        <v>14.99</v>
      </c>
      <c r="P4205">
        <v>15.41</v>
      </c>
      <c r="Q4205">
        <v>14.81</v>
      </c>
      <c r="R4205">
        <v>15.05</v>
      </c>
      <c r="S4205">
        <v>29.74</v>
      </c>
      <c r="T4205">
        <v>1.41</v>
      </c>
      <c r="U4205" t="s">
        <v>848</v>
      </c>
    </row>
    <row r="4206" spans="1:21">
      <c r="A4206" t="str">
        <f>"605599"</f>
        <v>605599</v>
      </c>
      <c r="B4206" t="s">
        <v>8049</v>
      </c>
      <c r="C4206">
        <v>-0.17</v>
      </c>
      <c r="D4206">
        <v>12.03</v>
      </c>
      <c r="E4206">
        <v>-0.02</v>
      </c>
      <c r="F4206">
        <v>12.02</v>
      </c>
      <c r="G4206">
        <v>12.03</v>
      </c>
      <c r="H4206">
        <v>25819</v>
      </c>
      <c r="I4206">
        <v>316</v>
      </c>
      <c r="J4206">
        <v>0.08</v>
      </c>
      <c r="K4206">
        <v>3.32</v>
      </c>
      <c r="L4206">
        <v>3095.77</v>
      </c>
      <c r="M4206" t="s">
        <v>8050</v>
      </c>
      <c r="N4206" t="s">
        <v>302</v>
      </c>
      <c r="O4206">
        <v>12.06</v>
      </c>
      <c r="P4206">
        <v>12.12</v>
      </c>
      <c r="Q4206">
        <v>11.89</v>
      </c>
      <c r="R4206">
        <v>12.05</v>
      </c>
      <c r="S4206">
        <v>26.39</v>
      </c>
      <c r="T4206">
        <v>0.83</v>
      </c>
      <c r="U4206" t="s">
        <v>44</v>
      </c>
    </row>
    <row r="4207" spans="1:21">
      <c r="A4207" t="str">
        <f>"688001"</f>
        <v>688001</v>
      </c>
      <c r="B4207" t="s">
        <v>8051</v>
      </c>
      <c r="C4207">
        <v>2.77</v>
      </c>
      <c r="D4207">
        <v>38.61</v>
      </c>
      <c r="E4207">
        <v>1.04</v>
      </c>
      <c r="F4207">
        <v>38.6</v>
      </c>
      <c r="G4207">
        <v>38.61</v>
      </c>
      <c r="H4207">
        <v>14410</v>
      </c>
      <c r="I4207">
        <v>122</v>
      </c>
      <c r="J4207">
        <v>0.05</v>
      </c>
      <c r="K4207">
        <v>2.79</v>
      </c>
      <c r="L4207">
        <v>5552.8</v>
      </c>
      <c r="M4207" t="s">
        <v>8052</v>
      </c>
      <c r="N4207" t="s">
        <v>324</v>
      </c>
      <c r="O4207">
        <v>37.85</v>
      </c>
      <c r="P4207">
        <v>38.89</v>
      </c>
      <c r="Q4207">
        <v>37.66</v>
      </c>
      <c r="R4207">
        <v>37.57</v>
      </c>
      <c r="S4207">
        <v>46.97</v>
      </c>
      <c r="T4207">
        <v>0.88</v>
      </c>
      <c r="U4207" t="s">
        <v>102</v>
      </c>
    </row>
    <row r="4208" spans="1:21">
      <c r="A4208" t="str">
        <f>"688002"</f>
        <v>688002</v>
      </c>
      <c r="B4208" t="s">
        <v>8053</v>
      </c>
      <c r="C4208">
        <v>-1.4</v>
      </c>
      <c r="D4208">
        <v>77</v>
      </c>
      <c r="E4208">
        <v>-1.09</v>
      </c>
      <c r="F4208">
        <v>76.98</v>
      </c>
      <c r="G4208">
        <v>77</v>
      </c>
      <c r="H4208">
        <v>37031</v>
      </c>
      <c r="I4208">
        <v>299</v>
      </c>
      <c r="J4208">
        <v>0.16</v>
      </c>
      <c r="K4208">
        <v>1.6</v>
      </c>
      <c r="L4208">
        <v>28579.07</v>
      </c>
      <c r="M4208" t="s">
        <v>8054</v>
      </c>
      <c r="N4208" t="s">
        <v>153</v>
      </c>
      <c r="O4208">
        <v>78.09</v>
      </c>
      <c r="P4208">
        <v>78.34</v>
      </c>
      <c r="Q4208">
        <v>76.2</v>
      </c>
      <c r="R4208">
        <v>78.09</v>
      </c>
      <c r="S4208">
        <v>60.66</v>
      </c>
      <c r="T4208">
        <v>0.64</v>
      </c>
      <c r="U4208" t="s">
        <v>221</v>
      </c>
    </row>
    <row r="4209" spans="1:21">
      <c r="A4209" t="str">
        <f>"688003"</f>
        <v>688003</v>
      </c>
      <c r="B4209" t="s">
        <v>8055</v>
      </c>
      <c r="C4209">
        <v>0.91</v>
      </c>
      <c r="D4209">
        <v>41.25</v>
      </c>
      <c r="E4209">
        <v>0.37</v>
      </c>
      <c r="F4209">
        <v>41.24</v>
      </c>
      <c r="G4209">
        <v>41.25</v>
      </c>
      <c r="H4209">
        <v>15917</v>
      </c>
      <c r="I4209">
        <v>102</v>
      </c>
      <c r="J4209">
        <v>0.34</v>
      </c>
      <c r="K4209">
        <v>2.17</v>
      </c>
      <c r="L4209">
        <v>6576.33</v>
      </c>
      <c r="M4209" t="s">
        <v>8056</v>
      </c>
      <c r="N4209" t="s">
        <v>324</v>
      </c>
      <c r="O4209">
        <v>41.07</v>
      </c>
      <c r="P4209">
        <v>41.98</v>
      </c>
      <c r="Q4209">
        <v>40.28</v>
      </c>
      <c r="R4209">
        <v>40.88</v>
      </c>
      <c r="S4209">
        <v>272.44</v>
      </c>
      <c r="T4209">
        <v>1.18</v>
      </c>
      <c r="U4209" t="s">
        <v>102</v>
      </c>
    </row>
    <row r="4210" spans="1:21">
      <c r="A4210" t="str">
        <f>"688004"</f>
        <v>688004</v>
      </c>
      <c r="B4210" t="s">
        <v>8057</v>
      </c>
      <c r="C4210">
        <v>1.32</v>
      </c>
      <c r="D4210">
        <v>33.76</v>
      </c>
      <c r="E4210">
        <v>0.44</v>
      </c>
      <c r="F4210">
        <v>33.62</v>
      </c>
      <c r="G4210">
        <v>33.76</v>
      </c>
      <c r="H4210">
        <v>3999</v>
      </c>
      <c r="I4210">
        <v>24</v>
      </c>
      <c r="J4210">
        <v>0.12</v>
      </c>
      <c r="K4210">
        <v>1.01</v>
      </c>
      <c r="L4210">
        <v>1344.31</v>
      </c>
      <c r="M4210" t="s">
        <v>8058</v>
      </c>
      <c r="N4210" t="s">
        <v>30</v>
      </c>
      <c r="O4210">
        <v>33.05</v>
      </c>
      <c r="P4210">
        <v>33.95</v>
      </c>
      <c r="Q4210">
        <v>33.03</v>
      </c>
      <c r="R4210">
        <v>33.32</v>
      </c>
      <c r="S4210">
        <v>87.07</v>
      </c>
      <c r="T4210">
        <v>0.83</v>
      </c>
      <c r="U4210" t="s">
        <v>44</v>
      </c>
    </row>
    <row r="4211" spans="1:21">
      <c r="A4211" t="str">
        <f>"688005"</f>
        <v>688005</v>
      </c>
      <c r="B4211" t="s">
        <v>8059</v>
      </c>
      <c r="C4211">
        <v>5.44</v>
      </c>
      <c r="D4211">
        <v>120.1</v>
      </c>
      <c r="E4211">
        <v>6.2</v>
      </c>
      <c r="F4211">
        <v>120.09</v>
      </c>
      <c r="G4211">
        <v>120.1</v>
      </c>
      <c r="H4211">
        <v>88365</v>
      </c>
      <c r="I4211">
        <v>614</v>
      </c>
      <c r="J4211">
        <v>0.25</v>
      </c>
      <c r="K4211">
        <v>3.2</v>
      </c>
      <c r="L4211">
        <v>106766.25</v>
      </c>
      <c r="M4211" t="s">
        <v>8060</v>
      </c>
      <c r="N4211" t="s">
        <v>47</v>
      </c>
      <c r="O4211">
        <v>117.9</v>
      </c>
      <c r="P4211">
        <v>125</v>
      </c>
      <c r="Q4211">
        <v>117.16</v>
      </c>
      <c r="R4211">
        <v>113.9</v>
      </c>
      <c r="S4211">
        <v>73.55</v>
      </c>
      <c r="T4211">
        <v>1.44</v>
      </c>
      <c r="U4211" t="s">
        <v>200</v>
      </c>
    </row>
    <row r="4212" spans="1:21">
      <c r="A4212" t="str">
        <f>"688006"</f>
        <v>688006</v>
      </c>
      <c r="B4212" t="s">
        <v>8061</v>
      </c>
      <c r="C4212">
        <v>6.07</v>
      </c>
      <c r="D4212">
        <v>116.87</v>
      </c>
      <c r="E4212">
        <v>6.69</v>
      </c>
      <c r="F4212">
        <v>116.87</v>
      </c>
      <c r="G4212">
        <v>116.88</v>
      </c>
      <c r="H4212">
        <v>24603</v>
      </c>
      <c r="I4212">
        <v>109</v>
      </c>
      <c r="J4212">
        <v>0.19</v>
      </c>
      <c r="K4212">
        <v>2.18</v>
      </c>
      <c r="L4212">
        <v>28117.86</v>
      </c>
      <c r="M4212" t="s">
        <v>8062</v>
      </c>
      <c r="N4212" t="s">
        <v>47</v>
      </c>
      <c r="O4212">
        <v>109.88</v>
      </c>
      <c r="P4212">
        <v>118</v>
      </c>
      <c r="Q4212">
        <v>109.8</v>
      </c>
      <c r="R4212">
        <v>110.18</v>
      </c>
      <c r="S4212">
        <v>148.41</v>
      </c>
      <c r="T4212">
        <v>1.4</v>
      </c>
      <c r="U4212" t="s">
        <v>200</v>
      </c>
    </row>
    <row r="4213" spans="1:21">
      <c r="A4213" t="str">
        <f>"688007"</f>
        <v>688007</v>
      </c>
      <c r="B4213" t="s">
        <v>8063</v>
      </c>
      <c r="C4213">
        <v>3.76</v>
      </c>
      <c r="D4213">
        <v>33.69</v>
      </c>
      <c r="E4213">
        <v>1.22</v>
      </c>
      <c r="F4213">
        <v>33.69</v>
      </c>
      <c r="G4213">
        <v>33.7</v>
      </c>
      <c r="H4213">
        <v>62724</v>
      </c>
      <c r="I4213">
        <v>1237</v>
      </c>
      <c r="J4213">
        <v>0</v>
      </c>
      <c r="K4213">
        <v>2.19</v>
      </c>
      <c r="L4213">
        <v>20938.43</v>
      </c>
      <c r="M4213" t="s">
        <v>8064</v>
      </c>
      <c r="N4213" t="s">
        <v>69</v>
      </c>
      <c r="O4213">
        <v>32.47</v>
      </c>
      <c r="P4213">
        <v>33.96</v>
      </c>
      <c r="Q4213">
        <v>32.4</v>
      </c>
      <c r="R4213">
        <v>32.47</v>
      </c>
      <c r="S4213">
        <v>54.13</v>
      </c>
      <c r="T4213">
        <v>0.92</v>
      </c>
      <c r="U4213" t="s">
        <v>24</v>
      </c>
    </row>
    <row r="4214" spans="1:21">
      <c r="A4214" t="str">
        <f>"688008"</f>
        <v>688008</v>
      </c>
      <c r="B4214" t="s">
        <v>8065</v>
      </c>
      <c r="C4214">
        <v>0.34</v>
      </c>
      <c r="D4214">
        <v>74.86</v>
      </c>
      <c r="E4214">
        <v>0.25</v>
      </c>
      <c r="F4214">
        <v>74.76</v>
      </c>
      <c r="G4214">
        <v>74.86</v>
      </c>
      <c r="H4214">
        <v>57919</v>
      </c>
      <c r="I4214">
        <v>1219</v>
      </c>
      <c r="J4214">
        <v>0.32</v>
      </c>
      <c r="K4214">
        <v>1.36</v>
      </c>
      <c r="L4214">
        <v>43044.79</v>
      </c>
      <c r="M4214" t="s">
        <v>8066</v>
      </c>
      <c r="N4214" t="s">
        <v>1246</v>
      </c>
      <c r="O4214">
        <v>74.51</v>
      </c>
      <c r="P4214">
        <v>75.57</v>
      </c>
      <c r="Q4214">
        <v>73.18</v>
      </c>
      <c r="R4214">
        <v>74.61</v>
      </c>
      <c r="S4214">
        <v>123.92</v>
      </c>
      <c r="T4214">
        <v>0.74</v>
      </c>
      <c r="U4214" t="s">
        <v>848</v>
      </c>
    </row>
    <row r="4215" spans="1:21">
      <c r="A4215" t="str">
        <f>"688009"</f>
        <v>688009</v>
      </c>
      <c r="B4215" t="s">
        <v>8067</v>
      </c>
      <c r="C4215">
        <v>0.41</v>
      </c>
      <c r="D4215">
        <v>4.95</v>
      </c>
      <c r="E4215">
        <v>0.02</v>
      </c>
      <c r="F4215">
        <v>4.94</v>
      </c>
      <c r="G4215">
        <v>4.95</v>
      </c>
      <c r="H4215">
        <v>80132</v>
      </c>
      <c r="I4215">
        <v>1051</v>
      </c>
      <c r="J4215">
        <v>0.2</v>
      </c>
      <c r="K4215">
        <v>0.4</v>
      </c>
      <c r="L4215">
        <v>3953.45</v>
      </c>
      <c r="M4215" t="s">
        <v>8068</v>
      </c>
      <c r="N4215" t="s">
        <v>43</v>
      </c>
      <c r="O4215">
        <v>4.93</v>
      </c>
      <c r="P4215">
        <v>4.95</v>
      </c>
      <c r="Q4215">
        <v>4.91</v>
      </c>
      <c r="R4215">
        <v>4.93</v>
      </c>
      <c r="S4215">
        <v>16.32</v>
      </c>
      <c r="T4215">
        <v>0.95</v>
      </c>
      <c r="U4215" t="s">
        <v>44</v>
      </c>
    </row>
    <row r="4216" spans="1:21">
      <c r="A4216" t="str">
        <f>"688010"</f>
        <v>688010</v>
      </c>
      <c r="B4216" t="s">
        <v>8069</v>
      </c>
      <c r="C4216">
        <v>1.46</v>
      </c>
      <c r="D4216">
        <v>28.46</v>
      </c>
      <c r="E4216">
        <v>0.41</v>
      </c>
      <c r="F4216">
        <v>28.46</v>
      </c>
      <c r="G4216">
        <v>28.47</v>
      </c>
      <c r="H4216">
        <v>7740</v>
      </c>
      <c r="I4216">
        <v>32</v>
      </c>
      <c r="J4216">
        <v>-0.03</v>
      </c>
      <c r="K4216">
        <v>0.8</v>
      </c>
      <c r="L4216">
        <v>2205.96</v>
      </c>
      <c r="M4216" t="s">
        <v>6707</v>
      </c>
      <c r="N4216" t="s">
        <v>1028</v>
      </c>
      <c r="O4216">
        <v>27.99</v>
      </c>
      <c r="P4216">
        <v>28.83</v>
      </c>
      <c r="Q4216">
        <v>27.99</v>
      </c>
      <c r="R4216">
        <v>28.05</v>
      </c>
      <c r="S4216">
        <v>102.47</v>
      </c>
      <c r="T4216">
        <v>0.69</v>
      </c>
      <c r="U4216" t="s">
        <v>339</v>
      </c>
    </row>
    <row r="4217" spans="1:21">
      <c r="A4217" t="str">
        <f>"688011"</f>
        <v>688011</v>
      </c>
      <c r="B4217" t="s">
        <v>8070</v>
      </c>
      <c r="C4217">
        <v>1.2</v>
      </c>
      <c r="D4217">
        <v>33.63</v>
      </c>
      <c r="E4217">
        <v>0.4</v>
      </c>
      <c r="F4217">
        <v>33.62</v>
      </c>
      <c r="G4217">
        <v>33.63</v>
      </c>
      <c r="H4217">
        <v>5537</v>
      </c>
      <c r="I4217">
        <v>65</v>
      </c>
      <c r="J4217">
        <v>0</v>
      </c>
      <c r="K4217">
        <v>1.32</v>
      </c>
      <c r="L4217">
        <v>1848.37</v>
      </c>
      <c r="M4217" t="s">
        <v>308</v>
      </c>
      <c r="N4217" t="s">
        <v>69</v>
      </c>
      <c r="O4217">
        <v>33.38</v>
      </c>
      <c r="P4217">
        <v>33.68</v>
      </c>
      <c r="Q4217">
        <v>33.03</v>
      </c>
      <c r="R4217">
        <v>33.23</v>
      </c>
      <c r="S4217">
        <v>781.1</v>
      </c>
      <c r="T4217">
        <v>0.8</v>
      </c>
      <c r="U4217" t="s">
        <v>445</v>
      </c>
    </row>
    <row r="4218" spans="1:21">
      <c r="A4218" t="str">
        <f>"688012"</f>
        <v>688012</v>
      </c>
      <c r="B4218" t="s">
        <v>8071</v>
      </c>
      <c r="C4218">
        <v>0.03</v>
      </c>
      <c r="D4218">
        <v>164.5</v>
      </c>
      <c r="E4218">
        <v>0.05</v>
      </c>
      <c r="F4218">
        <v>164.45</v>
      </c>
      <c r="G4218">
        <v>164.5</v>
      </c>
      <c r="H4218">
        <v>43077</v>
      </c>
      <c r="I4218">
        <v>854</v>
      </c>
      <c r="J4218">
        <v>0.13</v>
      </c>
      <c r="K4218">
        <v>1.73</v>
      </c>
      <c r="L4218">
        <v>70634.44</v>
      </c>
      <c r="M4218" t="s">
        <v>8072</v>
      </c>
      <c r="N4218" t="s">
        <v>324</v>
      </c>
      <c r="O4218">
        <v>163.9</v>
      </c>
      <c r="P4218">
        <v>165.39</v>
      </c>
      <c r="Q4218">
        <v>161.78</v>
      </c>
      <c r="R4218">
        <v>164.45</v>
      </c>
      <c r="S4218">
        <v>140.31</v>
      </c>
      <c r="T4218">
        <v>0.74</v>
      </c>
      <c r="U4218" t="s">
        <v>848</v>
      </c>
    </row>
    <row r="4219" spans="1:21">
      <c r="A4219" t="str">
        <f>"688013"</f>
        <v>688013</v>
      </c>
      <c r="B4219" t="s">
        <v>8073</v>
      </c>
      <c r="C4219">
        <v>0.44</v>
      </c>
      <c r="D4219">
        <v>25.13</v>
      </c>
      <c r="E4219">
        <v>0.11</v>
      </c>
      <c r="F4219">
        <v>25.13</v>
      </c>
      <c r="G4219">
        <v>25.18</v>
      </c>
      <c r="H4219">
        <v>4642</v>
      </c>
      <c r="I4219">
        <v>41</v>
      </c>
      <c r="J4219">
        <v>0</v>
      </c>
      <c r="K4219">
        <v>1.37</v>
      </c>
      <c r="L4219">
        <v>1168.96</v>
      </c>
      <c r="M4219" t="s">
        <v>3092</v>
      </c>
      <c r="N4219" t="s">
        <v>186</v>
      </c>
      <c r="O4219">
        <v>25.02</v>
      </c>
      <c r="P4219">
        <v>25.39</v>
      </c>
      <c r="Q4219">
        <v>24.9</v>
      </c>
      <c r="R4219">
        <v>25.02</v>
      </c>
      <c r="S4219">
        <v>41.48</v>
      </c>
      <c r="T4219">
        <v>1.02</v>
      </c>
      <c r="U4219" t="s">
        <v>102</v>
      </c>
    </row>
    <row r="4220" spans="1:21">
      <c r="A4220" t="str">
        <f>"688015"</f>
        <v>688015</v>
      </c>
      <c r="B4220" t="s">
        <v>8074</v>
      </c>
      <c r="C4220">
        <v>1.34</v>
      </c>
      <c r="D4220">
        <v>31.71</v>
      </c>
      <c r="E4220">
        <v>0.42</v>
      </c>
      <c r="F4220">
        <v>31.7</v>
      </c>
      <c r="G4220">
        <v>31.71</v>
      </c>
      <c r="H4220">
        <v>4525</v>
      </c>
      <c r="I4220">
        <v>16</v>
      </c>
      <c r="J4220">
        <v>0.06</v>
      </c>
      <c r="K4220">
        <v>0.49</v>
      </c>
      <c r="L4220">
        <v>1430.02</v>
      </c>
      <c r="M4220" t="s">
        <v>548</v>
      </c>
      <c r="N4220" t="s">
        <v>43</v>
      </c>
      <c r="O4220">
        <v>31.42</v>
      </c>
      <c r="P4220">
        <v>31.74</v>
      </c>
      <c r="Q4220">
        <v>31.29</v>
      </c>
      <c r="R4220">
        <v>31.29</v>
      </c>
      <c r="S4220">
        <v>24.5</v>
      </c>
      <c r="T4220">
        <v>0.55</v>
      </c>
      <c r="U4220" t="s">
        <v>44</v>
      </c>
    </row>
    <row r="4221" spans="1:21">
      <c r="A4221" t="str">
        <f>"688016"</f>
        <v>688016</v>
      </c>
      <c r="B4221" t="s">
        <v>8075</v>
      </c>
      <c r="C4221">
        <v>1.1</v>
      </c>
      <c r="D4221">
        <v>275</v>
      </c>
      <c r="E4221">
        <v>3</v>
      </c>
      <c r="F4221">
        <v>274.65</v>
      </c>
      <c r="G4221">
        <v>275</v>
      </c>
      <c r="H4221">
        <v>7552</v>
      </c>
      <c r="I4221">
        <v>144</v>
      </c>
      <c r="J4221">
        <v>0</v>
      </c>
      <c r="K4221">
        <v>1.96</v>
      </c>
      <c r="L4221">
        <v>20751.84</v>
      </c>
      <c r="M4221" t="s">
        <v>8076</v>
      </c>
      <c r="N4221" t="s">
        <v>186</v>
      </c>
      <c r="O4221">
        <v>269.95</v>
      </c>
      <c r="P4221">
        <v>280.96</v>
      </c>
      <c r="Q4221">
        <v>269.9</v>
      </c>
      <c r="R4221">
        <v>272</v>
      </c>
      <c r="S4221">
        <v>59.39</v>
      </c>
      <c r="T4221">
        <v>0.72</v>
      </c>
      <c r="U4221" t="s">
        <v>848</v>
      </c>
    </row>
    <row r="4222" spans="1:21">
      <c r="A4222" t="str">
        <f>"688017"</f>
        <v>688017</v>
      </c>
      <c r="B4222" t="s">
        <v>8077</v>
      </c>
      <c r="C4222">
        <v>3.88</v>
      </c>
      <c r="D4222">
        <v>165.6</v>
      </c>
      <c r="E4222">
        <v>6.18</v>
      </c>
      <c r="F4222">
        <v>165.6</v>
      </c>
      <c r="G4222">
        <v>165.61</v>
      </c>
      <c r="H4222">
        <v>9902</v>
      </c>
      <c r="I4222">
        <v>18</v>
      </c>
      <c r="J4222">
        <v>-0.18</v>
      </c>
      <c r="K4222">
        <v>1.52</v>
      </c>
      <c r="L4222">
        <v>16318.36</v>
      </c>
      <c r="M4222" t="s">
        <v>8078</v>
      </c>
      <c r="N4222" t="s">
        <v>347</v>
      </c>
      <c r="O4222">
        <v>159.42</v>
      </c>
      <c r="P4222">
        <v>169.47</v>
      </c>
      <c r="Q4222">
        <v>159.42</v>
      </c>
      <c r="R4222">
        <v>159.42</v>
      </c>
      <c r="S4222">
        <v>105.37</v>
      </c>
      <c r="T4222">
        <v>1.53</v>
      </c>
      <c r="U4222" t="s">
        <v>102</v>
      </c>
    </row>
    <row r="4223" spans="1:21">
      <c r="A4223" t="str">
        <f>"688018"</f>
        <v>688018</v>
      </c>
      <c r="B4223" t="s">
        <v>8079</v>
      </c>
      <c r="C4223">
        <v>4.3</v>
      </c>
      <c r="D4223">
        <v>194</v>
      </c>
      <c r="E4223">
        <v>8</v>
      </c>
      <c r="F4223">
        <v>193.72</v>
      </c>
      <c r="G4223">
        <v>194</v>
      </c>
      <c r="H4223">
        <v>11704</v>
      </c>
      <c r="I4223">
        <v>59</v>
      </c>
      <c r="J4223">
        <v>0</v>
      </c>
      <c r="K4223">
        <v>2.58</v>
      </c>
      <c r="L4223">
        <v>22413.05</v>
      </c>
      <c r="M4223" t="s">
        <v>8080</v>
      </c>
      <c r="N4223" t="s">
        <v>1246</v>
      </c>
      <c r="O4223">
        <v>184.5</v>
      </c>
      <c r="P4223">
        <v>195.99</v>
      </c>
      <c r="Q4223">
        <v>184.5</v>
      </c>
      <c r="R4223">
        <v>186</v>
      </c>
      <c r="S4223">
        <v>78.72</v>
      </c>
      <c r="T4223">
        <v>0.64</v>
      </c>
      <c r="U4223" t="s">
        <v>848</v>
      </c>
    </row>
    <row r="4224" spans="1:21">
      <c r="A4224" t="str">
        <f>"688019"</f>
        <v>688019</v>
      </c>
      <c r="B4224" t="s">
        <v>8081</v>
      </c>
      <c r="C4224">
        <v>4.1</v>
      </c>
      <c r="D4224">
        <v>305</v>
      </c>
      <c r="E4224">
        <v>12</v>
      </c>
      <c r="F4224">
        <v>304</v>
      </c>
      <c r="G4224">
        <v>305</v>
      </c>
      <c r="H4224">
        <v>9849</v>
      </c>
      <c r="I4224">
        <v>145</v>
      </c>
      <c r="J4224">
        <v>0.93</v>
      </c>
      <c r="K4224">
        <v>3.21</v>
      </c>
      <c r="L4224">
        <v>29632.45</v>
      </c>
      <c r="M4224" t="s">
        <v>8082</v>
      </c>
      <c r="N4224" t="s">
        <v>1246</v>
      </c>
      <c r="O4224">
        <v>293</v>
      </c>
      <c r="P4224">
        <v>308.66</v>
      </c>
      <c r="Q4224">
        <v>290</v>
      </c>
      <c r="R4224">
        <v>293</v>
      </c>
      <c r="S4224">
        <v>125.46</v>
      </c>
      <c r="T4224">
        <v>1.11</v>
      </c>
      <c r="U4224" t="s">
        <v>848</v>
      </c>
    </row>
    <row r="4225" spans="1:21">
      <c r="A4225" t="str">
        <f>"688020"</f>
        <v>688020</v>
      </c>
      <c r="B4225" t="s">
        <v>8083</v>
      </c>
      <c r="C4225">
        <v>-2.07</v>
      </c>
      <c r="D4225">
        <v>93.12</v>
      </c>
      <c r="E4225">
        <v>-1.97</v>
      </c>
      <c r="F4225">
        <v>93.08</v>
      </c>
      <c r="G4225">
        <v>93.21</v>
      </c>
      <c r="H4225">
        <v>9629</v>
      </c>
      <c r="I4225">
        <v>7</v>
      </c>
      <c r="J4225">
        <v>-0.56</v>
      </c>
      <c r="K4225">
        <v>2.57</v>
      </c>
      <c r="L4225">
        <v>9003.25</v>
      </c>
      <c r="M4225" t="s">
        <v>319</v>
      </c>
      <c r="N4225" t="s">
        <v>69</v>
      </c>
      <c r="O4225">
        <v>95.39</v>
      </c>
      <c r="P4225">
        <v>97.24</v>
      </c>
      <c r="Q4225">
        <v>91.7</v>
      </c>
      <c r="R4225">
        <v>95.09</v>
      </c>
      <c r="S4225">
        <v>117.58</v>
      </c>
      <c r="T4225">
        <v>1.49</v>
      </c>
      <c r="U4225" t="s">
        <v>183</v>
      </c>
    </row>
    <row r="4226" spans="1:21">
      <c r="A4226" t="str">
        <f>"688021"</f>
        <v>688021</v>
      </c>
      <c r="B4226" t="s">
        <v>8084</v>
      </c>
      <c r="C4226">
        <v>0.7</v>
      </c>
      <c r="D4226">
        <v>50.25</v>
      </c>
      <c r="E4226">
        <v>0.35</v>
      </c>
      <c r="F4226">
        <v>50.15</v>
      </c>
      <c r="G4226">
        <v>50.25</v>
      </c>
      <c r="H4226">
        <v>10472</v>
      </c>
      <c r="I4226">
        <v>37</v>
      </c>
      <c r="J4226">
        <v>0.3</v>
      </c>
      <c r="K4226">
        <v>2.23</v>
      </c>
      <c r="L4226">
        <v>5237.83</v>
      </c>
      <c r="M4226" t="s">
        <v>8085</v>
      </c>
      <c r="N4226" t="s">
        <v>33</v>
      </c>
      <c r="O4226">
        <v>49.9</v>
      </c>
      <c r="P4226">
        <v>50.52</v>
      </c>
      <c r="Q4226">
        <v>49.03</v>
      </c>
      <c r="R4226">
        <v>49.9</v>
      </c>
      <c r="S4226">
        <v>47.96</v>
      </c>
      <c r="T4226">
        <v>1.15</v>
      </c>
      <c r="U4226" t="s">
        <v>221</v>
      </c>
    </row>
    <row r="4227" spans="1:21">
      <c r="A4227" t="str">
        <f>"688022"</f>
        <v>688022</v>
      </c>
      <c r="B4227" t="s">
        <v>8086</v>
      </c>
      <c r="C4227">
        <v>4.84</v>
      </c>
      <c r="D4227">
        <v>60.18</v>
      </c>
      <c r="E4227">
        <v>2.78</v>
      </c>
      <c r="F4227">
        <v>60.12</v>
      </c>
      <c r="G4227">
        <v>60.18</v>
      </c>
      <c r="H4227">
        <v>55397</v>
      </c>
      <c r="I4227">
        <v>530</v>
      </c>
      <c r="J4227">
        <v>-0.02</v>
      </c>
      <c r="K4227">
        <v>9.29</v>
      </c>
      <c r="L4227">
        <v>33204.44</v>
      </c>
      <c r="M4227" t="s">
        <v>1046</v>
      </c>
      <c r="N4227" t="s">
        <v>324</v>
      </c>
      <c r="O4227">
        <v>57.4</v>
      </c>
      <c r="P4227">
        <v>61.78</v>
      </c>
      <c r="Q4227">
        <v>57.33</v>
      </c>
      <c r="R4227">
        <v>57.4</v>
      </c>
      <c r="S4227">
        <v>106.92</v>
      </c>
      <c r="T4227">
        <v>0.66</v>
      </c>
      <c r="U4227" t="s">
        <v>102</v>
      </c>
    </row>
    <row r="4228" spans="1:21">
      <c r="A4228" t="str">
        <f>"688023"</f>
        <v>688023</v>
      </c>
      <c r="B4228" t="s">
        <v>8087</v>
      </c>
      <c r="C4228">
        <v>2.14</v>
      </c>
      <c r="D4228">
        <v>295.19</v>
      </c>
      <c r="E4228">
        <v>6.19</v>
      </c>
      <c r="F4228">
        <v>295.18</v>
      </c>
      <c r="G4228">
        <v>295.19</v>
      </c>
      <c r="H4228">
        <v>4643</v>
      </c>
      <c r="I4228">
        <v>25</v>
      </c>
      <c r="J4228">
        <v>0</v>
      </c>
      <c r="K4228">
        <v>0.89</v>
      </c>
      <c r="L4228">
        <v>13782.54</v>
      </c>
      <c r="M4228" t="s">
        <v>8088</v>
      </c>
      <c r="N4228" t="s">
        <v>30</v>
      </c>
      <c r="O4228">
        <v>289</v>
      </c>
      <c r="P4228">
        <v>300.98</v>
      </c>
      <c r="Q4228">
        <v>288.99</v>
      </c>
      <c r="R4228">
        <v>289</v>
      </c>
      <c r="S4228" t="s">
        <v>40</v>
      </c>
      <c r="T4228">
        <v>0.84</v>
      </c>
      <c r="U4228" t="s">
        <v>200</v>
      </c>
    </row>
    <row r="4229" spans="1:21">
      <c r="A4229" t="str">
        <f>"688025"</f>
        <v>688025</v>
      </c>
      <c r="B4229" t="s">
        <v>8089</v>
      </c>
      <c r="C4229">
        <v>2.75</v>
      </c>
      <c r="D4229">
        <v>56</v>
      </c>
      <c r="E4229">
        <v>1.5</v>
      </c>
      <c r="F4229">
        <v>55.99</v>
      </c>
      <c r="G4229">
        <v>56</v>
      </c>
      <c r="H4229">
        <v>38759</v>
      </c>
      <c r="I4229">
        <v>449</v>
      </c>
      <c r="J4229">
        <v>-0.29</v>
      </c>
      <c r="K4229">
        <v>7.04</v>
      </c>
      <c r="L4229">
        <v>21280.56</v>
      </c>
      <c r="M4229" t="s">
        <v>8090</v>
      </c>
      <c r="N4229" t="s">
        <v>69</v>
      </c>
      <c r="O4229">
        <v>54.29</v>
      </c>
      <c r="P4229">
        <v>56.6</v>
      </c>
      <c r="Q4229">
        <v>52.5</v>
      </c>
      <c r="R4229">
        <v>54.5</v>
      </c>
      <c r="S4229">
        <v>64.28</v>
      </c>
      <c r="T4229">
        <v>1.35</v>
      </c>
      <c r="U4229" t="s">
        <v>24</v>
      </c>
    </row>
    <row r="4230" spans="1:21">
      <c r="A4230" t="str">
        <f>"688026"</f>
        <v>688026</v>
      </c>
      <c r="B4230" t="s">
        <v>8091</v>
      </c>
      <c r="C4230">
        <v>2.04</v>
      </c>
      <c r="D4230">
        <v>75.45</v>
      </c>
      <c r="E4230">
        <v>1.51</v>
      </c>
      <c r="F4230">
        <v>75.42</v>
      </c>
      <c r="G4230">
        <v>75.45</v>
      </c>
      <c r="H4230">
        <v>5799</v>
      </c>
      <c r="I4230">
        <v>75</v>
      </c>
      <c r="J4230">
        <v>0</v>
      </c>
      <c r="K4230">
        <v>1.21</v>
      </c>
      <c r="L4230">
        <v>4342.09</v>
      </c>
      <c r="M4230" t="s">
        <v>2119</v>
      </c>
      <c r="N4230" t="s">
        <v>839</v>
      </c>
      <c r="O4230">
        <v>72.95</v>
      </c>
      <c r="P4230">
        <v>76.15</v>
      </c>
      <c r="Q4230">
        <v>72.95</v>
      </c>
      <c r="R4230">
        <v>73.94</v>
      </c>
      <c r="S4230">
        <v>37.49</v>
      </c>
      <c r="T4230">
        <v>0.5</v>
      </c>
      <c r="U4230" t="s">
        <v>183</v>
      </c>
    </row>
    <row r="4231" spans="1:21">
      <c r="A4231" t="str">
        <f>"688027"</f>
        <v>688027</v>
      </c>
      <c r="B4231" t="s">
        <v>8092</v>
      </c>
      <c r="C4231">
        <v>-0.78</v>
      </c>
      <c r="D4231">
        <v>178.54</v>
      </c>
      <c r="E4231">
        <v>-1.41</v>
      </c>
      <c r="F4231">
        <v>178.54</v>
      </c>
      <c r="G4231">
        <v>178.81</v>
      </c>
      <c r="H4231">
        <v>5781</v>
      </c>
      <c r="I4231">
        <v>32</v>
      </c>
      <c r="J4231">
        <v>-0.14</v>
      </c>
      <c r="K4231">
        <v>1.26</v>
      </c>
      <c r="L4231">
        <v>10350.82</v>
      </c>
      <c r="M4231" t="s">
        <v>8093</v>
      </c>
      <c r="N4231" t="s">
        <v>153</v>
      </c>
      <c r="O4231">
        <v>179.95</v>
      </c>
      <c r="P4231">
        <v>181.81</v>
      </c>
      <c r="Q4231">
        <v>177.73</v>
      </c>
      <c r="R4231">
        <v>179.95</v>
      </c>
      <c r="S4231" t="s">
        <v>40</v>
      </c>
      <c r="T4231">
        <v>0.83</v>
      </c>
      <c r="U4231" t="s">
        <v>193</v>
      </c>
    </row>
    <row r="4232" spans="1:21">
      <c r="A4232" t="str">
        <f>"688028"</f>
        <v>688028</v>
      </c>
      <c r="B4232" t="s">
        <v>8094</v>
      </c>
      <c r="C4232">
        <v>7.09</v>
      </c>
      <c r="D4232">
        <v>55.01</v>
      </c>
      <c r="E4232">
        <v>3.64</v>
      </c>
      <c r="F4232">
        <v>55.01</v>
      </c>
      <c r="G4232">
        <v>55.07</v>
      </c>
      <c r="H4232">
        <v>27002</v>
      </c>
      <c r="I4232">
        <v>189</v>
      </c>
      <c r="J4232">
        <v>0.02</v>
      </c>
      <c r="K4232">
        <v>7</v>
      </c>
      <c r="L4232">
        <v>14746.08</v>
      </c>
      <c r="M4232" t="s">
        <v>8095</v>
      </c>
      <c r="N4232" t="s">
        <v>324</v>
      </c>
      <c r="O4232">
        <v>51.21</v>
      </c>
      <c r="P4232">
        <v>56.43</v>
      </c>
      <c r="Q4232">
        <v>51.21</v>
      </c>
      <c r="R4232">
        <v>51.37</v>
      </c>
      <c r="S4232">
        <v>66.53</v>
      </c>
      <c r="T4232">
        <v>1.21</v>
      </c>
      <c r="U4232" t="s">
        <v>44</v>
      </c>
    </row>
    <row r="4233" spans="1:21">
      <c r="A4233" t="str">
        <f>"688029"</f>
        <v>688029</v>
      </c>
      <c r="B4233" t="s">
        <v>8096</v>
      </c>
      <c r="C4233">
        <v>3.97</v>
      </c>
      <c r="D4233">
        <v>267.2</v>
      </c>
      <c r="E4233">
        <v>10.2</v>
      </c>
      <c r="F4233">
        <v>267.2</v>
      </c>
      <c r="G4233">
        <v>267.3</v>
      </c>
      <c r="H4233">
        <v>6416</v>
      </c>
      <c r="I4233">
        <v>44</v>
      </c>
      <c r="J4233">
        <v>-0.06</v>
      </c>
      <c r="K4233">
        <v>1.46</v>
      </c>
      <c r="L4233">
        <v>17031.31</v>
      </c>
      <c r="M4233" t="s">
        <v>8097</v>
      </c>
      <c r="N4233" t="s">
        <v>186</v>
      </c>
      <c r="O4233">
        <v>255.05</v>
      </c>
      <c r="P4233">
        <v>270.88</v>
      </c>
      <c r="Q4233">
        <v>252.43</v>
      </c>
      <c r="R4233">
        <v>257</v>
      </c>
      <c r="S4233">
        <v>107.52</v>
      </c>
      <c r="T4233">
        <v>0.92</v>
      </c>
      <c r="U4233" t="s">
        <v>102</v>
      </c>
    </row>
    <row r="4234" spans="1:21">
      <c r="A4234" t="str">
        <f>"688030"</f>
        <v>688030</v>
      </c>
      <c r="B4234" t="s">
        <v>8098</v>
      </c>
      <c r="C4234">
        <v>1.1</v>
      </c>
      <c r="D4234">
        <v>29.52</v>
      </c>
      <c r="E4234">
        <v>0.32</v>
      </c>
      <c r="F4234">
        <v>29.5</v>
      </c>
      <c r="G4234">
        <v>29.52</v>
      </c>
      <c r="H4234">
        <v>11127</v>
      </c>
      <c r="I4234">
        <v>81</v>
      </c>
      <c r="J4234">
        <v>0.03</v>
      </c>
      <c r="K4234">
        <v>1.16</v>
      </c>
      <c r="L4234">
        <v>3281.91</v>
      </c>
      <c r="M4234" t="s">
        <v>2918</v>
      </c>
      <c r="N4234" t="s">
        <v>30</v>
      </c>
      <c r="O4234">
        <v>29.4</v>
      </c>
      <c r="P4234">
        <v>29.76</v>
      </c>
      <c r="Q4234">
        <v>29</v>
      </c>
      <c r="R4234">
        <v>29.2</v>
      </c>
      <c r="S4234" t="s">
        <v>40</v>
      </c>
      <c r="T4234">
        <v>0.95</v>
      </c>
      <c r="U4234" t="s">
        <v>102</v>
      </c>
    </row>
    <row r="4235" spans="1:21">
      <c r="A4235" t="str">
        <f>"688033"</f>
        <v>688033</v>
      </c>
      <c r="B4235" t="s">
        <v>8099</v>
      </c>
      <c r="C4235">
        <v>8.42</v>
      </c>
      <c r="D4235">
        <v>31.93</v>
      </c>
      <c r="E4235">
        <v>2.48</v>
      </c>
      <c r="F4235">
        <v>31.92</v>
      </c>
      <c r="G4235">
        <v>31.93</v>
      </c>
      <c r="H4235">
        <v>93348</v>
      </c>
      <c r="I4235">
        <v>337</v>
      </c>
      <c r="J4235">
        <v>-0.49</v>
      </c>
      <c r="K4235">
        <v>3.03</v>
      </c>
      <c r="L4235">
        <v>29052.66</v>
      </c>
      <c r="M4235" t="s">
        <v>8100</v>
      </c>
      <c r="N4235" t="s">
        <v>43</v>
      </c>
      <c r="O4235">
        <v>29.36</v>
      </c>
      <c r="P4235">
        <v>32.49</v>
      </c>
      <c r="Q4235">
        <v>29.36</v>
      </c>
      <c r="R4235">
        <v>29.45</v>
      </c>
      <c r="S4235">
        <v>107.22</v>
      </c>
      <c r="T4235">
        <v>1.23</v>
      </c>
      <c r="U4235" t="s">
        <v>44</v>
      </c>
    </row>
    <row r="4236" spans="1:21">
      <c r="A4236" t="str">
        <f>"688036"</f>
        <v>688036</v>
      </c>
      <c r="B4236" t="s">
        <v>8101</v>
      </c>
      <c r="C4236">
        <v>-0.32</v>
      </c>
      <c r="D4236">
        <v>169</v>
      </c>
      <c r="E4236">
        <v>-0.54</v>
      </c>
      <c r="F4236">
        <v>168.99</v>
      </c>
      <c r="G4236">
        <v>169</v>
      </c>
      <c r="H4236">
        <v>29859</v>
      </c>
      <c r="I4236">
        <v>553</v>
      </c>
      <c r="J4236">
        <v>0.12</v>
      </c>
      <c r="K4236">
        <v>0.76</v>
      </c>
      <c r="L4236">
        <v>51015.21</v>
      </c>
      <c r="M4236" t="s">
        <v>8102</v>
      </c>
      <c r="N4236" t="s">
        <v>153</v>
      </c>
      <c r="O4236">
        <v>169</v>
      </c>
      <c r="P4236">
        <v>174.07</v>
      </c>
      <c r="Q4236">
        <v>166.85</v>
      </c>
      <c r="R4236">
        <v>169.54</v>
      </c>
      <c r="S4236">
        <v>35.26</v>
      </c>
      <c r="T4236">
        <v>0.89</v>
      </c>
      <c r="U4236" t="s">
        <v>24</v>
      </c>
    </row>
    <row r="4237" spans="1:21">
      <c r="A4237" t="str">
        <f>"688037"</f>
        <v>688037</v>
      </c>
      <c r="B4237" t="s">
        <v>8103</v>
      </c>
      <c r="C4237">
        <v>0.56</v>
      </c>
      <c r="D4237">
        <v>208.25</v>
      </c>
      <c r="E4237">
        <v>1.16</v>
      </c>
      <c r="F4237">
        <v>208.25</v>
      </c>
      <c r="G4237">
        <v>208.34</v>
      </c>
      <c r="H4237">
        <v>9624</v>
      </c>
      <c r="I4237">
        <v>255</v>
      </c>
      <c r="J4237">
        <v>-0.1</v>
      </c>
      <c r="K4237">
        <v>2.16</v>
      </c>
      <c r="L4237">
        <v>19985.29</v>
      </c>
      <c r="M4237" t="s">
        <v>8104</v>
      </c>
      <c r="N4237" t="s">
        <v>1246</v>
      </c>
      <c r="O4237">
        <v>206.74</v>
      </c>
      <c r="P4237">
        <v>211</v>
      </c>
      <c r="Q4237">
        <v>205</v>
      </c>
      <c r="R4237">
        <v>207.09</v>
      </c>
      <c r="S4237">
        <v>247.6</v>
      </c>
      <c r="T4237">
        <v>0.56</v>
      </c>
      <c r="U4237" t="s">
        <v>141</v>
      </c>
    </row>
    <row r="4238" spans="1:21">
      <c r="A4238" t="str">
        <f>"688038"</f>
        <v>688038</v>
      </c>
      <c r="B4238" t="s">
        <v>8105</v>
      </c>
      <c r="C4238">
        <v>1.82</v>
      </c>
      <c r="D4238">
        <v>19.05</v>
      </c>
      <c r="E4238">
        <v>0.34</v>
      </c>
      <c r="F4238">
        <v>19.03</v>
      </c>
      <c r="G4238">
        <v>19.05</v>
      </c>
      <c r="H4238">
        <v>7070</v>
      </c>
      <c r="I4238">
        <v>148</v>
      </c>
      <c r="J4238">
        <v>0.32</v>
      </c>
      <c r="K4238">
        <v>2.99</v>
      </c>
      <c r="L4238">
        <v>1351.57</v>
      </c>
      <c r="M4238" t="s">
        <v>8106</v>
      </c>
      <c r="N4238" t="s">
        <v>30</v>
      </c>
      <c r="O4238">
        <v>18.85</v>
      </c>
      <c r="P4238">
        <v>19.4</v>
      </c>
      <c r="Q4238">
        <v>18.71</v>
      </c>
      <c r="R4238">
        <v>18.71</v>
      </c>
      <c r="S4238">
        <v>134.47</v>
      </c>
      <c r="T4238">
        <v>0.69</v>
      </c>
      <c r="U4238" t="s">
        <v>267</v>
      </c>
    </row>
    <row r="4239" spans="1:21">
      <c r="A4239" t="str">
        <f>"688039"</f>
        <v>688039</v>
      </c>
      <c r="B4239" t="s">
        <v>8107</v>
      </c>
      <c r="C4239">
        <v>-0.76</v>
      </c>
      <c r="D4239">
        <v>65.4</v>
      </c>
      <c r="E4239">
        <v>-0.5</v>
      </c>
      <c r="F4239">
        <v>65.4</v>
      </c>
      <c r="G4239">
        <v>65.5</v>
      </c>
      <c r="H4239">
        <v>37990</v>
      </c>
      <c r="I4239">
        <v>107</v>
      </c>
      <c r="J4239">
        <v>0.2</v>
      </c>
      <c r="K4239">
        <v>7.86</v>
      </c>
      <c r="L4239">
        <v>25123.96</v>
      </c>
      <c r="M4239" t="s">
        <v>8108</v>
      </c>
      <c r="N4239" t="s">
        <v>30</v>
      </c>
      <c r="O4239">
        <v>66.79</v>
      </c>
      <c r="P4239">
        <v>69.6</v>
      </c>
      <c r="Q4239">
        <v>63.3</v>
      </c>
      <c r="R4239">
        <v>65.9</v>
      </c>
      <c r="S4239">
        <v>296.58</v>
      </c>
      <c r="T4239">
        <v>1.39</v>
      </c>
      <c r="U4239" t="s">
        <v>200</v>
      </c>
    </row>
    <row r="4240" spans="1:21">
      <c r="A4240" t="str">
        <f>"688050"</f>
        <v>688050</v>
      </c>
      <c r="B4240" t="s">
        <v>8109</v>
      </c>
      <c r="C4240">
        <v>-0.56</v>
      </c>
      <c r="D4240">
        <v>249.98</v>
      </c>
      <c r="E4240">
        <v>-1.4</v>
      </c>
      <c r="F4240">
        <v>249.3</v>
      </c>
      <c r="G4240">
        <v>249.98</v>
      </c>
      <c r="H4240">
        <v>6166</v>
      </c>
      <c r="I4240">
        <v>35</v>
      </c>
      <c r="J4240">
        <v>0.05</v>
      </c>
      <c r="K4240">
        <v>0.9</v>
      </c>
      <c r="L4240">
        <v>15506.92</v>
      </c>
      <c r="M4240" t="s">
        <v>8110</v>
      </c>
      <c r="N4240" t="s">
        <v>186</v>
      </c>
      <c r="O4240">
        <v>249.16</v>
      </c>
      <c r="P4240">
        <v>256</v>
      </c>
      <c r="Q4240">
        <v>247.4</v>
      </c>
      <c r="R4240">
        <v>251.38</v>
      </c>
      <c r="S4240">
        <v>140.49</v>
      </c>
      <c r="T4240">
        <v>0.61</v>
      </c>
      <c r="U4240" t="s">
        <v>44</v>
      </c>
    </row>
    <row r="4241" spans="1:21">
      <c r="A4241" t="str">
        <f>"688051"</f>
        <v>688051</v>
      </c>
      <c r="B4241" t="s">
        <v>8111</v>
      </c>
      <c r="C4241">
        <v>2.04</v>
      </c>
      <c r="D4241">
        <v>46.54</v>
      </c>
      <c r="E4241">
        <v>0.93</v>
      </c>
      <c r="F4241">
        <v>46.54</v>
      </c>
      <c r="G4241">
        <v>46.71</v>
      </c>
      <c r="H4241">
        <v>2639</v>
      </c>
      <c r="I4241">
        <v>90</v>
      </c>
      <c r="J4241">
        <v>-0.18</v>
      </c>
      <c r="K4241">
        <v>1.13</v>
      </c>
      <c r="L4241">
        <v>1221.19</v>
      </c>
      <c r="M4241" t="s">
        <v>8112</v>
      </c>
      <c r="N4241" t="s">
        <v>30</v>
      </c>
      <c r="O4241">
        <v>46.5</v>
      </c>
      <c r="P4241">
        <v>47.08</v>
      </c>
      <c r="Q4241">
        <v>45.38</v>
      </c>
      <c r="R4241">
        <v>45.61</v>
      </c>
      <c r="S4241" t="s">
        <v>40</v>
      </c>
      <c r="T4241">
        <v>0.79</v>
      </c>
      <c r="U4241" t="s">
        <v>44</v>
      </c>
    </row>
    <row r="4242" spans="1:21">
      <c r="A4242" t="str">
        <f>"688055"</f>
        <v>688055</v>
      </c>
      <c r="B4242" t="s">
        <v>8113</v>
      </c>
      <c r="C4242">
        <v>3.03</v>
      </c>
      <c r="D4242">
        <v>7.14</v>
      </c>
      <c r="E4242">
        <v>0.21</v>
      </c>
      <c r="F4242">
        <v>7.14</v>
      </c>
      <c r="G4242">
        <v>7.15</v>
      </c>
      <c r="H4242">
        <v>90057</v>
      </c>
      <c r="I4242">
        <v>967</v>
      </c>
      <c r="J4242">
        <v>0</v>
      </c>
      <c r="K4242">
        <v>0.5</v>
      </c>
      <c r="L4242">
        <v>6390.08</v>
      </c>
      <c r="M4242" t="s">
        <v>8114</v>
      </c>
      <c r="N4242" t="s">
        <v>69</v>
      </c>
      <c r="O4242">
        <v>6.98</v>
      </c>
      <c r="P4242">
        <v>7.18</v>
      </c>
      <c r="Q4242">
        <v>6.94</v>
      </c>
      <c r="R4242">
        <v>6.93</v>
      </c>
      <c r="S4242">
        <v>23.44</v>
      </c>
      <c r="T4242">
        <v>1.52</v>
      </c>
      <c r="U4242" t="s">
        <v>102</v>
      </c>
    </row>
    <row r="4243" spans="1:21">
      <c r="A4243" t="str">
        <f>"688056"</f>
        <v>688056</v>
      </c>
      <c r="B4243" t="s">
        <v>8115</v>
      </c>
      <c r="C4243">
        <v>5.45</v>
      </c>
      <c r="D4243">
        <v>64.4</v>
      </c>
      <c r="E4243">
        <v>3.33</v>
      </c>
      <c r="F4243">
        <v>64.38</v>
      </c>
      <c r="G4243">
        <v>64.4</v>
      </c>
      <c r="H4243">
        <v>11761</v>
      </c>
      <c r="I4243">
        <v>66</v>
      </c>
      <c r="J4243">
        <v>-0.59</v>
      </c>
      <c r="K4243">
        <v>4.64</v>
      </c>
      <c r="L4243">
        <v>7520.15</v>
      </c>
      <c r="M4243" t="s">
        <v>8116</v>
      </c>
      <c r="N4243" t="s">
        <v>1028</v>
      </c>
      <c r="O4243">
        <v>60</v>
      </c>
      <c r="P4243">
        <v>66.71</v>
      </c>
      <c r="Q4243">
        <v>59.9</v>
      </c>
      <c r="R4243">
        <v>61.07</v>
      </c>
      <c r="S4243">
        <v>60.69</v>
      </c>
      <c r="T4243">
        <v>1.09</v>
      </c>
      <c r="U4243" t="s">
        <v>44</v>
      </c>
    </row>
    <row r="4244" spans="1:21">
      <c r="A4244" t="str">
        <f>"688057"</f>
        <v>688057</v>
      </c>
      <c r="B4244" t="s">
        <v>8117</v>
      </c>
      <c r="C4244">
        <v>1.18</v>
      </c>
      <c r="D4244">
        <v>26.56</v>
      </c>
      <c r="E4244">
        <v>0.31</v>
      </c>
      <c r="F4244">
        <v>26.56</v>
      </c>
      <c r="G4244">
        <v>26.57</v>
      </c>
      <c r="H4244">
        <v>14687</v>
      </c>
      <c r="I4244">
        <v>139</v>
      </c>
      <c r="J4244">
        <v>0.15</v>
      </c>
      <c r="K4244">
        <v>1.07</v>
      </c>
      <c r="L4244">
        <v>3884.56</v>
      </c>
      <c r="M4244" t="s">
        <v>8118</v>
      </c>
      <c r="N4244" t="s">
        <v>33</v>
      </c>
      <c r="O4244">
        <v>26.19</v>
      </c>
      <c r="P4244">
        <v>26.75</v>
      </c>
      <c r="Q4244">
        <v>26.01</v>
      </c>
      <c r="R4244">
        <v>26.25</v>
      </c>
      <c r="S4244">
        <v>18.29</v>
      </c>
      <c r="T4244">
        <v>0.65</v>
      </c>
      <c r="U4244" t="s">
        <v>235</v>
      </c>
    </row>
    <row r="4245" spans="1:21">
      <c r="A4245" t="str">
        <f>"688058"</f>
        <v>688058</v>
      </c>
      <c r="B4245" t="s">
        <v>8119</v>
      </c>
      <c r="C4245">
        <v>2.98</v>
      </c>
      <c r="D4245">
        <v>80.3</v>
      </c>
      <c r="E4245">
        <v>2.32</v>
      </c>
      <c r="F4245">
        <v>80.05</v>
      </c>
      <c r="G4245">
        <v>80.3</v>
      </c>
      <c r="H4245">
        <v>1735</v>
      </c>
      <c r="I4245">
        <v>2</v>
      </c>
      <c r="J4245">
        <v>0.26</v>
      </c>
      <c r="K4245">
        <v>0.78</v>
      </c>
      <c r="L4245">
        <v>1381.78</v>
      </c>
      <c r="M4245" t="s">
        <v>1638</v>
      </c>
      <c r="N4245" t="s">
        <v>30</v>
      </c>
      <c r="O4245">
        <v>77.98</v>
      </c>
      <c r="P4245">
        <v>80.66</v>
      </c>
      <c r="Q4245">
        <v>77.9</v>
      </c>
      <c r="R4245">
        <v>77.98</v>
      </c>
      <c r="S4245">
        <v>405.24</v>
      </c>
      <c r="T4245">
        <v>0.8</v>
      </c>
      <c r="U4245" t="s">
        <v>44</v>
      </c>
    </row>
    <row r="4246" spans="1:21">
      <c r="A4246" t="str">
        <f>"688059"</f>
        <v>688059</v>
      </c>
      <c r="B4246" t="s">
        <v>8120</v>
      </c>
      <c r="C4246">
        <v>-0.39</v>
      </c>
      <c r="D4246">
        <v>171.82</v>
      </c>
      <c r="E4246">
        <v>-0.67</v>
      </c>
      <c r="F4246">
        <v>171.82</v>
      </c>
      <c r="G4246">
        <v>172.1</v>
      </c>
      <c r="H4246">
        <v>2419</v>
      </c>
      <c r="I4246">
        <v>17</v>
      </c>
      <c r="J4246">
        <v>-0.34</v>
      </c>
      <c r="K4246">
        <v>2.59</v>
      </c>
      <c r="L4246">
        <v>4160.14</v>
      </c>
      <c r="M4246" t="s">
        <v>8121</v>
      </c>
      <c r="N4246" t="s">
        <v>347</v>
      </c>
      <c r="O4246">
        <v>170.69</v>
      </c>
      <c r="P4246">
        <v>175.39</v>
      </c>
      <c r="Q4246">
        <v>169.06</v>
      </c>
      <c r="R4246">
        <v>172.49</v>
      </c>
      <c r="S4246">
        <v>46.57</v>
      </c>
      <c r="T4246">
        <v>1.12</v>
      </c>
      <c r="U4246" t="s">
        <v>204</v>
      </c>
    </row>
    <row r="4247" spans="1:21">
      <c r="A4247" t="str">
        <f>"688060"</f>
        <v>688060</v>
      </c>
      <c r="B4247" t="s">
        <v>8122</v>
      </c>
      <c r="C4247">
        <v>-2.23</v>
      </c>
      <c r="D4247">
        <v>71.49</v>
      </c>
      <c r="E4247">
        <v>-1.63</v>
      </c>
      <c r="F4247">
        <v>71.49</v>
      </c>
      <c r="G4247">
        <v>71.5</v>
      </c>
      <c r="H4247">
        <v>12257</v>
      </c>
      <c r="I4247">
        <v>151</v>
      </c>
      <c r="J4247">
        <v>0.29</v>
      </c>
      <c r="K4247">
        <v>4.81</v>
      </c>
      <c r="L4247">
        <v>8658.25</v>
      </c>
      <c r="M4247" t="s">
        <v>8123</v>
      </c>
      <c r="N4247" t="s">
        <v>30</v>
      </c>
      <c r="O4247">
        <v>71</v>
      </c>
      <c r="P4247">
        <v>72.22</v>
      </c>
      <c r="Q4247">
        <v>69</v>
      </c>
      <c r="R4247">
        <v>73.12</v>
      </c>
      <c r="S4247">
        <v>98.28</v>
      </c>
      <c r="T4247">
        <v>1.28</v>
      </c>
      <c r="U4247" t="s">
        <v>102</v>
      </c>
    </row>
    <row r="4248" spans="1:21">
      <c r="A4248" t="str">
        <f>"688063"</f>
        <v>688063</v>
      </c>
      <c r="B4248" t="s">
        <v>8124</v>
      </c>
      <c r="C4248">
        <v>2.94</v>
      </c>
      <c r="D4248">
        <v>238.2</v>
      </c>
      <c r="E4248">
        <v>6.81</v>
      </c>
      <c r="F4248">
        <v>238.2</v>
      </c>
      <c r="G4248">
        <v>238.25</v>
      </c>
      <c r="H4248">
        <v>14700</v>
      </c>
      <c r="I4248">
        <v>150</v>
      </c>
      <c r="J4248">
        <v>0.02</v>
      </c>
      <c r="K4248">
        <v>3.82</v>
      </c>
      <c r="L4248">
        <v>34284.45</v>
      </c>
      <c r="M4248" t="s">
        <v>8125</v>
      </c>
      <c r="N4248" t="s">
        <v>47</v>
      </c>
      <c r="O4248">
        <v>234.8</v>
      </c>
      <c r="P4248">
        <v>238.95</v>
      </c>
      <c r="Q4248">
        <v>227.03</v>
      </c>
      <c r="R4248">
        <v>231.39</v>
      </c>
      <c r="S4248">
        <v>110.03</v>
      </c>
      <c r="T4248">
        <v>0.81</v>
      </c>
      <c r="U4248" t="s">
        <v>848</v>
      </c>
    </row>
    <row r="4249" spans="1:21">
      <c r="A4249" t="str">
        <f>"688065"</f>
        <v>688065</v>
      </c>
      <c r="B4249" t="s">
        <v>8126</v>
      </c>
      <c r="C4249">
        <v>3.31</v>
      </c>
      <c r="D4249">
        <v>139</v>
      </c>
      <c r="E4249">
        <v>4.45</v>
      </c>
      <c r="F4249">
        <v>138.86</v>
      </c>
      <c r="G4249">
        <v>139</v>
      </c>
      <c r="H4249">
        <v>15393</v>
      </c>
      <c r="I4249">
        <v>44</v>
      </c>
      <c r="J4249">
        <v>0.05</v>
      </c>
      <c r="K4249">
        <v>0.91</v>
      </c>
      <c r="L4249">
        <v>21027.74</v>
      </c>
      <c r="M4249" t="s">
        <v>8127</v>
      </c>
      <c r="N4249" t="s">
        <v>216</v>
      </c>
      <c r="O4249">
        <v>134.55</v>
      </c>
      <c r="P4249">
        <v>139.18</v>
      </c>
      <c r="Q4249">
        <v>133.01</v>
      </c>
      <c r="R4249">
        <v>134.55</v>
      </c>
      <c r="S4249">
        <v>88.65</v>
      </c>
      <c r="T4249">
        <v>1.78</v>
      </c>
      <c r="U4249" t="s">
        <v>848</v>
      </c>
    </row>
    <row r="4250" spans="1:21">
      <c r="A4250" t="str">
        <f>"688066"</f>
        <v>688066</v>
      </c>
      <c r="B4250" t="s">
        <v>8128</v>
      </c>
      <c r="C4250">
        <v>-1.05</v>
      </c>
      <c r="D4250">
        <v>63.13</v>
      </c>
      <c r="E4250">
        <v>-0.67</v>
      </c>
      <c r="F4250">
        <v>63.02</v>
      </c>
      <c r="G4250">
        <v>63.13</v>
      </c>
      <c r="H4250">
        <v>14868</v>
      </c>
      <c r="I4250">
        <v>373</v>
      </c>
      <c r="J4250">
        <v>0.67</v>
      </c>
      <c r="K4250">
        <v>1.51</v>
      </c>
      <c r="L4250">
        <v>9335.48</v>
      </c>
      <c r="M4250" t="s">
        <v>8129</v>
      </c>
      <c r="N4250" t="s">
        <v>30</v>
      </c>
      <c r="O4250">
        <v>64</v>
      </c>
      <c r="P4250">
        <v>64</v>
      </c>
      <c r="Q4250">
        <v>62.3</v>
      </c>
      <c r="R4250">
        <v>63.8</v>
      </c>
      <c r="S4250">
        <v>154.94</v>
      </c>
      <c r="T4250">
        <v>0.39</v>
      </c>
      <c r="U4250" t="s">
        <v>44</v>
      </c>
    </row>
    <row r="4251" spans="1:21">
      <c r="A4251" t="str">
        <f>"688067"</f>
        <v>688067</v>
      </c>
      <c r="B4251" t="s">
        <v>8130</v>
      </c>
      <c r="C4251">
        <v>2.42</v>
      </c>
      <c r="D4251">
        <v>27.04</v>
      </c>
      <c r="E4251">
        <v>0.64</v>
      </c>
      <c r="F4251">
        <v>26.94</v>
      </c>
      <c r="G4251">
        <v>27.04</v>
      </c>
      <c r="H4251">
        <v>2767</v>
      </c>
      <c r="I4251">
        <v>9</v>
      </c>
      <c r="J4251">
        <v>-0.03</v>
      </c>
      <c r="K4251">
        <v>2</v>
      </c>
      <c r="L4251">
        <v>744.01</v>
      </c>
      <c r="M4251" t="s">
        <v>2598</v>
      </c>
      <c r="N4251" t="s">
        <v>186</v>
      </c>
      <c r="O4251">
        <v>26.45</v>
      </c>
      <c r="P4251">
        <v>27.26</v>
      </c>
      <c r="Q4251">
        <v>26.4</v>
      </c>
      <c r="R4251">
        <v>26.4</v>
      </c>
      <c r="S4251">
        <v>50.19</v>
      </c>
      <c r="T4251">
        <v>0.89</v>
      </c>
      <c r="U4251" t="s">
        <v>204</v>
      </c>
    </row>
    <row r="4252" spans="1:21">
      <c r="A4252" t="str">
        <f>"688068"</f>
        <v>688068</v>
      </c>
      <c r="B4252" t="s">
        <v>8131</v>
      </c>
      <c r="C4252">
        <v>0.66</v>
      </c>
      <c r="D4252">
        <v>96.63</v>
      </c>
      <c r="E4252">
        <v>0.63</v>
      </c>
      <c r="F4252">
        <v>96.63</v>
      </c>
      <c r="G4252">
        <v>96.65</v>
      </c>
      <c r="H4252">
        <v>7971</v>
      </c>
      <c r="I4252">
        <v>87</v>
      </c>
      <c r="J4252">
        <v>-0.06</v>
      </c>
      <c r="K4252">
        <v>1.82</v>
      </c>
      <c r="L4252">
        <v>7663.17</v>
      </c>
      <c r="M4252" t="s">
        <v>8132</v>
      </c>
      <c r="N4252" t="s">
        <v>186</v>
      </c>
      <c r="O4252">
        <v>96.72</v>
      </c>
      <c r="P4252">
        <v>97.2</v>
      </c>
      <c r="Q4252">
        <v>95.1</v>
      </c>
      <c r="R4252">
        <v>96</v>
      </c>
      <c r="S4252">
        <v>3.05</v>
      </c>
      <c r="T4252">
        <v>0.45</v>
      </c>
      <c r="U4252" t="s">
        <v>44</v>
      </c>
    </row>
    <row r="4253" spans="1:21">
      <c r="A4253" t="str">
        <f>"688069"</f>
        <v>688069</v>
      </c>
      <c r="B4253" t="s">
        <v>8133</v>
      </c>
      <c r="C4253">
        <v>-0.32</v>
      </c>
      <c r="D4253">
        <v>49.45</v>
      </c>
      <c r="E4253">
        <v>-0.16</v>
      </c>
      <c r="F4253">
        <v>49.4</v>
      </c>
      <c r="G4253">
        <v>49.45</v>
      </c>
      <c r="H4253">
        <v>2672</v>
      </c>
      <c r="I4253">
        <v>17</v>
      </c>
      <c r="J4253">
        <v>0.3</v>
      </c>
      <c r="K4253">
        <v>0.85</v>
      </c>
      <c r="L4253">
        <v>1316.62</v>
      </c>
      <c r="M4253" t="s">
        <v>8134</v>
      </c>
      <c r="N4253" t="s">
        <v>33</v>
      </c>
      <c r="O4253">
        <v>49.34</v>
      </c>
      <c r="P4253">
        <v>49.93</v>
      </c>
      <c r="Q4253">
        <v>48.9</v>
      </c>
      <c r="R4253">
        <v>49.61</v>
      </c>
      <c r="S4253">
        <v>43.08</v>
      </c>
      <c r="T4253">
        <v>1.01</v>
      </c>
      <c r="U4253" t="s">
        <v>102</v>
      </c>
    </row>
    <row r="4254" spans="1:21">
      <c r="A4254" t="str">
        <f>"688070"</f>
        <v>688070</v>
      </c>
      <c r="B4254" t="s">
        <v>8135</v>
      </c>
      <c r="C4254">
        <v>4.03</v>
      </c>
      <c r="D4254">
        <v>36.69</v>
      </c>
      <c r="E4254">
        <v>1.42</v>
      </c>
      <c r="F4254">
        <v>36.68</v>
      </c>
      <c r="G4254">
        <v>36.69</v>
      </c>
      <c r="H4254">
        <v>9516</v>
      </c>
      <c r="I4254">
        <v>54</v>
      </c>
      <c r="J4254">
        <v>0</v>
      </c>
      <c r="K4254">
        <v>5.07</v>
      </c>
      <c r="L4254">
        <v>3451.88</v>
      </c>
      <c r="M4254" t="s">
        <v>8136</v>
      </c>
      <c r="N4254" t="s">
        <v>611</v>
      </c>
      <c r="O4254">
        <v>35</v>
      </c>
      <c r="P4254">
        <v>36.87</v>
      </c>
      <c r="Q4254">
        <v>35</v>
      </c>
      <c r="R4254">
        <v>35.27</v>
      </c>
      <c r="S4254" t="s">
        <v>40</v>
      </c>
      <c r="T4254">
        <v>1.47</v>
      </c>
      <c r="U4254" t="s">
        <v>196</v>
      </c>
    </row>
    <row r="4255" spans="1:21">
      <c r="A4255" t="str">
        <f>"688071"</f>
        <v>688071</v>
      </c>
      <c r="B4255" t="s">
        <v>8137</v>
      </c>
      <c r="C4255">
        <v>0.02</v>
      </c>
      <c r="D4255">
        <v>47.75</v>
      </c>
      <c r="E4255">
        <v>0.01</v>
      </c>
      <c r="F4255">
        <v>47.54</v>
      </c>
      <c r="G4255">
        <v>47.75</v>
      </c>
      <c r="H4255">
        <v>6336</v>
      </c>
      <c r="I4255">
        <v>186</v>
      </c>
      <c r="J4255">
        <v>1.19</v>
      </c>
      <c r="K4255">
        <v>4.27</v>
      </c>
      <c r="L4255">
        <v>3048.75</v>
      </c>
      <c r="M4255" t="s">
        <v>8138</v>
      </c>
      <c r="N4255" t="s">
        <v>324</v>
      </c>
      <c r="O4255">
        <v>47.74</v>
      </c>
      <c r="P4255">
        <v>50.85</v>
      </c>
      <c r="Q4255">
        <v>46.79</v>
      </c>
      <c r="R4255">
        <v>47.74</v>
      </c>
      <c r="S4255">
        <v>105.03</v>
      </c>
      <c r="T4255">
        <v>0.45</v>
      </c>
      <c r="U4255" t="s">
        <v>848</v>
      </c>
    </row>
    <row r="4256" spans="1:21">
      <c r="A4256" t="str">
        <f>"688075"</f>
        <v>688075</v>
      </c>
      <c r="B4256" t="s">
        <v>8139</v>
      </c>
      <c r="C4256">
        <v>-6.73</v>
      </c>
      <c r="D4256">
        <v>82.82</v>
      </c>
      <c r="E4256">
        <v>-5.98</v>
      </c>
      <c r="F4256">
        <v>82.82</v>
      </c>
      <c r="G4256">
        <v>82.83</v>
      </c>
      <c r="H4256">
        <v>46934</v>
      </c>
      <c r="I4256">
        <v>501</v>
      </c>
      <c r="J4256">
        <v>0</v>
      </c>
      <c r="K4256">
        <v>33.38</v>
      </c>
      <c r="L4256">
        <v>39153.84</v>
      </c>
      <c r="M4256" t="s">
        <v>7498</v>
      </c>
      <c r="N4256" t="s">
        <v>186</v>
      </c>
      <c r="O4256">
        <v>85.02</v>
      </c>
      <c r="P4256">
        <v>86.99</v>
      </c>
      <c r="Q4256">
        <v>81.69</v>
      </c>
      <c r="R4256">
        <v>88.8</v>
      </c>
      <c r="S4256">
        <v>13.42</v>
      </c>
      <c r="T4256">
        <v>0.5</v>
      </c>
      <c r="U4256" t="s">
        <v>200</v>
      </c>
    </row>
    <row r="4257" spans="1:21">
      <c r="A4257" t="str">
        <f>"688076"</f>
        <v>688076</v>
      </c>
      <c r="B4257" t="s">
        <v>8140</v>
      </c>
      <c r="C4257">
        <v>1.29</v>
      </c>
      <c r="D4257">
        <v>41.6</v>
      </c>
      <c r="E4257">
        <v>0.53</v>
      </c>
      <c r="F4257">
        <v>41.56</v>
      </c>
      <c r="G4257">
        <v>41.6</v>
      </c>
      <c r="H4257">
        <v>12419</v>
      </c>
      <c r="I4257">
        <v>323</v>
      </c>
      <c r="J4257">
        <v>-0.16</v>
      </c>
      <c r="K4257">
        <v>2.74</v>
      </c>
      <c r="L4257">
        <v>5201.53</v>
      </c>
      <c r="M4257" t="s">
        <v>8141</v>
      </c>
      <c r="N4257" t="s">
        <v>231</v>
      </c>
      <c r="O4257">
        <v>41.49</v>
      </c>
      <c r="P4257">
        <v>42.99</v>
      </c>
      <c r="Q4257">
        <v>40.91</v>
      </c>
      <c r="R4257">
        <v>41.07</v>
      </c>
      <c r="S4257">
        <v>75.09</v>
      </c>
      <c r="T4257">
        <v>0.91</v>
      </c>
      <c r="U4257" t="s">
        <v>102</v>
      </c>
    </row>
    <row r="4258" spans="1:21">
      <c r="A4258" t="str">
        <f>"688077"</f>
        <v>688077</v>
      </c>
      <c r="B4258" t="s">
        <v>8142</v>
      </c>
      <c r="C4258">
        <v>-1.99</v>
      </c>
      <c r="D4258">
        <v>67.46</v>
      </c>
      <c r="E4258">
        <v>-1.37</v>
      </c>
      <c r="F4258">
        <v>67.45</v>
      </c>
      <c r="G4258">
        <v>67.46</v>
      </c>
      <c r="H4258">
        <v>30722</v>
      </c>
      <c r="I4258">
        <v>225</v>
      </c>
      <c r="J4258">
        <v>0.28</v>
      </c>
      <c r="K4258">
        <v>7.1</v>
      </c>
      <c r="L4258">
        <v>20745.68</v>
      </c>
      <c r="M4258" t="s">
        <v>8143</v>
      </c>
      <c r="N4258" t="s">
        <v>69</v>
      </c>
      <c r="O4258">
        <v>68.28</v>
      </c>
      <c r="P4258">
        <v>69.5</v>
      </c>
      <c r="Q4258">
        <v>65.74</v>
      </c>
      <c r="R4258">
        <v>68.83</v>
      </c>
      <c r="S4258">
        <v>38.52</v>
      </c>
      <c r="T4258">
        <v>0.8</v>
      </c>
      <c r="U4258" t="s">
        <v>193</v>
      </c>
    </row>
    <row r="4259" spans="1:21">
      <c r="A4259" t="str">
        <f>"688078"</f>
        <v>688078</v>
      </c>
      <c r="B4259" t="s">
        <v>8144</v>
      </c>
      <c r="C4259">
        <v>2.03</v>
      </c>
      <c r="D4259">
        <v>69.99</v>
      </c>
      <c r="E4259">
        <v>1.39</v>
      </c>
      <c r="F4259">
        <v>69.9</v>
      </c>
      <c r="G4259">
        <v>69.99</v>
      </c>
      <c r="H4259">
        <v>4580</v>
      </c>
      <c r="I4259">
        <v>143</v>
      </c>
      <c r="J4259">
        <v>0.97</v>
      </c>
      <c r="K4259">
        <v>1.66</v>
      </c>
      <c r="L4259">
        <v>3129.05</v>
      </c>
      <c r="M4259" t="s">
        <v>3914</v>
      </c>
      <c r="N4259" t="s">
        <v>30</v>
      </c>
      <c r="O4259">
        <v>68.44</v>
      </c>
      <c r="P4259">
        <v>69.99</v>
      </c>
      <c r="Q4259">
        <v>66.13</v>
      </c>
      <c r="R4259">
        <v>68.6</v>
      </c>
      <c r="S4259">
        <v>97.28</v>
      </c>
      <c r="T4259">
        <v>0.56</v>
      </c>
      <c r="U4259" t="s">
        <v>44</v>
      </c>
    </row>
    <row r="4260" spans="1:21">
      <c r="A4260" t="str">
        <f>"688079"</f>
        <v>688079</v>
      </c>
      <c r="B4260" t="s">
        <v>8145</v>
      </c>
      <c r="C4260">
        <v>2</v>
      </c>
      <c r="D4260">
        <v>15.28</v>
      </c>
      <c r="E4260">
        <v>0.3</v>
      </c>
      <c r="F4260">
        <v>15.28</v>
      </c>
      <c r="G4260">
        <v>15.29</v>
      </c>
      <c r="H4260">
        <v>22727</v>
      </c>
      <c r="I4260">
        <v>274</v>
      </c>
      <c r="J4260">
        <v>0</v>
      </c>
      <c r="K4260">
        <v>3.1</v>
      </c>
      <c r="L4260">
        <v>3479.45</v>
      </c>
      <c r="M4260" t="s">
        <v>8146</v>
      </c>
      <c r="N4260" t="s">
        <v>1246</v>
      </c>
      <c r="O4260">
        <v>15.07</v>
      </c>
      <c r="P4260">
        <v>15.55</v>
      </c>
      <c r="Q4260">
        <v>14.92</v>
      </c>
      <c r="R4260">
        <v>14.98</v>
      </c>
      <c r="S4260">
        <v>64.61</v>
      </c>
      <c r="T4260">
        <v>0.72</v>
      </c>
      <c r="U4260" t="s">
        <v>200</v>
      </c>
    </row>
    <row r="4261" spans="1:21">
      <c r="A4261" t="str">
        <f>"688080"</f>
        <v>688080</v>
      </c>
      <c r="B4261" t="s">
        <v>8147</v>
      </c>
      <c r="C4261">
        <v>9.21</v>
      </c>
      <c r="D4261">
        <v>70.78</v>
      </c>
      <c r="E4261">
        <v>5.97</v>
      </c>
      <c r="F4261">
        <v>70.75</v>
      </c>
      <c r="G4261">
        <v>70.78</v>
      </c>
      <c r="H4261">
        <v>35244</v>
      </c>
      <c r="I4261">
        <v>226</v>
      </c>
      <c r="J4261">
        <v>-0.02</v>
      </c>
      <c r="K4261">
        <v>9.44</v>
      </c>
      <c r="L4261">
        <v>24777.06</v>
      </c>
      <c r="M4261" t="s">
        <v>8148</v>
      </c>
      <c r="N4261" t="s">
        <v>153</v>
      </c>
      <c r="O4261">
        <v>64.74</v>
      </c>
      <c r="P4261">
        <v>73</v>
      </c>
      <c r="Q4261">
        <v>64</v>
      </c>
      <c r="R4261">
        <v>64.81</v>
      </c>
      <c r="S4261">
        <v>30.28</v>
      </c>
      <c r="T4261">
        <v>1.69</v>
      </c>
      <c r="U4261" t="s">
        <v>44</v>
      </c>
    </row>
    <row r="4262" spans="1:21">
      <c r="A4262" t="str">
        <f>"688081"</f>
        <v>688081</v>
      </c>
      <c r="B4262" t="s">
        <v>8149</v>
      </c>
      <c r="C4262">
        <v>2.1</v>
      </c>
      <c r="D4262">
        <v>25.73</v>
      </c>
      <c r="E4262">
        <v>0.53</v>
      </c>
      <c r="F4262">
        <v>25.71</v>
      </c>
      <c r="G4262">
        <v>25.73</v>
      </c>
      <c r="H4262">
        <v>3166</v>
      </c>
      <c r="I4262">
        <v>66</v>
      </c>
      <c r="J4262">
        <v>0.16</v>
      </c>
      <c r="K4262">
        <v>1</v>
      </c>
      <c r="L4262">
        <v>810.1</v>
      </c>
      <c r="M4262" t="s">
        <v>8150</v>
      </c>
      <c r="N4262" t="s">
        <v>30</v>
      </c>
      <c r="O4262">
        <v>25.38</v>
      </c>
      <c r="P4262">
        <v>25.8</v>
      </c>
      <c r="Q4262">
        <v>25.26</v>
      </c>
      <c r="R4262">
        <v>25.2</v>
      </c>
      <c r="S4262" t="s">
        <v>40</v>
      </c>
      <c r="T4262">
        <v>0.82</v>
      </c>
      <c r="U4262" t="s">
        <v>267</v>
      </c>
    </row>
    <row r="4263" spans="1:21">
      <c r="A4263" t="str">
        <f>"688082"</f>
        <v>688082</v>
      </c>
      <c r="B4263" t="s">
        <v>8151</v>
      </c>
      <c r="C4263">
        <v>-3.45</v>
      </c>
      <c r="D4263">
        <v>125.27</v>
      </c>
      <c r="E4263">
        <v>-4.48</v>
      </c>
      <c r="F4263">
        <v>125.26</v>
      </c>
      <c r="G4263">
        <v>125.27</v>
      </c>
      <c r="H4263">
        <v>89095</v>
      </c>
      <c r="I4263">
        <v>653</v>
      </c>
      <c r="J4263">
        <v>-0.57</v>
      </c>
      <c r="K4263">
        <v>26.61</v>
      </c>
      <c r="L4263">
        <v>113171.42</v>
      </c>
      <c r="M4263" t="s">
        <v>8152</v>
      </c>
      <c r="N4263" t="s">
        <v>1246</v>
      </c>
      <c r="O4263">
        <v>130.99</v>
      </c>
      <c r="P4263">
        <v>132.9</v>
      </c>
      <c r="Q4263">
        <v>122.56</v>
      </c>
      <c r="R4263">
        <v>129.75</v>
      </c>
      <c r="S4263">
        <v>273.88</v>
      </c>
      <c r="T4263">
        <v>0.37</v>
      </c>
      <c r="U4263" t="s">
        <v>848</v>
      </c>
    </row>
    <row r="4264" spans="1:21">
      <c r="A4264" t="str">
        <f>"688083"</f>
        <v>688083</v>
      </c>
      <c r="B4264" t="s">
        <v>8153</v>
      </c>
      <c r="C4264">
        <v>3.87</v>
      </c>
      <c r="D4264">
        <v>328.21</v>
      </c>
      <c r="E4264">
        <v>12.22</v>
      </c>
      <c r="F4264">
        <v>328.12</v>
      </c>
      <c r="G4264">
        <v>328.21</v>
      </c>
      <c r="H4264">
        <v>4159</v>
      </c>
      <c r="I4264">
        <v>61</v>
      </c>
      <c r="J4264">
        <v>-0.47</v>
      </c>
      <c r="K4264">
        <v>2.95</v>
      </c>
      <c r="L4264">
        <v>13547.16</v>
      </c>
      <c r="M4264" t="s">
        <v>8154</v>
      </c>
      <c r="N4264" t="s">
        <v>30</v>
      </c>
      <c r="O4264">
        <v>318.98</v>
      </c>
      <c r="P4264">
        <v>332.88</v>
      </c>
      <c r="Q4264">
        <v>315.08</v>
      </c>
      <c r="R4264">
        <v>315.99</v>
      </c>
      <c r="S4264">
        <v>154.93</v>
      </c>
      <c r="T4264">
        <v>1.24</v>
      </c>
      <c r="U4264" t="s">
        <v>183</v>
      </c>
    </row>
    <row r="4265" spans="1:21">
      <c r="A4265" t="str">
        <f>"688085"</f>
        <v>688085</v>
      </c>
      <c r="B4265" t="s">
        <v>8155</v>
      </c>
      <c r="C4265">
        <v>1.85</v>
      </c>
      <c r="D4265">
        <v>29.8</v>
      </c>
      <c r="E4265">
        <v>0.54</v>
      </c>
      <c r="F4265">
        <v>29.79</v>
      </c>
      <c r="G4265">
        <v>29.8</v>
      </c>
      <c r="H4265">
        <v>9940</v>
      </c>
      <c r="I4265">
        <v>92</v>
      </c>
      <c r="J4265">
        <v>0.17</v>
      </c>
      <c r="K4265">
        <v>1.18</v>
      </c>
      <c r="L4265">
        <v>2935.95</v>
      </c>
      <c r="M4265" t="s">
        <v>8156</v>
      </c>
      <c r="N4265" t="s">
        <v>186</v>
      </c>
      <c r="O4265">
        <v>29.02</v>
      </c>
      <c r="P4265">
        <v>29.9</v>
      </c>
      <c r="Q4265">
        <v>29</v>
      </c>
      <c r="R4265">
        <v>29.26</v>
      </c>
      <c r="S4265">
        <v>40.45</v>
      </c>
      <c r="T4265">
        <v>0.52</v>
      </c>
      <c r="U4265" t="s">
        <v>848</v>
      </c>
    </row>
    <row r="4266" spans="1:21">
      <c r="A4266" t="str">
        <f>"688086"</f>
        <v>688086</v>
      </c>
      <c r="B4266" t="s">
        <v>8157</v>
      </c>
      <c r="C4266">
        <v>5</v>
      </c>
      <c r="D4266">
        <v>25.83</v>
      </c>
      <c r="E4266">
        <v>1.23</v>
      </c>
      <c r="F4266">
        <v>25.83</v>
      </c>
      <c r="G4266">
        <v>25.85</v>
      </c>
      <c r="H4266">
        <v>42970</v>
      </c>
      <c r="I4266">
        <v>459</v>
      </c>
      <c r="J4266">
        <v>0.27</v>
      </c>
      <c r="K4266">
        <v>3.89</v>
      </c>
      <c r="L4266">
        <v>10989.61</v>
      </c>
      <c r="M4266" t="s">
        <v>8158</v>
      </c>
      <c r="N4266" t="s">
        <v>72</v>
      </c>
      <c r="O4266">
        <v>24.56</v>
      </c>
      <c r="P4266">
        <v>26.19</v>
      </c>
      <c r="Q4266">
        <v>24.43</v>
      </c>
      <c r="R4266">
        <v>24.6</v>
      </c>
      <c r="S4266">
        <v>144.79</v>
      </c>
      <c r="T4266">
        <v>1.34</v>
      </c>
      <c r="U4266" t="s">
        <v>183</v>
      </c>
    </row>
    <row r="4267" spans="1:21">
      <c r="A4267" t="str">
        <f>"688087"</f>
        <v>688087</v>
      </c>
      <c r="B4267" t="s">
        <v>8159</v>
      </c>
      <c r="C4267">
        <v>0.56</v>
      </c>
      <c r="D4267">
        <v>90.51</v>
      </c>
      <c r="E4267">
        <v>0.5</v>
      </c>
      <c r="F4267">
        <v>90.51</v>
      </c>
      <c r="G4267">
        <v>90.53</v>
      </c>
      <c r="H4267">
        <v>4100</v>
      </c>
      <c r="I4267">
        <v>38</v>
      </c>
      <c r="J4267">
        <v>0.19</v>
      </c>
      <c r="K4267">
        <v>1.51</v>
      </c>
      <c r="L4267">
        <v>3713.55</v>
      </c>
      <c r="M4267" t="s">
        <v>8160</v>
      </c>
      <c r="N4267" t="s">
        <v>33</v>
      </c>
      <c r="O4267">
        <v>89.9</v>
      </c>
      <c r="P4267">
        <v>92.12</v>
      </c>
      <c r="Q4267">
        <v>88.92</v>
      </c>
      <c r="R4267">
        <v>90.01</v>
      </c>
      <c r="S4267">
        <v>46.41</v>
      </c>
      <c r="T4267">
        <v>0.43</v>
      </c>
      <c r="U4267" t="s">
        <v>221</v>
      </c>
    </row>
    <row r="4268" spans="1:21">
      <c r="A4268" t="str">
        <f>"688088"</f>
        <v>688088</v>
      </c>
      <c r="B4268" t="s">
        <v>8161</v>
      </c>
      <c r="C4268">
        <v>1.15</v>
      </c>
      <c r="D4268">
        <v>45.87</v>
      </c>
      <c r="E4268">
        <v>0.52</v>
      </c>
      <c r="F4268">
        <v>45.87</v>
      </c>
      <c r="G4268">
        <v>45.92</v>
      </c>
      <c r="H4268">
        <v>27655</v>
      </c>
      <c r="I4268">
        <v>484</v>
      </c>
      <c r="J4268">
        <v>0.22</v>
      </c>
      <c r="K4268">
        <v>1.03</v>
      </c>
      <c r="L4268">
        <v>12697.77</v>
      </c>
      <c r="M4268" t="s">
        <v>8162</v>
      </c>
      <c r="N4268" t="s">
        <v>30</v>
      </c>
      <c r="O4268">
        <v>45.21</v>
      </c>
      <c r="P4268">
        <v>46.58</v>
      </c>
      <c r="Q4268">
        <v>45.21</v>
      </c>
      <c r="R4268">
        <v>45.35</v>
      </c>
      <c r="S4268">
        <v>114.16</v>
      </c>
      <c r="T4268">
        <v>0.58</v>
      </c>
      <c r="U4268" t="s">
        <v>200</v>
      </c>
    </row>
    <row r="4269" spans="1:21">
      <c r="A4269" t="str">
        <f>"688089"</f>
        <v>688089</v>
      </c>
      <c r="B4269" t="s">
        <v>8163</v>
      </c>
      <c r="C4269">
        <v>-0.24</v>
      </c>
      <c r="D4269">
        <v>48.88</v>
      </c>
      <c r="E4269">
        <v>-0.12</v>
      </c>
      <c r="F4269">
        <v>48.84</v>
      </c>
      <c r="G4269">
        <v>48.88</v>
      </c>
      <c r="H4269">
        <v>6168</v>
      </c>
      <c r="I4269">
        <v>174</v>
      </c>
      <c r="J4269">
        <v>0.12</v>
      </c>
      <c r="K4269">
        <v>0.92</v>
      </c>
      <c r="L4269">
        <v>3005.02</v>
      </c>
      <c r="M4269" t="s">
        <v>8164</v>
      </c>
      <c r="N4269" t="s">
        <v>299</v>
      </c>
      <c r="O4269">
        <v>48.6</v>
      </c>
      <c r="P4269">
        <v>49.28</v>
      </c>
      <c r="Q4269">
        <v>47.73</v>
      </c>
      <c r="R4269">
        <v>49</v>
      </c>
      <c r="S4269">
        <v>43.58</v>
      </c>
      <c r="T4269">
        <v>0.49</v>
      </c>
      <c r="U4269" t="s">
        <v>267</v>
      </c>
    </row>
    <row r="4270" spans="1:21">
      <c r="A4270" t="str">
        <f>"688090"</f>
        <v>688090</v>
      </c>
      <c r="B4270" t="s">
        <v>8165</v>
      </c>
      <c r="C4270">
        <v>2.59</v>
      </c>
      <c r="D4270">
        <v>32.91</v>
      </c>
      <c r="E4270">
        <v>0.83</v>
      </c>
      <c r="F4270">
        <v>32.9</v>
      </c>
      <c r="G4270">
        <v>32.91</v>
      </c>
      <c r="H4270">
        <v>5707</v>
      </c>
      <c r="I4270">
        <v>6</v>
      </c>
      <c r="J4270">
        <v>0.09</v>
      </c>
      <c r="K4270">
        <v>1.26</v>
      </c>
      <c r="L4270">
        <v>1864.57</v>
      </c>
      <c r="M4270" t="s">
        <v>8106</v>
      </c>
      <c r="N4270" t="s">
        <v>324</v>
      </c>
      <c r="O4270">
        <v>31.66</v>
      </c>
      <c r="P4270">
        <v>33.06</v>
      </c>
      <c r="Q4270">
        <v>31.66</v>
      </c>
      <c r="R4270">
        <v>32.08</v>
      </c>
      <c r="S4270">
        <v>77.28</v>
      </c>
      <c r="T4270">
        <v>1.13</v>
      </c>
      <c r="U4270" t="s">
        <v>183</v>
      </c>
    </row>
    <row r="4271" spans="1:21">
      <c r="A4271" t="str">
        <f>"688091"</f>
        <v>688091</v>
      </c>
      <c r="B4271" t="s">
        <v>8166</v>
      </c>
      <c r="C4271">
        <v>1.2</v>
      </c>
      <c r="D4271">
        <v>51.47</v>
      </c>
      <c r="E4271">
        <v>0.61</v>
      </c>
      <c r="F4271">
        <v>51.47</v>
      </c>
      <c r="G4271">
        <v>51.53</v>
      </c>
      <c r="H4271">
        <v>5968</v>
      </c>
      <c r="I4271">
        <v>110</v>
      </c>
      <c r="J4271">
        <v>0</v>
      </c>
      <c r="K4271">
        <v>2.47</v>
      </c>
      <c r="L4271">
        <v>3060.57</v>
      </c>
      <c r="M4271" t="s">
        <v>5334</v>
      </c>
      <c r="N4271" t="s">
        <v>192</v>
      </c>
      <c r="O4271">
        <v>51.2</v>
      </c>
      <c r="P4271">
        <v>51.65</v>
      </c>
      <c r="Q4271">
        <v>50.52</v>
      </c>
      <c r="R4271">
        <v>50.86</v>
      </c>
      <c r="S4271" t="s">
        <v>40</v>
      </c>
      <c r="T4271">
        <v>0.44</v>
      </c>
      <c r="U4271" t="s">
        <v>848</v>
      </c>
    </row>
    <row r="4272" spans="1:21">
      <c r="A4272" t="str">
        <f>"688092"</f>
        <v>688092</v>
      </c>
      <c r="B4272" t="s">
        <v>8167</v>
      </c>
      <c r="C4272">
        <v>-1.18</v>
      </c>
      <c r="D4272">
        <v>41.7</v>
      </c>
      <c r="E4272">
        <v>-0.5</v>
      </c>
      <c r="F4272">
        <v>41.7</v>
      </c>
      <c r="G4272">
        <v>41.79</v>
      </c>
      <c r="H4272">
        <v>7340</v>
      </c>
      <c r="I4272">
        <v>10</v>
      </c>
      <c r="J4272">
        <v>-0.37</v>
      </c>
      <c r="K4272">
        <v>5.73</v>
      </c>
      <c r="L4272">
        <v>3069.32</v>
      </c>
      <c r="M4272" t="s">
        <v>4688</v>
      </c>
      <c r="N4272" t="s">
        <v>324</v>
      </c>
      <c r="O4272">
        <v>42.29</v>
      </c>
      <c r="P4272">
        <v>43</v>
      </c>
      <c r="Q4272">
        <v>41.1</v>
      </c>
      <c r="R4272">
        <v>42.2</v>
      </c>
      <c r="S4272">
        <v>42.85</v>
      </c>
      <c r="T4272">
        <v>1.02</v>
      </c>
      <c r="U4272" t="s">
        <v>200</v>
      </c>
    </row>
    <row r="4273" spans="1:21">
      <c r="A4273" t="str">
        <f>"688093"</f>
        <v>688093</v>
      </c>
      <c r="B4273" t="s">
        <v>8168</v>
      </c>
      <c r="C4273">
        <v>2.29</v>
      </c>
      <c r="D4273">
        <v>42.9</v>
      </c>
      <c r="E4273">
        <v>0.96</v>
      </c>
      <c r="F4273">
        <v>42.9</v>
      </c>
      <c r="G4273">
        <v>42.92</v>
      </c>
      <c r="H4273">
        <v>7501</v>
      </c>
      <c r="I4273">
        <v>158</v>
      </c>
      <c r="J4273">
        <v>-0.22</v>
      </c>
      <c r="K4273">
        <v>1.82</v>
      </c>
      <c r="L4273">
        <v>3188.57</v>
      </c>
      <c r="M4273" t="s">
        <v>8169</v>
      </c>
      <c r="N4273" t="s">
        <v>309</v>
      </c>
      <c r="O4273">
        <v>41.31</v>
      </c>
      <c r="P4273">
        <v>43.35</v>
      </c>
      <c r="Q4273">
        <v>41.31</v>
      </c>
      <c r="R4273">
        <v>41.94</v>
      </c>
      <c r="S4273">
        <v>43.97</v>
      </c>
      <c r="T4273">
        <v>0.8</v>
      </c>
      <c r="U4273" t="s">
        <v>102</v>
      </c>
    </row>
    <row r="4274" spans="1:21">
      <c r="A4274" t="str">
        <f>"688095"</f>
        <v>688095</v>
      </c>
      <c r="B4274" t="s">
        <v>8170</v>
      </c>
      <c r="C4274">
        <v>3.43</v>
      </c>
      <c r="D4274">
        <v>153.81</v>
      </c>
      <c r="E4274">
        <v>5.1</v>
      </c>
      <c r="F4274">
        <v>153.77</v>
      </c>
      <c r="G4274">
        <v>153.81</v>
      </c>
      <c r="H4274">
        <v>6889</v>
      </c>
      <c r="I4274">
        <v>55</v>
      </c>
      <c r="J4274">
        <v>-0.03</v>
      </c>
      <c r="K4274">
        <v>2.38</v>
      </c>
      <c r="L4274">
        <v>10655.74</v>
      </c>
      <c r="M4274" t="s">
        <v>8171</v>
      </c>
      <c r="N4274" t="s">
        <v>30</v>
      </c>
      <c r="O4274">
        <v>149.16</v>
      </c>
      <c r="P4274">
        <v>156.59</v>
      </c>
      <c r="Q4274">
        <v>148.5</v>
      </c>
      <c r="R4274">
        <v>148.71</v>
      </c>
      <c r="S4274">
        <v>137.87</v>
      </c>
      <c r="T4274">
        <v>1.79</v>
      </c>
      <c r="U4274" t="s">
        <v>339</v>
      </c>
    </row>
    <row r="4275" spans="1:21">
      <c r="A4275" t="str">
        <f>"688096"</f>
        <v>688096</v>
      </c>
      <c r="B4275" t="s">
        <v>8172</v>
      </c>
      <c r="C4275">
        <v>1.8</v>
      </c>
      <c r="D4275">
        <v>14.15</v>
      </c>
      <c r="E4275">
        <v>0.25</v>
      </c>
      <c r="F4275">
        <v>14.12</v>
      </c>
      <c r="G4275">
        <v>14.15</v>
      </c>
      <c r="H4275">
        <v>4491</v>
      </c>
      <c r="I4275">
        <v>66</v>
      </c>
      <c r="J4275">
        <v>0.14</v>
      </c>
      <c r="K4275">
        <v>0.6</v>
      </c>
      <c r="L4275">
        <v>631.41</v>
      </c>
      <c r="M4275" t="s">
        <v>8173</v>
      </c>
      <c r="N4275" t="s">
        <v>33</v>
      </c>
      <c r="O4275">
        <v>13.77</v>
      </c>
      <c r="P4275">
        <v>14.17</v>
      </c>
      <c r="Q4275">
        <v>13.77</v>
      </c>
      <c r="R4275">
        <v>13.9</v>
      </c>
      <c r="S4275">
        <v>34.62</v>
      </c>
      <c r="T4275">
        <v>0.78</v>
      </c>
      <c r="U4275" t="s">
        <v>102</v>
      </c>
    </row>
    <row r="4276" spans="1:21">
      <c r="A4276" t="str">
        <f>"688097"</f>
        <v>688097</v>
      </c>
      <c r="B4276" t="s">
        <v>8174</v>
      </c>
      <c r="C4276">
        <v>-3.16</v>
      </c>
      <c r="D4276">
        <v>45.4</v>
      </c>
      <c r="E4276">
        <v>-1.48</v>
      </c>
      <c r="F4276">
        <v>45.4</v>
      </c>
      <c r="G4276">
        <v>45.42</v>
      </c>
      <c r="H4276">
        <v>19816</v>
      </c>
      <c r="I4276">
        <v>133</v>
      </c>
      <c r="J4276">
        <v>0.15</v>
      </c>
      <c r="K4276">
        <v>4.99</v>
      </c>
      <c r="L4276">
        <v>9004.72</v>
      </c>
      <c r="M4276" t="s">
        <v>8175</v>
      </c>
      <c r="N4276" t="s">
        <v>324</v>
      </c>
      <c r="O4276">
        <v>46.2</v>
      </c>
      <c r="P4276">
        <v>47.45</v>
      </c>
      <c r="Q4276">
        <v>44.81</v>
      </c>
      <c r="R4276">
        <v>46.88</v>
      </c>
      <c r="S4276">
        <v>252.66</v>
      </c>
      <c r="T4276">
        <v>0.93</v>
      </c>
      <c r="U4276" t="s">
        <v>102</v>
      </c>
    </row>
    <row r="4277" spans="1:21">
      <c r="A4277" t="str">
        <f>"688098"</f>
        <v>688098</v>
      </c>
      <c r="B4277" t="s">
        <v>8176</v>
      </c>
      <c r="C4277">
        <v>1.27</v>
      </c>
      <c r="D4277">
        <v>11.14</v>
      </c>
      <c r="E4277">
        <v>0.14</v>
      </c>
      <c r="F4277">
        <v>11.14</v>
      </c>
      <c r="G4277">
        <v>11.16</v>
      </c>
      <c r="H4277">
        <v>11944</v>
      </c>
      <c r="I4277">
        <v>458</v>
      </c>
      <c r="J4277">
        <v>-0.08</v>
      </c>
      <c r="K4277">
        <v>0.45</v>
      </c>
      <c r="L4277">
        <v>1330.98</v>
      </c>
      <c r="M4277" t="s">
        <v>8177</v>
      </c>
      <c r="N4277" t="s">
        <v>147</v>
      </c>
      <c r="O4277">
        <v>11</v>
      </c>
      <c r="P4277">
        <v>11.27</v>
      </c>
      <c r="Q4277">
        <v>11</v>
      </c>
      <c r="R4277">
        <v>11</v>
      </c>
      <c r="S4277">
        <v>37.34</v>
      </c>
      <c r="T4277">
        <v>1.08</v>
      </c>
      <c r="U4277" t="s">
        <v>848</v>
      </c>
    </row>
    <row r="4278" spans="1:21">
      <c r="A4278" t="str">
        <f>"688099"</f>
        <v>688099</v>
      </c>
      <c r="B4278" t="s">
        <v>8178</v>
      </c>
      <c r="C4278">
        <v>-0.61</v>
      </c>
      <c r="D4278">
        <v>121.3</v>
      </c>
      <c r="E4278">
        <v>-0.75</v>
      </c>
      <c r="F4278">
        <v>121.29</v>
      </c>
      <c r="G4278">
        <v>121.3</v>
      </c>
      <c r="H4278">
        <v>24903</v>
      </c>
      <c r="I4278">
        <v>211</v>
      </c>
      <c r="J4278">
        <v>-0.42</v>
      </c>
      <c r="K4278">
        <v>1.17</v>
      </c>
      <c r="L4278">
        <v>30316.53</v>
      </c>
      <c r="M4278" t="s">
        <v>8179</v>
      </c>
      <c r="N4278" t="s">
        <v>1246</v>
      </c>
      <c r="O4278">
        <v>122.05</v>
      </c>
      <c r="P4278">
        <v>126</v>
      </c>
      <c r="Q4278">
        <v>119.9</v>
      </c>
      <c r="R4278">
        <v>122.05</v>
      </c>
      <c r="S4278">
        <v>74.53</v>
      </c>
      <c r="T4278">
        <v>0.99</v>
      </c>
      <c r="U4278" t="s">
        <v>848</v>
      </c>
    </row>
    <row r="4279" spans="1:21">
      <c r="A4279" t="str">
        <f>"688100"</f>
        <v>688100</v>
      </c>
      <c r="B4279" t="s">
        <v>8180</v>
      </c>
      <c r="C4279">
        <v>-1.88</v>
      </c>
      <c r="D4279">
        <v>27.7</v>
      </c>
      <c r="E4279">
        <v>-0.53</v>
      </c>
      <c r="F4279">
        <v>27.68</v>
      </c>
      <c r="G4279">
        <v>27.7</v>
      </c>
      <c r="H4279">
        <v>37394</v>
      </c>
      <c r="I4279">
        <v>874</v>
      </c>
      <c r="J4279">
        <v>0.36</v>
      </c>
      <c r="K4279">
        <v>2.26</v>
      </c>
      <c r="L4279">
        <v>10414.51</v>
      </c>
      <c r="M4279" t="s">
        <v>8181</v>
      </c>
      <c r="N4279" t="s">
        <v>153</v>
      </c>
      <c r="O4279">
        <v>27.63</v>
      </c>
      <c r="P4279">
        <v>28.57</v>
      </c>
      <c r="Q4279">
        <v>27.38</v>
      </c>
      <c r="R4279">
        <v>28.23</v>
      </c>
      <c r="S4279">
        <v>41.83</v>
      </c>
      <c r="T4279">
        <v>0.53</v>
      </c>
      <c r="U4279" t="s">
        <v>204</v>
      </c>
    </row>
    <row r="4280" spans="1:21">
      <c r="A4280" t="str">
        <f>"688101"</f>
        <v>688101</v>
      </c>
      <c r="B4280" t="s">
        <v>8182</v>
      </c>
      <c r="C4280">
        <v>-0.68</v>
      </c>
      <c r="D4280">
        <v>20.59</v>
      </c>
      <c r="E4280">
        <v>-0.14</v>
      </c>
      <c r="F4280">
        <v>20.58</v>
      </c>
      <c r="G4280">
        <v>20.59</v>
      </c>
      <c r="H4280">
        <v>69837</v>
      </c>
      <c r="I4280">
        <v>608</v>
      </c>
      <c r="J4280">
        <v>0</v>
      </c>
      <c r="K4280">
        <v>3.82</v>
      </c>
      <c r="L4280">
        <v>14456.64</v>
      </c>
      <c r="M4280" t="s">
        <v>8183</v>
      </c>
      <c r="N4280" t="s">
        <v>33</v>
      </c>
      <c r="O4280">
        <v>20.48</v>
      </c>
      <c r="P4280">
        <v>21.18</v>
      </c>
      <c r="Q4280">
        <v>20.34</v>
      </c>
      <c r="R4280">
        <v>20.73</v>
      </c>
      <c r="S4280">
        <v>24.56</v>
      </c>
      <c r="T4280">
        <v>1.3</v>
      </c>
      <c r="U4280" t="s">
        <v>317</v>
      </c>
    </row>
    <row r="4281" spans="1:21">
      <c r="A4281" t="str">
        <f>"688103"</f>
        <v>688103</v>
      </c>
      <c r="B4281" t="s">
        <v>8184</v>
      </c>
      <c r="C4281">
        <v>0.27</v>
      </c>
      <c r="D4281">
        <v>76.87</v>
      </c>
      <c r="E4281">
        <v>0.21</v>
      </c>
      <c r="F4281">
        <v>76.87</v>
      </c>
      <c r="G4281">
        <v>76.99</v>
      </c>
      <c r="H4281">
        <v>6344</v>
      </c>
      <c r="I4281">
        <v>75</v>
      </c>
      <c r="J4281">
        <v>0.09</v>
      </c>
      <c r="K4281">
        <v>3.26</v>
      </c>
      <c r="L4281">
        <v>4863.21</v>
      </c>
      <c r="M4281" t="s">
        <v>8185</v>
      </c>
      <c r="N4281" t="s">
        <v>47</v>
      </c>
      <c r="O4281">
        <v>77.01</v>
      </c>
      <c r="P4281">
        <v>78.88</v>
      </c>
      <c r="Q4281">
        <v>75.17</v>
      </c>
      <c r="R4281">
        <v>76.66</v>
      </c>
      <c r="S4281">
        <v>108.08</v>
      </c>
      <c r="T4281">
        <v>0.56</v>
      </c>
      <c r="U4281" t="s">
        <v>102</v>
      </c>
    </row>
    <row r="4282" spans="1:21">
      <c r="A4282" t="str">
        <f>"688105"</f>
        <v>688105</v>
      </c>
      <c r="B4282" t="s">
        <v>8186</v>
      </c>
      <c r="C4282">
        <v>7.8</v>
      </c>
      <c r="D4282">
        <v>100.25</v>
      </c>
      <c r="E4282">
        <v>7.25</v>
      </c>
      <c r="F4282">
        <v>100.21</v>
      </c>
      <c r="G4282">
        <v>100.25</v>
      </c>
      <c r="H4282">
        <v>42683</v>
      </c>
      <c r="I4282">
        <v>481</v>
      </c>
      <c r="J4282">
        <v>0.96</v>
      </c>
      <c r="K4282">
        <v>12.91</v>
      </c>
      <c r="L4282">
        <v>41995.71</v>
      </c>
      <c r="M4282" t="s">
        <v>8187</v>
      </c>
      <c r="N4282" t="s">
        <v>231</v>
      </c>
      <c r="O4282">
        <v>91.98</v>
      </c>
      <c r="P4282">
        <v>103.88</v>
      </c>
      <c r="Q4282">
        <v>91.12</v>
      </c>
      <c r="R4282">
        <v>93</v>
      </c>
      <c r="S4282">
        <v>54.66</v>
      </c>
      <c r="T4282">
        <v>0.38</v>
      </c>
      <c r="U4282" t="s">
        <v>102</v>
      </c>
    </row>
    <row r="4283" spans="1:21">
      <c r="A4283" t="str">
        <f>"688106"</f>
        <v>688106</v>
      </c>
      <c r="B4283" t="s">
        <v>8188</v>
      </c>
      <c r="C4283">
        <v>0.58</v>
      </c>
      <c r="D4283">
        <v>26.06</v>
      </c>
      <c r="E4283">
        <v>0.15</v>
      </c>
      <c r="F4283">
        <v>26.05</v>
      </c>
      <c r="G4283">
        <v>26.06</v>
      </c>
      <c r="H4283">
        <v>37674</v>
      </c>
      <c r="I4283">
        <v>379</v>
      </c>
      <c r="J4283">
        <v>0.12</v>
      </c>
      <c r="K4283">
        <v>1.45</v>
      </c>
      <c r="L4283">
        <v>9800.17</v>
      </c>
      <c r="M4283" t="s">
        <v>8189</v>
      </c>
      <c r="N4283" t="s">
        <v>309</v>
      </c>
      <c r="O4283">
        <v>25.93</v>
      </c>
      <c r="P4283">
        <v>26.42</v>
      </c>
      <c r="Q4283">
        <v>25.63</v>
      </c>
      <c r="R4283">
        <v>25.91</v>
      </c>
      <c r="S4283">
        <v>75.36</v>
      </c>
      <c r="T4283">
        <v>0.99</v>
      </c>
      <c r="U4283" t="s">
        <v>102</v>
      </c>
    </row>
    <row r="4284" spans="1:21">
      <c r="A4284" t="str">
        <f>"688107"</f>
        <v>688107</v>
      </c>
      <c r="B4284" t="s">
        <v>8190</v>
      </c>
      <c r="C4284">
        <v>1.47</v>
      </c>
      <c r="D4284">
        <v>83.55</v>
      </c>
      <c r="E4284">
        <v>1.21</v>
      </c>
      <c r="F4284">
        <v>83.55</v>
      </c>
      <c r="G4284">
        <v>83.66</v>
      </c>
      <c r="H4284">
        <v>64529</v>
      </c>
      <c r="I4284">
        <v>1173</v>
      </c>
      <c r="J4284">
        <v>1.4</v>
      </c>
      <c r="K4284">
        <v>15.45</v>
      </c>
      <c r="L4284">
        <v>51459.57</v>
      </c>
      <c r="M4284" t="s">
        <v>8191</v>
      </c>
      <c r="N4284" t="s">
        <v>1246</v>
      </c>
      <c r="O4284">
        <v>79.99</v>
      </c>
      <c r="P4284">
        <v>83.55</v>
      </c>
      <c r="Q4284">
        <v>76.23</v>
      </c>
      <c r="R4284">
        <v>82.34</v>
      </c>
      <c r="S4284" t="s">
        <v>40</v>
      </c>
      <c r="T4284">
        <v>0.4</v>
      </c>
      <c r="U4284" t="s">
        <v>848</v>
      </c>
    </row>
    <row r="4285" spans="1:21">
      <c r="A4285" t="str">
        <f>"688108"</f>
        <v>688108</v>
      </c>
      <c r="B4285" t="s">
        <v>8192</v>
      </c>
      <c r="C4285">
        <v>1.36</v>
      </c>
      <c r="D4285">
        <v>8.21</v>
      </c>
      <c r="E4285">
        <v>0.11</v>
      </c>
      <c r="F4285">
        <v>8.21</v>
      </c>
      <c r="G4285">
        <v>8.22</v>
      </c>
      <c r="H4285">
        <v>18403</v>
      </c>
      <c r="I4285">
        <v>90</v>
      </c>
      <c r="J4285">
        <v>-0.11</v>
      </c>
      <c r="K4285">
        <v>0.63</v>
      </c>
      <c r="L4285">
        <v>1505.72</v>
      </c>
      <c r="M4285" t="s">
        <v>8193</v>
      </c>
      <c r="N4285" t="s">
        <v>186</v>
      </c>
      <c r="O4285">
        <v>8.2</v>
      </c>
      <c r="P4285">
        <v>8.28</v>
      </c>
      <c r="Q4285">
        <v>8.08</v>
      </c>
      <c r="R4285">
        <v>8.1</v>
      </c>
      <c r="S4285" t="s">
        <v>40</v>
      </c>
      <c r="T4285">
        <v>0.74</v>
      </c>
      <c r="U4285" t="s">
        <v>360</v>
      </c>
    </row>
    <row r="4286" spans="1:21">
      <c r="A4286" t="str">
        <f>"688109"</f>
        <v>688109</v>
      </c>
      <c r="B4286" t="s">
        <v>8194</v>
      </c>
      <c r="C4286">
        <v>3.76</v>
      </c>
      <c r="D4286">
        <v>55.2</v>
      </c>
      <c r="E4286">
        <v>2</v>
      </c>
      <c r="F4286">
        <v>55.2</v>
      </c>
      <c r="G4286">
        <v>55.39</v>
      </c>
      <c r="H4286">
        <v>3708</v>
      </c>
      <c r="I4286">
        <v>13</v>
      </c>
      <c r="J4286">
        <v>0.02</v>
      </c>
      <c r="K4286">
        <v>2.87</v>
      </c>
      <c r="L4286">
        <v>2030.71</v>
      </c>
      <c r="M4286" t="s">
        <v>8195</v>
      </c>
      <c r="N4286" t="s">
        <v>30</v>
      </c>
      <c r="O4286">
        <v>52.4</v>
      </c>
      <c r="P4286">
        <v>55.57</v>
      </c>
      <c r="Q4286">
        <v>52.4</v>
      </c>
      <c r="R4286">
        <v>53.2</v>
      </c>
      <c r="S4286">
        <v>67.74</v>
      </c>
      <c r="T4286">
        <v>1.4</v>
      </c>
      <c r="U4286" t="s">
        <v>200</v>
      </c>
    </row>
    <row r="4287" spans="1:21">
      <c r="A4287" t="str">
        <f>"688111"</f>
        <v>688111</v>
      </c>
      <c r="B4287" t="s">
        <v>8196</v>
      </c>
      <c r="C4287">
        <v>-0.86</v>
      </c>
      <c r="D4287">
        <v>273.63</v>
      </c>
      <c r="E4287">
        <v>-2.37</v>
      </c>
      <c r="F4287">
        <v>273.53</v>
      </c>
      <c r="G4287">
        <v>273.63</v>
      </c>
      <c r="H4287">
        <v>9288</v>
      </c>
      <c r="I4287">
        <v>125</v>
      </c>
      <c r="J4287">
        <v>0.05</v>
      </c>
      <c r="K4287">
        <v>0.43</v>
      </c>
      <c r="L4287">
        <v>25596.9</v>
      </c>
      <c r="M4287" t="s">
        <v>8197</v>
      </c>
      <c r="N4287" t="s">
        <v>30</v>
      </c>
      <c r="O4287">
        <v>276</v>
      </c>
      <c r="P4287">
        <v>278.9</v>
      </c>
      <c r="Q4287">
        <v>273.32</v>
      </c>
      <c r="R4287">
        <v>276</v>
      </c>
      <c r="S4287">
        <v>111.58</v>
      </c>
      <c r="T4287">
        <v>0.73</v>
      </c>
      <c r="U4287" t="s">
        <v>44</v>
      </c>
    </row>
    <row r="4288" spans="1:21">
      <c r="A4288" t="str">
        <f>"688113"</f>
        <v>688113</v>
      </c>
      <c r="B4288" t="s">
        <v>8198</v>
      </c>
      <c r="C4288">
        <v>0.15</v>
      </c>
      <c r="D4288">
        <v>68.11</v>
      </c>
      <c r="E4288">
        <v>0.1</v>
      </c>
      <c r="F4288">
        <v>68.11</v>
      </c>
      <c r="G4288">
        <v>68.6</v>
      </c>
      <c r="H4288">
        <v>2313</v>
      </c>
      <c r="I4288">
        <v>14</v>
      </c>
      <c r="J4288">
        <v>0.06</v>
      </c>
      <c r="K4288">
        <v>1.52</v>
      </c>
      <c r="L4288">
        <v>1587.5</v>
      </c>
      <c r="M4288" t="s">
        <v>7421</v>
      </c>
      <c r="N4288" t="s">
        <v>324</v>
      </c>
      <c r="O4288">
        <v>67.11</v>
      </c>
      <c r="P4288">
        <v>69.54</v>
      </c>
      <c r="Q4288">
        <v>67.11</v>
      </c>
      <c r="R4288">
        <v>68.01</v>
      </c>
      <c r="S4288">
        <v>64</v>
      </c>
      <c r="T4288">
        <v>0.74</v>
      </c>
      <c r="U4288" t="s">
        <v>102</v>
      </c>
    </row>
    <row r="4289" spans="1:21">
      <c r="A4289" t="str">
        <f>"688116"</f>
        <v>688116</v>
      </c>
      <c r="B4289" t="s">
        <v>8199</v>
      </c>
      <c r="C4289">
        <v>3.83</v>
      </c>
      <c r="D4289">
        <v>161.95</v>
      </c>
      <c r="E4289">
        <v>5.98</v>
      </c>
      <c r="F4289">
        <v>161.95</v>
      </c>
      <c r="G4289">
        <v>161.96</v>
      </c>
      <c r="H4289">
        <v>19911</v>
      </c>
      <c r="I4289">
        <v>113</v>
      </c>
      <c r="J4289">
        <v>0.03</v>
      </c>
      <c r="K4289">
        <v>1.11</v>
      </c>
      <c r="L4289">
        <v>32220.27</v>
      </c>
      <c r="M4289" t="s">
        <v>8200</v>
      </c>
      <c r="N4289" t="s">
        <v>309</v>
      </c>
      <c r="O4289">
        <v>156.29</v>
      </c>
      <c r="P4289">
        <v>163.88</v>
      </c>
      <c r="Q4289">
        <v>156.29</v>
      </c>
      <c r="R4289">
        <v>155.97</v>
      </c>
      <c r="S4289">
        <v>138.46</v>
      </c>
      <c r="T4289">
        <v>1.11</v>
      </c>
      <c r="U4289" t="s">
        <v>102</v>
      </c>
    </row>
    <row r="4290" spans="1:21">
      <c r="A4290" t="str">
        <f>"688117"</f>
        <v>688117</v>
      </c>
      <c r="B4290" t="s">
        <v>8201</v>
      </c>
      <c r="C4290">
        <v>0.97</v>
      </c>
      <c r="D4290">
        <v>35.26</v>
      </c>
      <c r="E4290">
        <v>0.34</v>
      </c>
      <c r="F4290">
        <v>35.25</v>
      </c>
      <c r="G4290">
        <v>35.26</v>
      </c>
      <c r="H4290">
        <v>4072</v>
      </c>
      <c r="I4290">
        <v>8</v>
      </c>
      <c r="J4290">
        <v>0</v>
      </c>
      <c r="K4290">
        <v>2.12</v>
      </c>
      <c r="L4290">
        <v>1432.16</v>
      </c>
      <c r="M4290" t="s">
        <v>3041</v>
      </c>
      <c r="N4290" t="s">
        <v>231</v>
      </c>
      <c r="O4290">
        <v>35.02</v>
      </c>
      <c r="P4290">
        <v>35.49</v>
      </c>
      <c r="Q4290">
        <v>34.81</v>
      </c>
      <c r="R4290">
        <v>34.92</v>
      </c>
      <c r="S4290">
        <v>49.16</v>
      </c>
      <c r="T4290">
        <v>0.55</v>
      </c>
      <c r="U4290" t="s">
        <v>196</v>
      </c>
    </row>
    <row r="4291" spans="1:21">
      <c r="A4291" t="str">
        <f>"688118"</f>
        <v>688118</v>
      </c>
      <c r="B4291" t="s">
        <v>8202</v>
      </c>
      <c r="C4291">
        <v>0.12</v>
      </c>
      <c r="D4291">
        <v>25.16</v>
      </c>
      <c r="E4291">
        <v>0.03</v>
      </c>
      <c r="F4291">
        <v>25.16</v>
      </c>
      <c r="G4291">
        <v>25.21</v>
      </c>
      <c r="H4291">
        <v>6844</v>
      </c>
      <c r="I4291">
        <v>67</v>
      </c>
      <c r="J4291">
        <v>-0.31</v>
      </c>
      <c r="K4291">
        <v>1.03</v>
      </c>
      <c r="L4291">
        <v>1733.4</v>
      </c>
      <c r="M4291" t="s">
        <v>3131</v>
      </c>
      <c r="N4291" t="s">
        <v>30</v>
      </c>
      <c r="O4291">
        <v>25.07</v>
      </c>
      <c r="P4291">
        <v>25.57</v>
      </c>
      <c r="Q4291">
        <v>25</v>
      </c>
      <c r="R4291">
        <v>25.13</v>
      </c>
      <c r="S4291" t="s">
        <v>40</v>
      </c>
      <c r="T4291">
        <v>0.62</v>
      </c>
      <c r="U4291" t="s">
        <v>848</v>
      </c>
    </row>
    <row r="4292" spans="1:21">
      <c r="A4292" t="str">
        <f>"688121"</f>
        <v>688121</v>
      </c>
      <c r="B4292" t="s">
        <v>8203</v>
      </c>
      <c r="C4292">
        <v>3.47</v>
      </c>
      <c r="D4292">
        <v>29.21</v>
      </c>
      <c r="E4292">
        <v>0.98</v>
      </c>
      <c r="F4292">
        <v>29.2</v>
      </c>
      <c r="G4292">
        <v>29.21</v>
      </c>
      <c r="H4292">
        <v>17777</v>
      </c>
      <c r="I4292">
        <v>329</v>
      </c>
      <c r="J4292">
        <v>-0.19</v>
      </c>
      <c r="K4292">
        <v>4.28</v>
      </c>
      <c r="L4292">
        <v>5120.06</v>
      </c>
      <c r="M4292" t="s">
        <v>8204</v>
      </c>
      <c r="N4292" t="s">
        <v>324</v>
      </c>
      <c r="O4292">
        <v>28.6</v>
      </c>
      <c r="P4292">
        <v>29.48</v>
      </c>
      <c r="Q4292">
        <v>28.1</v>
      </c>
      <c r="R4292">
        <v>28.23</v>
      </c>
      <c r="S4292">
        <v>34.93</v>
      </c>
      <c r="T4292">
        <v>0.93</v>
      </c>
      <c r="U4292" t="s">
        <v>848</v>
      </c>
    </row>
    <row r="4293" spans="1:21">
      <c r="A4293" t="str">
        <f>"688122"</f>
        <v>688122</v>
      </c>
      <c r="B4293" t="s">
        <v>8205</v>
      </c>
      <c r="C4293">
        <v>0.99</v>
      </c>
      <c r="D4293">
        <v>92.4</v>
      </c>
      <c r="E4293">
        <v>0.91</v>
      </c>
      <c r="F4293">
        <v>92.4</v>
      </c>
      <c r="G4293">
        <v>92.43</v>
      </c>
      <c r="H4293">
        <v>44489</v>
      </c>
      <c r="I4293">
        <v>207</v>
      </c>
      <c r="J4293">
        <v>-0.35</v>
      </c>
      <c r="K4293">
        <v>1.42</v>
      </c>
      <c r="L4293">
        <v>41371.55</v>
      </c>
      <c r="M4293" t="s">
        <v>8206</v>
      </c>
      <c r="N4293" t="s">
        <v>523</v>
      </c>
      <c r="O4293">
        <v>90.5</v>
      </c>
      <c r="P4293">
        <v>95.5</v>
      </c>
      <c r="Q4293">
        <v>90.5</v>
      </c>
      <c r="R4293">
        <v>91.49</v>
      </c>
      <c r="S4293">
        <v>56.85</v>
      </c>
      <c r="T4293">
        <v>0.68</v>
      </c>
      <c r="U4293" t="s">
        <v>317</v>
      </c>
    </row>
    <row r="4294" spans="1:21">
      <c r="A4294" t="str">
        <f>"688123"</f>
        <v>688123</v>
      </c>
      <c r="B4294" t="s">
        <v>8207</v>
      </c>
      <c r="C4294">
        <v>3.51</v>
      </c>
      <c r="D4294">
        <v>57.5</v>
      </c>
      <c r="E4294">
        <v>1.95</v>
      </c>
      <c r="F4294">
        <v>57.47</v>
      </c>
      <c r="G4294">
        <v>57.5</v>
      </c>
      <c r="H4294">
        <v>42373</v>
      </c>
      <c r="I4294">
        <v>501</v>
      </c>
      <c r="J4294">
        <v>-0.65</v>
      </c>
      <c r="K4294">
        <v>5.13</v>
      </c>
      <c r="L4294">
        <v>24323.18</v>
      </c>
      <c r="M4294" t="s">
        <v>8208</v>
      </c>
      <c r="N4294" t="s">
        <v>1246</v>
      </c>
      <c r="O4294">
        <v>55.64</v>
      </c>
      <c r="P4294">
        <v>58.43</v>
      </c>
      <c r="Q4294">
        <v>55.55</v>
      </c>
      <c r="R4294">
        <v>55.55</v>
      </c>
      <c r="S4294">
        <v>63.09</v>
      </c>
      <c r="T4294">
        <v>1.4</v>
      </c>
      <c r="U4294" t="s">
        <v>848</v>
      </c>
    </row>
    <row r="4295" spans="1:21">
      <c r="A4295" t="str">
        <f>"688126"</f>
        <v>688126</v>
      </c>
      <c r="B4295" t="s">
        <v>8209</v>
      </c>
      <c r="C4295">
        <v>-0.98</v>
      </c>
      <c r="D4295">
        <v>28.37</v>
      </c>
      <c r="E4295">
        <v>-0.28</v>
      </c>
      <c r="F4295">
        <v>28.37</v>
      </c>
      <c r="G4295">
        <v>28.38</v>
      </c>
      <c r="H4295">
        <v>118110</v>
      </c>
      <c r="I4295">
        <v>1827</v>
      </c>
      <c r="J4295">
        <v>0.11</v>
      </c>
      <c r="K4295">
        <v>1.07</v>
      </c>
      <c r="L4295">
        <v>33401.31</v>
      </c>
      <c r="M4295" t="s">
        <v>8210</v>
      </c>
      <c r="N4295" t="s">
        <v>1246</v>
      </c>
      <c r="O4295">
        <v>28.55</v>
      </c>
      <c r="P4295">
        <v>28.98</v>
      </c>
      <c r="Q4295">
        <v>27.9</v>
      </c>
      <c r="R4295">
        <v>28.65</v>
      </c>
      <c r="S4295">
        <v>524.28</v>
      </c>
      <c r="T4295">
        <v>0.93</v>
      </c>
      <c r="U4295" t="s">
        <v>848</v>
      </c>
    </row>
    <row r="4296" spans="1:21">
      <c r="A4296" t="str">
        <f>"688127"</f>
        <v>688127</v>
      </c>
      <c r="B4296" t="s">
        <v>8211</v>
      </c>
      <c r="C4296">
        <v>2.13</v>
      </c>
      <c r="D4296">
        <v>19.67</v>
      </c>
      <c r="E4296">
        <v>0.41</v>
      </c>
      <c r="F4296">
        <v>19.67</v>
      </c>
      <c r="G4296">
        <v>19.68</v>
      </c>
      <c r="H4296">
        <v>76704</v>
      </c>
      <c r="I4296">
        <v>1320</v>
      </c>
      <c r="J4296">
        <v>0.46</v>
      </c>
      <c r="K4296">
        <v>4.54</v>
      </c>
      <c r="L4296">
        <v>15019.37</v>
      </c>
      <c r="M4296" t="s">
        <v>8212</v>
      </c>
      <c r="N4296" t="s">
        <v>69</v>
      </c>
      <c r="O4296">
        <v>18.9</v>
      </c>
      <c r="P4296">
        <v>20.2</v>
      </c>
      <c r="Q4296">
        <v>18.8</v>
      </c>
      <c r="R4296">
        <v>19.26</v>
      </c>
      <c r="S4296">
        <v>54.32</v>
      </c>
      <c r="T4296">
        <v>0.66</v>
      </c>
      <c r="U4296" t="s">
        <v>200</v>
      </c>
    </row>
    <row r="4297" spans="1:21">
      <c r="A4297" t="str">
        <f>"688128"</f>
        <v>688128</v>
      </c>
      <c r="B4297" t="s">
        <v>8213</v>
      </c>
      <c r="C4297">
        <v>-1.42</v>
      </c>
      <c r="D4297">
        <v>31.23</v>
      </c>
      <c r="E4297">
        <v>-0.45</v>
      </c>
      <c r="F4297">
        <v>31.22</v>
      </c>
      <c r="G4297">
        <v>31.23</v>
      </c>
      <c r="H4297">
        <v>46167</v>
      </c>
      <c r="I4297">
        <v>406</v>
      </c>
      <c r="J4297">
        <v>0.22</v>
      </c>
      <c r="K4297">
        <v>4.79</v>
      </c>
      <c r="L4297">
        <v>14362.18</v>
      </c>
      <c r="M4297" t="s">
        <v>8214</v>
      </c>
      <c r="N4297" t="s">
        <v>324</v>
      </c>
      <c r="O4297">
        <v>31.9</v>
      </c>
      <c r="P4297">
        <v>32</v>
      </c>
      <c r="Q4297">
        <v>30.53</v>
      </c>
      <c r="R4297">
        <v>31.68</v>
      </c>
      <c r="S4297">
        <v>39.59</v>
      </c>
      <c r="T4297">
        <v>0.9</v>
      </c>
      <c r="U4297" t="s">
        <v>183</v>
      </c>
    </row>
    <row r="4298" spans="1:21">
      <c r="A4298" t="str">
        <f>"688129"</f>
        <v>688129</v>
      </c>
      <c r="B4298" t="s">
        <v>8215</v>
      </c>
      <c r="C4298">
        <v>1.84</v>
      </c>
      <c r="D4298">
        <v>18.3</v>
      </c>
      <c r="E4298">
        <v>0.33</v>
      </c>
      <c r="F4298">
        <v>18.29</v>
      </c>
      <c r="G4298">
        <v>18.3</v>
      </c>
      <c r="H4298">
        <v>8860</v>
      </c>
      <c r="I4298">
        <v>273</v>
      </c>
      <c r="J4298">
        <v>-0.32</v>
      </c>
      <c r="K4298">
        <v>2.2</v>
      </c>
      <c r="L4298">
        <v>1623.81</v>
      </c>
      <c r="M4298" t="s">
        <v>4142</v>
      </c>
      <c r="N4298" t="s">
        <v>416</v>
      </c>
      <c r="O4298">
        <v>18.5</v>
      </c>
      <c r="P4298">
        <v>18.5</v>
      </c>
      <c r="Q4298">
        <v>18.02</v>
      </c>
      <c r="R4298">
        <v>17.97</v>
      </c>
      <c r="S4298">
        <v>25.69</v>
      </c>
      <c r="T4298">
        <v>1.03</v>
      </c>
      <c r="U4298" t="s">
        <v>848</v>
      </c>
    </row>
    <row r="4299" spans="1:21">
      <c r="A4299" t="str">
        <f>"688131"</f>
        <v>688131</v>
      </c>
      <c r="B4299" t="s">
        <v>8216</v>
      </c>
      <c r="C4299">
        <v>0.78</v>
      </c>
      <c r="D4299">
        <v>294.38</v>
      </c>
      <c r="E4299">
        <v>2.28</v>
      </c>
      <c r="F4299">
        <v>294.38</v>
      </c>
      <c r="G4299">
        <v>295.17</v>
      </c>
      <c r="H4299">
        <v>2871</v>
      </c>
      <c r="I4299">
        <v>42</v>
      </c>
      <c r="J4299">
        <v>-0.29</v>
      </c>
      <c r="K4299">
        <v>1.76</v>
      </c>
      <c r="L4299">
        <v>8469.45</v>
      </c>
      <c r="M4299" t="s">
        <v>8217</v>
      </c>
      <c r="N4299" t="s">
        <v>192</v>
      </c>
      <c r="O4299">
        <v>293.66</v>
      </c>
      <c r="P4299">
        <v>297.89</v>
      </c>
      <c r="Q4299">
        <v>290.65</v>
      </c>
      <c r="R4299">
        <v>292.1</v>
      </c>
      <c r="S4299">
        <v>114</v>
      </c>
      <c r="T4299">
        <v>0.66</v>
      </c>
      <c r="U4299" t="s">
        <v>848</v>
      </c>
    </row>
    <row r="4300" spans="1:21">
      <c r="A4300" t="str">
        <f>"688133"</f>
        <v>688133</v>
      </c>
      <c r="B4300" t="s">
        <v>8218</v>
      </c>
      <c r="C4300">
        <v>0.91</v>
      </c>
      <c r="D4300">
        <v>220</v>
      </c>
      <c r="E4300">
        <v>1.99</v>
      </c>
      <c r="F4300">
        <v>220</v>
      </c>
      <c r="G4300">
        <v>221</v>
      </c>
      <c r="H4300">
        <v>4432</v>
      </c>
      <c r="I4300">
        <v>94</v>
      </c>
      <c r="J4300">
        <v>-0.44</v>
      </c>
      <c r="K4300">
        <v>0.96</v>
      </c>
      <c r="L4300">
        <v>9821.31</v>
      </c>
      <c r="M4300" t="s">
        <v>8219</v>
      </c>
      <c r="N4300" t="s">
        <v>309</v>
      </c>
      <c r="O4300">
        <v>217.8</v>
      </c>
      <c r="P4300">
        <v>226.5</v>
      </c>
      <c r="Q4300">
        <v>213.81</v>
      </c>
      <c r="R4300">
        <v>218.01</v>
      </c>
      <c r="S4300">
        <v>145.89</v>
      </c>
      <c r="T4300">
        <v>0.46</v>
      </c>
      <c r="U4300" t="s">
        <v>848</v>
      </c>
    </row>
    <row r="4301" spans="1:21">
      <c r="A4301" t="str">
        <f>"688135"</f>
        <v>688135</v>
      </c>
      <c r="B4301" t="s">
        <v>8220</v>
      </c>
      <c r="C4301">
        <v>2.01</v>
      </c>
      <c r="D4301">
        <v>47.75</v>
      </c>
      <c r="E4301">
        <v>0.94</v>
      </c>
      <c r="F4301">
        <v>47.63</v>
      </c>
      <c r="G4301">
        <v>47.75</v>
      </c>
      <c r="H4301">
        <v>45270</v>
      </c>
      <c r="I4301">
        <v>353</v>
      </c>
      <c r="J4301">
        <v>0.53</v>
      </c>
      <c r="K4301">
        <v>5.29</v>
      </c>
      <c r="L4301">
        <v>21653.84</v>
      </c>
      <c r="M4301" t="s">
        <v>8221</v>
      </c>
      <c r="N4301" t="s">
        <v>1246</v>
      </c>
      <c r="O4301">
        <v>46.81</v>
      </c>
      <c r="P4301">
        <v>48.27</v>
      </c>
      <c r="Q4301">
        <v>46.53</v>
      </c>
      <c r="R4301">
        <v>46.81</v>
      </c>
      <c r="S4301">
        <v>63.03</v>
      </c>
      <c r="T4301">
        <v>1.04</v>
      </c>
      <c r="U4301" t="s">
        <v>183</v>
      </c>
    </row>
    <row r="4302" spans="1:21">
      <c r="A4302" t="str">
        <f>"688136"</f>
        <v>688136</v>
      </c>
      <c r="B4302" t="s">
        <v>8222</v>
      </c>
      <c r="C4302">
        <v>3.76</v>
      </c>
      <c r="D4302">
        <v>28.95</v>
      </c>
      <c r="E4302">
        <v>1.05</v>
      </c>
      <c r="F4302">
        <v>28.95</v>
      </c>
      <c r="G4302">
        <v>28.96</v>
      </c>
      <c r="H4302">
        <v>14347</v>
      </c>
      <c r="I4302">
        <v>274</v>
      </c>
      <c r="J4302">
        <v>-0.06</v>
      </c>
      <c r="K4302">
        <v>3.36</v>
      </c>
      <c r="L4302">
        <v>4087.68</v>
      </c>
      <c r="M4302" t="s">
        <v>698</v>
      </c>
      <c r="N4302" t="s">
        <v>231</v>
      </c>
      <c r="O4302">
        <v>27.91</v>
      </c>
      <c r="P4302">
        <v>29.06</v>
      </c>
      <c r="Q4302">
        <v>27.9</v>
      </c>
      <c r="R4302">
        <v>27.9</v>
      </c>
      <c r="S4302">
        <v>57.29</v>
      </c>
      <c r="T4302">
        <v>1.07</v>
      </c>
      <c r="U4302" t="s">
        <v>221</v>
      </c>
    </row>
    <row r="4303" spans="1:21">
      <c r="A4303" t="str">
        <f>"688138"</f>
        <v>688138</v>
      </c>
      <c r="B4303" t="s">
        <v>8223</v>
      </c>
      <c r="C4303">
        <v>-1.1</v>
      </c>
      <c r="D4303">
        <v>17.01</v>
      </c>
      <c r="E4303">
        <v>-0.19</v>
      </c>
      <c r="F4303">
        <v>17</v>
      </c>
      <c r="G4303">
        <v>17.01</v>
      </c>
      <c r="H4303">
        <v>21925</v>
      </c>
      <c r="I4303">
        <v>396</v>
      </c>
      <c r="J4303">
        <v>0.12</v>
      </c>
      <c r="K4303">
        <v>2.69</v>
      </c>
      <c r="L4303">
        <v>3771.35</v>
      </c>
      <c r="M4303" t="s">
        <v>8224</v>
      </c>
      <c r="N4303" t="s">
        <v>69</v>
      </c>
      <c r="O4303">
        <v>17.16</v>
      </c>
      <c r="P4303">
        <v>17.52</v>
      </c>
      <c r="Q4303">
        <v>16.95</v>
      </c>
      <c r="R4303">
        <v>17.2</v>
      </c>
      <c r="S4303">
        <v>109.91</v>
      </c>
      <c r="T4303">
        <v>1.27</v>
      </c>
      <c r="U4303" t="s">
        <v>24</v>
      </c>
    </row>
    <row r="4304" spans="1:21">
      <c r="A4304" t="str">
        <f>"688139"</f>
        <v>688139</v>
      </c>
      <c r="B4304" t="s">
        <v>8225</v>
      </c>
      <c r="C4304">
        <v>-1.5</v>
      </c>
      <c r="D4304">
        <v>88.09</v>
      </c>
      <c r="E4304">
        <v>-1.34</v>
      </c>
      <c r="F4304">
        <v>88.09</v>
      </c>
      <c r="G4304">
        <v>88.1</v>
      </c>
      <c r="H4304">
        <v>13522</v>
      </c>
      <c r="I4304">
        <v>112</v>
      </c>
      <c r="J4304">
        <v>0.32</v>
      </c>
      <c r="K4304">
        <v>0.73</v>
      </c>
      <c r="L4304">
        <v>11881.03</v>
      </c>
      <c r="M4304" t="s">
        <v>8226</v>
      </c>
      <c r="N4304" t="s">
        <v>186</v>
      </c>
      <c r="O4304">
        <v>89.03</v>
      </c>
      <c r="P4304">
        <v>89.78</v>
      </c>
      <c r="Q4304">
        <v>87.07</v>
      </c>
      <c r="R4304">
        <v>89.43</v>
      </c>
      <c r="S4304">
        <v>30</v>
      </c>
      <c r="T4304">
        <v>0.57</v>
      </c>
      <c r="U4304" t="s">
        <v>221</v>
      </c>
    </row>
    <row r="4305" spans="1:21">
      <c r="A4305" t="str">
        <f>"688148"</f>
        <v>688148</v>
      </c>
      <c r="B4305" t="s">
        <v>8227</v>
      </c>
      <c r="C4305">
        <v>11.89</v>
      </c>
      <c r="D4305">
        <v>36.41</v>
      </c>
      <c r="E4305">
        <v>3.87</v>
      </c>
      <c r="F4305">
        <v>36.4</v>
      </c>
      <c r="G4305">
        <v>36.41</v>
      </c>
      <c r="H4305">
        <v>94378</v>
      </c>
      <c r="I4305">
        <v>744</v>
      </c>
      <c r="J4305">
        <v>0.28</v>
      </c>
      <c r="K4305">
        <v>13.06</v>
      </c>
      <c r="L4305">
        <v>33624.13</v>
      </c>
      <c r="M4305" t="s">
        <v>8228</v>
      </c>
      <c r="N4305" t="s">
        <v>47</v>
      </c>
      <c r="O4305">
        <v>32.99</v>
      </c>
      <c r="P4305">
        <v>37.72</v>
      </c>
      <c r="Q4305">
        <v>32.71</v>
      </c>
      <c r="R4305">
        <v>32.54</v>
      </c>
      <c r="S4305">
        <v>190.61</v>
      </c>
      <c r="T4305">
        <v>2.05</v>
      </c>
      <c r="U4305" t="s">
        <v>183</v>
      </c>
    </row>
    <row r="4306" spans="1:21">
      <c r="A4306" t="str">
        <f>"688155"</f>
        <v>688155</v>
      </c>
      <c r="B4306" t="s">
        <v>8229</v>
      </c>
      <c r="C4306">
        <v>3.85</v>
      </c>
      <c r="D4306">
        <v>115.79</v>
      </c>
      <c r="E4306">
        <v>4.29</v>
      </c>
      <c r="F4306">
        <v>115.68</v>
      </c>
      <c r="G4306">
        <v>115.79</v>
      </c>
      <c r="H4306">
        <v>11774</v>
      </c>
      <c r="I4306">
        <v>116</v>
      </c>
      <c r="J4306">
        <v>0.43</v>
      </c>
      <c r="K4306">
        <v>3.87</v>
      </c>
      <c r="L4306">
        <v>13421.13</v>
      </c>
      <c r="M4306" t="s">
        <v>8230</v>
      </c>
      <c r="N4306" t="s">
        <v>324</v>
      </c>
      <c r="O4306">
        <v>110.43</v>
      </c>
      <c r="P4306">
        <v>117.98</v>
      </c>
      <c r="Q4306">
        <v>109</v>
      </c>
      <c r="R4306">
        <v>111.5</v>
      </c>
      <c r="S4306">
        <v>94.23</v>
      </c>
      <c r="T4306">
        <v>1.17</v>
      </c>
      <c r="U4306" t="s">
        <v>848</v>
      </c>
    </row>
    <row r="4307" spans="1:21">
      <c r="A4307" t="str">
        <f>"688156"</f>
        <v>688156</v>
      </c>
      <c r="B4307" t="s">
        <v>8231</v>
      </c>
      <c r="C4307">
        <v>0.82</v>
      </c>
      <c r="D4307">
        <v>18.45</v>
      </c>
      <c r="E4307">
        <v>0.15</v>
      </c>
      <c r="F4307">
        <v>18.44</v>
      </c>
      <c r="G4307">
        <v>18.45</v>
      </c>
      <c r="H4307">
        <v>5484</v>
      </c>
      <c r="I4307">
        <v>114</v>
      </c>
      <c r="J4307">
        <v>0</v>
      </c>
      <c r="K4307">
        <v>0.79</v>
      </c>
      <c r="L4307">
        <v>1005.66</v>
      </c>
      <c r="M4307" t="s">
        <v>8232</v>
      </c>
      <c r="N4307" t="s">
        <v>33</v>
      </c>
      <c r="O4307">
        <v>18.52</v>
      </c>
      <c r="P4307">
        <v>18.52</v>
      </c>
      <c r="Q4307">
        <v>18.18</v>
      </c>
      <c r="R4307">
        <v>18.3</v>
      </c>
      <c r="S4307">
        <v>27.74</v>
      </c>
      <c r="T4307">
        <v>0.69</v>
      </c>
      <c r="U4307" t="s">
        <v>267</v>
      </c>
    </row>
    <row r="4308" spans="1:21">
      <c r="A4308" t="str">
        <f>"688157"</f>
        <v>688157</v>
      </c>
      <c r="B4308" t="s">
        <v>8233</v>
      </c>
      <c r="C4308">
        <v>-0.24</v>
      </c>
      <c r="D4308">
        <v>104</v>
      </c>
      <c r="E4308">
        <v>-0.25</v>
      </c>
      <c r="F4308">
        <v>104</v>
      </c>
      <c r="G4308">
        <v>104.25</v>
      </c>
      <c r="H4308">
        <v>2876</v>
      </c>
      <c r="I4308">
        <v>37</v>
      </c>
      <c r="J4308">
        <v>-0.23</v>
      </c>
      <c r="K4308">
        <v>0.82</v>
      </c>
      <c r="L4308">
        <v>2978.79</v>
      </c>
      <c r="M4308" t="s">
        <v>8234</v>
      </c>
      <c r="N4308" t="s">
        <v>416</v>
      </c>
      <c r="O4308">
        <v>102.13</v>
      </c>
      <c r="P4308">
        <v>104.7</v>
      </c>
      <c r="Q4308">
        <v>102.12</v>
      </c>
      <c r="R4308">
        <v>104.25</v>
      </c>
      <c r="S4308">
        <v>86.45</v>
      </c>
      <c r="T4308">
        <v>0.6</v>
      </c>
      <c r="U4308" t="s">
        <v>204</v>
      </c>
    </row>
    <row r="4309" spans="1:21">
      <c r="A4309" t="str">
        <f>"688158"</f>
        <v>688158</v>
      </c>
      <c r="B4309" t="s">
        <v>8235</v>
      </c>
      <c r="C4309">
        <v>0.3</v>
      </c>
      <c r="D4309">
        <v>27.02</v>
      </c>
      <c r="E4309">
        <v>0.08</v>
      </c>
      <c r="F4309">
        <v>27.02</v>
      </c>
      <c r="G4309">
        <v>27.03</v>
      </c>
      <c r="H4309">
        <v>21592</v>
      </c>
      <c r="I4309">
        <v>211</v>
      </c>
      <c r="J4309">
        <v>0.04</v>
      </c>
      <c r="K4309">
        <v>0.67</v>
      </c>
      <c r="L4309">
        <v>5828.26</v>
      </c>
      <c r="M4309" t="s">
        <v>8236</v>
      </c>
      <c r="N4309" t="s">
        <v>479</v>
      </c>
      <c r="O4309">
        <v>26.83</v>
      </c>
      <c r="P4309">
        <v>27.28</v>
      </c>
      <c r="Q4309">
        <v>26.77</v>
      </c>
      <c r="R4309">
        <v>26.94</v>
      </c>
      <c r="S4309" t="s">
        <v>40</v>
      </c>
      <c r="T4309">
        <v>0.78</v>
      </c>
      <c r="U4309" t="s">
        <v>848</v>
      </c>
    </row>
    <row r="4310" spans="1:21">
      <c r="A4310" t="str">
        <f>"688159"</f>
        <v>688159</v>
      </c>
      <c r="B4310" t="s">
        <v>8237</v>
      </c>
      <c r="C4310">
        <v>4.29</v>
      </c>
      <c r="D4310">
        <v>24.81</v>
      </c>
      <c r="E4310">
        <v>1.02</v>
      </c>
      <c r="F4310">
        <v>24.81</v>
      </c>
      <c r="G4310">
        <v>24.82</v>
      </c>
      <c r="H4310">
        <v>14171</v>
      </c>
      <c r="I4310">
        <v>143</v>
      </c>
      <c r="J4310">
        <v>0.16</v>
      </c>
      <c r="K4310">
        <v>2.26</v>
      </c>
      <c r="L4310">
        <v>3487.95</v>
      </c>
      <c r="M4310" t="s">
        <v>8238</v>
      </c>
      <c r="N4310" t="s">
        <v>153</v>
      </c>
      <c r="O4310">
        <v>23.79</v>
      </c>
      <c r="P4310">
        <v>25.15</v>
      </c>
      <c r="Q4310">
        <v>23.73</v>
      </c>
      <c r="R4310">
        <v>23.79</v>
      </c>
      <c r="S4310" t="s">
        <v>40</v>
      </c>
      <c r="T4310">
        <v>1.69</v>
      </c>
      <c r="U4310" t="s">
        <v>24</v>
      </c>
    </row>
    <row r="4311" spans="1:21">
      <c r="A4311" t="str">
        <f>"688160"</f>
        <v>688160</v>
      </c>
      <c r="B4311" t="s">
        <v>8239</v>
      </c>
      <c r="C4311">
        <v>0.69</v>
      </c>
      <c r="D4311">
        <v>37.86</v>
      </c>
      <c r="E4311">
        <v>0.26</v>
      </c>
      <c r="F4311">
        <v>37.86</v>
      </c>
      <c r="G4311">
        <v>37.93</v>
      </c>
      <c r="H4311">
        <v>5902</v>
      </c>
      <c r="I4311">
        <v>18</v>
      </c>
      <c r="J4311">
        <v>0</v>
      </c>
      <c r="K4311">
        <v>2.52</v>
      </c>
      <c r="L4311">
        <v>2224.1</v>
      </c>
      <c r="M4311" t="s">
        <v>5733</v>
      </c>
      <c r="N4311" t="s">
        <v>1028</v>
      </c>
      <c r="O4311">
        <v>37.14</v>
      </c>
      <c r="P4311">
        <v>38.31</v>
      </c>
      <c r="Q4311">
        <v>37</v>
      </c>
      <c r="R4311">
        <v>37.6</v>
      </c>
      <c r="S4311">
        <v>41.5</v>
      </c>
      <c r="T4311">
        <v>0.79</v>
      </c>
      <c r="U4311" t="s">
        <v>848</v>
      </c>
    </row>
    <row r="4312" spans="1:21">
      <c r="A4312" t="str">
        <f>"688161"</f>
        <v>688161</v>
      </c>
      <c r="B4312" t="s">
        <v>8240</v>
      </c>
      <c r="C4312">
        <v>0.7</v>
      </c>
      <c r="D4312">
        <v>67.94</v>
      </c>
      <c r="E4312">
        <v>0.47</v>
      </c>
      <c r="F4312">
        <v>67.94</v>
      </c>
      <c r="G4312">
        <v>67.95</v>
      </c>
      <c r="H4312">
        <v>8554</v>
      </c>
      <c r="I4312">
        <v>88</v>
      </c>
      <c r="J4312">
        <v>0.06</v>
      </c>
      <c r="K4312">
        <v>2.52</v>
      </c>
      <c r="L4312">
        <v>5772.54</v>
      </c>
      <c r="M4312" t="s">
        <v>8241</v>
      </c>
      <c r="N4312" t="s">
        <v>186</v>
      </c>
      <c r="O4312">
        <v>67.09</v>
      </c>
      <c r="P4312">
        <v>68.29</v>
      </c>
      <c r="Q4312">
        <v>66.53</v>
      </c>
      <c r="R4312">
        <v>67.47</v>
      </c>
      <c r="S4312">
        <v>41.23</v>
      </c>
      <c r="T4312">
        <v>0.65</v>
      </c>
      <c r="U4312" t="s">
        <v>221</v>
      </c>
    </row>
    <row r="4313" spans="1:21">
      <c r="A4313" t="str">
        <f>"688162"</f>
        <v>688162</v>
      </c>
      <c r="B4313" t="s">
        <v>8242</v>
      </c>
      <c r="C4313">
        <v>-1.73</v>
      </c>
      <c r="D4313">
        <v>91.98</v>
      </c>
      <c r="E4313">
        <v>-1.62</v>
      </c>
      <c r="F4313">
        <v>91.97</v>
      </c>
      <c r="G4313">
        <v>91.98</v>
      </c>
      <c r="H4313">
        <v>64061</v>
      </c>
      <c r="I4313">
        <v>706</v>
      </c>
      <c r="J4313">
        <v>-0.01</v>
      </c>
      <c r="K4313">
        <v>24.42</v>
      </c>
      <c r="L4313">
        <v>59119.05</v>
      </c>
      <c r="M4313" t="s">
        <v>8243</v>
      </c>
      <c r="N4313" t="s">
        <v>324</v>
      </c>
      <c r="O4313">
        <v>90.88</v>
      </c>
      <c r="P4313">
        <v>95.99</v>
      </c>
      <c r="Q4313">
        <v>90.18</v>
      </c>
      <c r="R4313">
        <v>93.6</v>
      </c>
      <c r="S4313">
        <v>67.85</v>
      </c>
      <c r="T4313">
        <v>0.66</v>
      </c>
      <c r="U4313" t="s">
        <v>193</v>
      </c>
    </row>
    <row r="4314" spans="1:21">
      <c r="A4314" t="str">
        <f>"688165"</f>
        <v>688165</v>
      </c>
      <c r="B4314" t="s">
        <v>8244</v>
      </c>
      <c r="C4314">
        <v>1.97</v>
      </c>
      <c r="D4314">
        <v>10.87</v>
      </c>
      <c r="E4314">
        <v>0.21</v>
      </c>
      <c r="F4314">
        <v>10.87</v>
      </c>
      <c r="G4314">
        <v>10.88</v>
      </c>
      <c r="H4314">
        <v>17048</v>
      </c>
      <c r="I4314">
        <v>283</v>
      </c>
      <c r="J4314">
        <v>0.18</v>
      </c>
      <c r="K4314">
        <v>0.57</v>
      </c>
      <c r="L4314">
        <v>1845.91</v>
      </c>
      <c r="M4314" t="s">
        <v>4393</v>
      </c>
      <c r="N4314" t="s">
        <v>324</v>
      </c>
      <c r="O4314">
        <v>10.66</v>
      </c>
      <c r="P4314">
        <v>10.94</v>
      </c>
      <c r="Q4314">
        <v>10.66</v>
      </c>
      <c r="R4314">
        <v>10.66</v>
      </c>
      <c r="S4314" t="s">
        <v>40</v>
      </c>
      <c r="T4314">
        <v>0.97</v>
      </c>
      <c r="U4314" t="s">
        <v>193</v>
      </c>
    </row>
    <row r="4315" spans="1:21">
      <c r="A4315" t="str">
        <f>"688166"</f>
        <v>688166</v>
      </c>
      <c r="B4315" t="s">
        <v>8245</v>
      </c>
      <c r="C4315">
        <v>1.19</v>
      </c>
      <c r="D4315">
        <v>36.43</v>
      </c>
      <c r="E4315">
        <v>0.43</v>
      </c>
      <c r="F4315">
        <v>36.38</v>
      </c>
      <c r="G4315">
        <v>36.43</v>
      </c>
      <c r="H4315">
        <v>29052</v>
      </c>
      <c r="I4315">
        <v>154</v>
      </c>
      <c r="J4315">
        <v>0.44</v>
      </c>
      <c r="K4315">
        <v>1.59</v>
      </c>
      <c r="L4315">
        <v>10326.88</v>
      </c>
      <c r="M4315" t="s">
        <v>8246</v>
      </c>
      <c r="N4315" t="s">
        <v>192</v>
      </c>
      <c r="O4315">
        <v>35.83</v>
      </c>
      <c r="P4315">
        <v>36.5</v>
      </c>
      <c r="Q4315">
        <v>34.84</v>
      </c>
      <c r="R4315">
        <v>36</v>
      </c>
      <c r="S4315">
        <v>63.34</v>
      </c>
      <c r="T4315">
        <v>1.03</v>
      </c>
      <c r="U4315" t="s">
        <v>102</v>
      </c>
    </row>
    <row r="4316" spans="1:21">
      <c r="A4316" t="str">
        <f>"688168"</f>
        <v>688168</v>
      </c>
      <c r="B4316" t="s">
        <v>8247</v>
      </c>
      <c r="C4316">
        <v>2.92</v>
      </c>
      <c r="D4316">
        <v>63.8</v>
      </c>
      <c r="E4316">
        <v>1.81</v>
      </c>
      <c r="F4316">
        <v>63.79</v>
      </c>
      <c r="G4316">
        <v>63.8</v>
      </c>
      <c r="H4316">
        <v>11602</v>
      </c>
      <c r="I4316">
        <v>77</v>
      </c>
      <c r="J4316">
        <v>-0.29</v>
      </c>
      <c r="K4316">
        <v>4.06</v>
      </c>
      <c r="L4316">
        <v>7401.61</v>
      </c>
      <c r="M4316" t="s">
        <v>8248</v>
      </c>
      <c r="N4316" t="s">
        <v>30</v>
      </c>
      <c r="O4316">
        <v>61.73</v>
      </c>
      <c r="P4316">
        <v>64.78</v>
      </c>
      <c r="Q4316">
        <v>61.73</v>
      </c>
      <c r="R4316">
        <v>61.99</v>
      </c>
      <c r="S4316">
        <v>73.97</v>
      </c>
      <c r="T4316">
        <v>0.85</v>
      </c>
      <c r="U4316" t="s">
        <v>44</v>
      </c>
    </row>
    <row r="4317" spans="1:21">
      <c r="A4317" t="str">
        <f>"688169"</f>
        <v>688169</v>
      </c>
      <c r="B4317" t="s">
        <v>8249</v>
      </c>
      <c r="C4317">
        <v>3.15</v>
      </c>
      <c r="D4317">
        <v>882</v>
      </c>
      <c r="E4317">
        <v>26.93</v>
      </c>
      <c r="F4317">
        <v>881.88</v>
      </c>
      <c r="G4317">
        <v>882</v>
      </c>
      <c r="H4317">
        <v>3905</v>
      </c>
      <c r="I4317">
        <v>39</v>
      </c>
      <c r="J4317">
        <v>0.07</v>
      </c>
      <c r="K4317">
        <v>0.86</v>
      </c>
      <c r="L4317">
        <v>34285.84</v>
      </c>
      <c r="M4317" t="s">
        <v>8250</v>
      </c>
      <c r="N4317" t="s">
        <v>60</v>
      </c>
      <c r="O4317">
        <v>855.07</v>
      </c>
      <c r="P4317">
        <v>888</v>
      </c>
      <c r="Q4317">
        <v>850</v>
      </c>
      <c r="R4317">
        <v>855.07</v>
      </c>
      <c r="S4317">
        <v>43.48</v>
      </c>
      <c r="T4317">
        <v>0.77</v>
      </c>
      <c r="U4317" t="s">
        <v>44</v>
      </c>
    </row>
    <row r="4318" spans="1:21">
      <c r="A4318" t="str">
        <f>"688177"</f>
        <v>688177</v>
      </c>
      <c r="B4318" t="s">
        <v>8251</v>
      </c>
      <c r="C4318">
        <v>3.3</v>
      </c>
      <c r="D4318">
        <v>27.85</v>
      </c>
      <c r="E4318">
        <v>0.89</v>
      </c>
      <c r="F4318">
        <v>27.81</v>
      </c>
      <c r="G4318">
        <v>27.85</v>
      </c>
      <c r="H4318">
        <v>10484</v>
      </c>
      <c r="I4318">
        <v>95</v>
      </c>
      <c r="J4318">
        <v>0.14</v>
      </c>
      <c r="K4318">
        <v>1.09</v>
      </c>
      <c r="L4318">
        <v>2895.46</v>
      </c>
      <c r="M4318" t="s">
        <v>8252</v>
      </c>
      <c r="N4318" t="s">
        <v>231</v>
      </c>
      <c r="O4318">
        <v>27</v>
      </c>
      <c r="P4318">
        <v>27.96</v>
      </c>
      <c r="Q4318">
        <v>27</v>
      </c>
      <c r="R4318">
        <v>26.96</v>
      </c>
      <c r="S4318" t="s">
        <v>40</v>
      </c>
      <c r="T4318">
        <v>1.15</v>
      </c>
      <c r="U4318" t="s">
        <v>183</v>
      </c>
    </row>
    <row r="4319" spans="1:21">
      <c r="A4319" t="str">
        <f>"688178"</f>
        <v>688178</v>
      </c>
      <c r="B4319" t="s">
        <v>8253</v>
      </c>
      <c r="C4319">
        <v>1.76</v>
      </c>
      <c r="D4319">
        <v>24.32</v>
      </c>
      <c r="E4319">
        <v>0.42</v>
      </c>
      <c r="F4319">
        <v>24.32</v>
      </c>
      <c r="G4319">
        <v>24.33</v>
      </c>
      <c r="H4319">
        <v>2079</v>
      </c>
      <c r="I4319">
        <v>22</v>
      </c>
      <c r="J4319">
        <v>0.16</v>
      </c>
      <c r="K4319">
        <v>0.56</v>
      </c>
      <c r="L4319">
        <v>501.94</v>
      </c>
      <c r="M4319" t="s">
        <v>1636</v>
      </c>
      <c r="N4319" t="s">
        <v>33</v>
      </c>
      <c r="O4319">
        <v>23.95</v>
      </c>
      <c r="P4319">
        <v>24.37</v>
      </c>
      <c r="Q4319">
        <v>23.81</v>
      </c>
      <c r="R4319">
        <v>23.9</v>
      </c>
      <c r="S4319">
        <v>21.61</v>
      </c>
      <c r="T4319">
        <v>0.87</v>
      </c>
      <c r="U4319" t="s">
        <v>102</v>
      </c>
    </row>
    <row r="4320" spans="1:21">
      <c r="A4320" t="str">
        <f>"688179"</f>
        <v>688179</v>
      </c>
      <c r="B4320" t="s">
        <v>8254</v>
      </c>
      <c r="C4320">
        <v>1.1</v>
      </c>
      <c r="D4320">
        <v>79.12</v>
      </c>
      <c r="E4320">
        <v>0.86</v>
      </c>
      <c r="F4320">
        <v>79.12</v>
      </c>
      <c r="G4320">
        <v>79.13</v>
      </c>
      <c r="H4320">
        <v>19670</v>
      </c>
      <c r="I4320">
        <v>123</v>
      </c>
      <c r="J4320">
        <v>0.03</v>
      </c>
      <c r="K4320">
        <v>3.87</v>
      </c>
      <c r="L4320">
        <v>15936.78</v>
      </c>
      <c r="M4320" t="s">
        <v>8056</v>
      </c>
      <c r="N4320" t="s">
        <v>192</v>
      </c>
      <c r="O4320">
        <v>78.38</v>
      </c>
      <c r="P4320">
        <v>83.21</v>
      </c>
      <c r="Q4320">
        <v>77.51</v>
      </c>
      <c r="R4320">
        <v>78.26</v>
      </c>
      <c r="S4320">
        <v>100.6</v>
      </c>
      <c r="T4320">
        <v>0.87</v>
      </c>
      <c r="U4320" t="s">
        <v>848</v>
      </c>
    </row>
    <row r="4321" spans="1:21">
      <c r="A4321" t="str">
        <f>"688180"</f>
        <v>688180</v>
      </c>
      <c r="B4321" t="s">
        <v>8255</v>
      </c>
      <c r="C4321">
        <v>4.49</v>
      </c>
      <c r="D4321">
        <v>55.2</v>
      </c>
      <c r="E4321">
        <v>2.37</v>
      </c>
      <c r="F4321">
        <v>55.2</v>
      </c>
      <c r="G4321">
        <v>55.21</v>
      </c>
      <c r="H4321">
        <v>79759</v>
      </c>
      <c r="I4321">
        <v>776</v>
      </c>
      <c r="J4321">
        <v>0.13</v>
      </c>
      <c r="K4321">
        <v>1.86</v>
      </c>
      <c r="L4321">
        <v>44175.76</v>
      </c>
      <c r="M4321" t="s">
        <v>8256</v>
      </c>
      <c r="N4321" t="s">
        <v>231</v>
      </c>
      <c r="O4321">
        <v>56</v>
      </c>
      <c r="P4321">
        <v>57.23</v>
      </c>
      <c r="Q4321">
        <v>54.1</v>
      </c>
      <c r="R4321">
        <v>52.83</v>
      </c>
      <c r="S4321" t="s">
        <v>40</v>
      </c>
      <c r="T4321">
        <v>1.37</v>
      </c>
      <c r="U4321" t="s">
        <v>848</v>
      </c>
    </row>
    <row r="4322" spans="1:21">
      <c r="A4322" t="str">
        <f>"688181"</f>
        <v>688181</v>
      </c>
      <c r="B4322" t="s">
        <v>8257</v>
      </c>
      <c r="C4322">
        <v>1.02</v>
      </c>
      <c r="D4322">
        <v>49.5</v>
      </c>
      <c r="E4322">
        <v>0.5</v>
      </c>
      <c r="F4322">
        <v>49.5</v>
      </c>
      <c r="G4322">
        <v>49.54</v>
      </c>
      <c r="H4322">
        <v>8135</v>
      </c>
      <c r="I4322">
        <v>99</v>
      </c>
      <c r="J4322">
        <v>-0.03</v>
      </c>
      <c r="K4322">
        <v>1.06</v>
      </c>
      <c r="L4322">
        <v>4030.24</v>
      </c>
      <c r="M4322" t="s">
        <v>7040</v>
      </c>
      <c r="N4322" t="s">
        <v>1246</v>
      </c>
      <c r="O4322">
        <v>49</v>
      </c>
      <c r="P4322">
        <v>50.22</v>
      </c>
      <c r="Q4322">
        <v>48.85</v>
      </c>
      <c r="R4322">
        <v>49</v>
      </c>
      <c r="S4322">
        <v>21.22</v>
      </c>
      <c r="T4322">
        <v>0.75</v>
      </c>
      <c r="U4322" t="s">
        <v>44</v>
      </c>
    </row>
    <row r="4323" spans="1:21">
      <c r="A4323" t="str">
        <f>"688182"</f>
        <v>688182</v>
      </c>
      <c r="B4323" t="s">
        <v>8258</v>
      </c>
      <c r="C4323">
        <v>3.22</v>
      </c>
      <c r="D4323">
        <v>26.32</v>
      </c>
      <c r="E4323">
        <v>0.82</v>
      </c>
      <c r="F4323">
        <v>26.31</v>
      </c>
      <c r="G4323">
        <v>26.32</v>
      </c>
      <c r="H4323">
        <v>238942</v>
      </c>
      <c r="I4323">
        <v>1985</v>
      </c>
      <c r="J4323">
        <v>-0.78</v>
      </c>
      <c r="K4323">
        <v>35.67</v>
      </c>
      <c r="L4323">
        <v>60713.83</v>
      </c>
      <c r="M4323" t="s">
        <v>8259</v>
      </c>
      <c r="N4323" t="s">
        <v>153</v>
      </c>
      <c r="O4323">
        <v>24.9</v>
      </c>
      <c r="P4323">
        <v>26.88</v>
      </c>
      <c r="Q4323">
        <v>24.04</v>
      </c>
      <c r="R4323">
        <v>25.5</v>
      </c>
      <c r="S4323">
        <v>112.33</v>
      </c>
      <c r="T4323">
        <v>0.52</v>
      </c>
      <c r="U4323" t="s">
        <v>102</v>
      </c>
    </row>
    <row r="4324" spans="1:21">
      <c r="A4324" t="str">
        <f>"688183"</f>
        <v>688183</v>
      </c>
      <c r="B4324" t="s">
        <v>8260</v>
      </c>
      <c r="C4324">
        <v>0.36</v>
      </c>
      <c r="D4324">
        <v>13.77</v>
      </c>
      <c r="E4324">
        <v>0.05</v>
      </c>
      <c r="F4324">
        <v>13.77</v>
      </c>
      <c r="G4324">
        <v>13.78</v>
      </c>
      <c r="H4324">
        <v>15509</v>
      </c>
      <c r="I4324">
        <v>121</v>
      </c>
      <c r="J4324">
        <v>-0.13</v>
      </c>
      <c r="K4324">
        <v>1.33</v>
      </c>
      <c r="L4324">
        <v>2129.43</v>
      </c>
      <c r="M4324" t="s">
        <v>8261</v>
      </c>
      <c r="N4324" t="s">
        <v>69</v>
      </c>
      <c r="O4324">
        <v>13.72</v>
      </c>
      <c r="P4324">
        <v>13.83</v>
      </c>
      <c r="Q4324">
        <v>13.63</v>
      </c>
      <c r="R4324">
        <v>13.72</v>
      </c>
      <c r="S4324">
        <v>47.06</v>
      </c>
      <c r="T4324">
        <v>0.52</v>
      </c>
      <c r="U4324" t="s">
        <v>183</v>
      </c>
    </row>
    <row r="4325" spans="1:21">
      <c r="A4325" t="str">
        <f>"688185"</f>
        <v>688185</v>
      </c>
      <c r="B4325" t="s">
        <v>8262</v>
      </c>
      <c r="C4325">
        <v>-0.5</v>
      </c>
      <c r="D4325">
        <v>269.42</v>
      </c>
      <c r="E4325">
        <v>-1.36</v>
      </c>
      <c r="F4325">
        <v>269.42</v>
      </c>
      <c r="G4325">
        <v>269.5</v>
      </c>
      <c r="H4325">
        <v>13446</v>
      </c>
      <c r="I4325">
        <v>187</v>
      </c>
      <c r="J4325">
        <v>-0.03</v>
      </c>
      <c r="K4325">
        <v>2.01</v>
      </c>
      <c r="L4325">
        <v>36364.9</v>
      </c>
      <c r="M4325" t="s">
        <v>8263</v>
      </c>
      <c r="N4325" t="s">
        <v>231</v>
      </c>
      <c r="O4325">
        <v>271.77</v>
      </c>
      <c r="P4325">
        <v>274.8</v>
      </c>
      <c r="Q4325">
        <v>268</v>
      </c>
      <c r="R4325">
        <v>270.78</v>
      </c>
      <c r="S4325">
        <v>37.48</v>
      </c>
      <c r="T4325">
        <v>0.48</v>
      </c>
      <c r="U4325" t="s">
        <v>360</v>
      </c>
    </row>
    <row r="4326" spans="1:21">
      <c r="A4326" t="str">
        <f>"688186"</f>
        <v>688186</v>
      </c>
      <c r="B4326" t="s">
        <v>8264</v>
      </c>
      <c r="C4326">
        <v>1.41</v>
      </c>
      <c r="D4326">
        <v>64.87</v>
      </c>
      <c r="E4326">
        <v>0.9</v>
      </c>
      <c r="F4326">
        <v>64.81</v>
      </c>
      <c r="G4326">
        <v>64.87</v>
      </c>
      <c r="H4326">
        <v>49254</v>
      </c>
      <c r="I4326">
        <v>259</v>
      </c>
      <c r="J4326">
        <v>0.32</v>
      </c>
      <c r="K4326">
        <v>4.97</v>
      </c>
      <c r="L4326">
        <v>31481.34</v>
      </c>
      <c r="M4326" t="s">
        <v>8265</v>
      </c>
      <c r="N4326" t="s">
        <v>628</v>
      </c>
      <c r="O4326">
        <v>62.26</v>
      </c>
      <c r="P4326">
        <v>65.87</v>
      </c>
      <c r="Q4326">
        <v>62.1</v>
      </c>
      <c r="R4326">
        <v>63.97</v>
      </c>
      <c r="S4326">
        <v>54.69</v>
      </c>
      <c r="T4326">
        <v>1.17</v>
      </c>
      <c r="U4326" t="s">
        <v>102</v>
      </c>
    </row>
    <row r="4327" spans="1:21">
      <c r="A4327" t="str">
        <f>"688187"</f>
        <v>688187</v>
      </c>
      <c r="B4327" t="s">
        <v>8266</v>
      </c>
      <c r="C4327">
        <v>-0.48</v>
      </c>
      <c r="D4327">
        <v>72.35</v>
      </c>
      <c r="E4327">
        <v>-0.35</v>
      </c>
      <c r="F4327">
        <v>72.33</v>
      </c>
      <c r="G4327">
        <v>72.35</v>
      </c>
      <c r="H4327">
        <v>32680</v>
      </c>
      <c r="I4327">
        <v>383</v>
      </c>
      <c r="J4327">
        <v>-0.31</v>
      </c>
      <c r="K4327">
        <v>2.06</v>
      </c>
      <c r="L4327">
        <v>23564.78</v>
      </c>
      <c r="M4327" t="s">
        <v>8267</v>
      </c>
      <c r="N4327" t="s">
        <v>43</v>
      </c>
      <c r="O4327">
        <v>72.3</v>
      </c>
      <c r="P4327">
        <v>73.9</v>
      </c>
      <c r="Q4327">
        <v>70.88</v>
      </c>
      <c r="R4327">
        <v>72.7</v>
      </c>
      <c r="S4327">
        <v>63.92</v>
      </c>
      <c r="T4327">
        <v>0.54</v>
      </c>
      <c r="U4327" t="s">
        <v>204</v>
      </c>
    </row>
    <row r="4328" spans="1:21">
      <c r="A4328" t="str">
        <f>"688188"</f>
        <v>688188</v>
      </c>
      <c r="B4328" t="s">
        <v>8268</v>
      </c>
      <c r="C4328">
        <v>-0.03</v>
      </c>
      <c r="D4328">
        <v>387</v>
      </c>
      <c r="E4328">
        <v>-0.1</v>
      </c>
      <c r="F4328">
        <v>387</v>
      </c>
      <c r="G4328">
        <v>387.09</v>
      </c>
      <c r="H4328">
        <v>5071</v>
      </c>
      <c r="I4328">
        <v>80</v>
      </c>
      <c r="J4328">
        <v>-0.13</v>
      </c>
      <c r="K4328">
        <v>1.89</v>
      </c>
      <c r="L4328">
        <v>19620.83</v>
      </c>
      <c r="M4328" t="s">
        <v>8269</v>
      </c>
      <c r="N4328" t="s">
        <v>30</v>
      </c>
      <c r="O4328">
        <v>387</v>
      </c>
      <c r="P4328">
        <v>391.77</v>
      </c>
      <c r="Q4328">
        <v>383.14</v>
      </c>
      <c r="R4328">
        <v>387.1</v>
      </c>
      <c r="S4328">
        <v>63.06</v>
      </c>
      <c r="T4328">
        <v>0.66</v>
      </c>
      <c r="U4328" t="s">
        <v>848</v>
      </c>
    </row>
    <row r="4329" spans="1:21">
      <c r="A4329" t="str">
        <f>"688189"</f>
        <v>688189</v>
      </c>
      <c r="B4329" t="s">
        <v>8270</v>
      </c>
      <c r="C4329">
        <v>1.33</v>
      </c>
      <c r="D4329">
        <v>28.22</v>
      </c>
      <c r="E4329">
        <v>0.37</v>
      </c>
      <c r="F4329">
        <v>28.21</v>
      </c>
      <c r="G4329">
        <v>28.22</v>
      </c>
      <c r="H4329">
        <v>6307</v>
      </c>
      <c r="I4329">
        <v>47</v>
      </c>
      <c r="J4329">
        <v>-0.27</v>
      </c>
      <c r="K4329">
        <v>0.64</v>
      </c>
      <c r="L4329">
        <v>1757.78</v>
      </c>
      <c r="M4329" t="s">
        <v>8271</v>
      </c>
      <c r="N4329" t="s">
        <v>192</v>
      </c>
      <c r="O4329">
        <v>27.78</v>
      </c>
      <c r="P4329">
        <v>28.47</v>
      </c>
      <c r="Q4329">
        <v>27.33</v>
      </c>
      <c r="R4329">
        <v>27.85</v>
      </c>
      <c r="S4329">
        <v>60.29</v>
      </c>
      <c r="T4329">
        <v>0.85</v>
      </c>
      <c r="U4329" t="s">
        <v>204</v>
      </c>
    </row>
    <row r="4330" spans="1:21">
      <c r="A4330" t="str">
        <f>"688191"</f>
        <v>688191</v>
      </c>
      <c r="B4330" t="s">
        <v>8272</v>
      </c>
      <c r="C4330">
        <v>7.59</v>
      </c>
      <c r="D4330">
        <v>27.35</v>
      </c>
      <c r="E4330">
        <v>1.93</v>
      </c>
      <c r="F4330">
        <v>27.33</v>
      </c>
      <c r="G4330">
        <v>27.35</v>
      </c>
      <c r="H4330">
        <v>29978</v>
      </c>
      <c r="I4330">
        <v>648</v>
      </c>
      <c r="J4330">
        <v>0.18</v>
      </c>
      <c r="K4330">
        <v>8.23</v>
      </c>
      <c r="L4330">
        <v>8067.25</v>
      </c>
      <c r="M4330" t="s">
        <v>6296</v>
      </c>
      <c r="N4330" t="s">
        <v>30</v>
      </c>
      <c r="O4330">
        <v>25.78</v>
      </c>
      <c r="P4330">
        <v>27.74</v>
      </c>
      <c r="Q4330">
        <v>25.49</v>
      </c>
      <c r="R4330">
        <v>25.42</v>
      </c>
      <c r="S4330">
        <v>61.6</v>
      </c>
      <c r="T4330">
        <v>0.83</v>
      </c>
      <c r="U4330" t="s">
        <v>221</v>
      </c>
    </row>
    <row r="4331" spans="1:21">
      <c r="A4331" t="str">
        <f>"688195"</f>
        <v>688195</v>
      </c>
      <c r="B4331" t="s">
        <v>8273</v>
      </c>
      <c r="C4331">
        <v>5.74</v>
      </c>
      <c r="D4331">
        <v>33.92</v>
      </c>
      <c r="E4331">
        <v>1.84</v>
      </c>
      <c r="F4331">
        <v>33.92</v>
      </c>
      <c r="G4331">
        <v>33.95</v>
      </c>
      <c r="H4331">
        <v>75238</v>
      </c>
      <c r="I4331">
        <v>2422</v>
      </c>
      <c r="J4331">
        <v>2.02</v>
      </c>
      <c r="K4331">
        <v>23.41</v>
      </c>
      <c r="L4331">
        <v>24269.25</v>
      </c>
      <c r="M4331" t="s">
        <v>6073</v>
      </c>
      <c r="N4331" t="s">
        <v>69</v>
      </c>
      <c r="O4331">
        <v>31.86</v>
      </c>
      <c r="P4331">
        <v>33.96</v>
      </c>
      <c r="Q4331">
        <v>30.91</v>
      </c>
      <c r="R4331">
        <v>32.08</v>
      </c>
      <c r="S4331">
        <v>84.78</v>
      </c>
      <c r="T4331">
        <v>1.13</v>
      </c>
      <c r="U4331" t="s">
        <v>339</v>
      </c>
    </row>
    <row r="4332" spans="1:21">
      <c r="A4332" t="str">
        <f>"688196"</f>
        <v>688196</v>
      </c>
      <c r="B4332" t="s">
        <v>8274</v>
      </c>
      <c r="C4332">
        <v>3.68</v>
      </c>
      <c r="D4332">
        <v>58.1</v>
      </c>
      <c r="E4332">
        <v>2.06</v>
      </c>
      <c r="F4332">
        <v>58.1</v>
      </c>
      <c r="G4332">
        <v>58.13</v>
      </c>
      <c r="H4332">
        <v>8793</v>
      </c>
      <c r="I4332">
        <v>51</v>
      </c>
      <c r="J4332">
        <v>0</v>
      </c>
      <c r="K4332">
        <v>2.9</v>
      </c>
      <c r="L4332">
        <v>5061.28</v>
      </c>
      <c r="M4332" t="s">
        <v>8275</v>
      </c>
      <c r="N4332" t="s">
        <v>33</v>
      </c>
      <c r="O4332">
        <v>56.28</v>
      </c>
      <c r="P4332">
        <v>58.76</v>
      </c>
      <c r="Q4332">
        <v>56.04</v>
      </c>
      <c r="R4332">
        <v>56.04</v>
      </c>
      <c r="S4332">
        <v>26.13</v>
      </c>
      <c r="T4332">
        <v>1.31</v>
      </c>
      <c r="U4332" t="s">
        <v>339</v>
      </c>
    </row>
    <row r="4333" spans="1:21">
      <c r="A4333" t="str">
        <f>"688198"</f>
        <v>688198</v>
      </c>
      <c r="B4333" t="s">
        <v>8276</v>
      </c>
      <c r="C4333">
        <v>5.46</v>
      </c>
      <c r="D4333">
        <v>272.02</v>
      </c>
      <c r="E4333">
        <v>14.09</v>
      </c>
      <c r="F4333">
        <v>272</v>
      </c>
      <c r="G4333">
        <v>272.02</v>
      </c>
      <c r="H4333">
        <v>2998</v>
      </c>
      <c r="I4333">
        <v>2</v>
      </c>
      <c r="J4333">
        <v>-0.24</v>
      </c>
      <c r="K4333">
        <v>1.29</v>
      </c>
      <c r="L4333">
        <v>8139.18</v>
      </c>
      <c r="M4333" t="s">
        <v>8277</v>
      </c>
      <c r="N4333" t="s">
        <v>186</v>
      </c>
      <c r="O4333">
        <v>260.63</v>
      </c>
      <c r="P4333">
        <v>276.01</v>
      </c>
      <c r="Q4333">
        <v>260.63</v>
      </c>
      <c r="R4333">
        <v>257.93</v>
      </c>
      <c r="S4333">
        <v>486.68</v>
      </c>
      <c r="T4333">
        <v>1.04</v>
      </c>
      <c r="U4333" t="s">
        <v>44</v>
      </c>
    </row>
    <row r="4334" spans="1:21">
      <c r="A4334" t="str">
        <f>"688199"</f>
        <v>688199</v>
      </c>
      <c r="B4334" t="s">
        <v>8278</v>
      </c>
      <c r="C4334">
        <v>0.69</v>
      </c>
      <c r="D4334">
        <v>43.98</v>
      </c>
      <c r="E4334">
        <v>0.3</v>
      </c>
      <c r="F4334">
        <v>43.98</v>
      </c>
      <c r="G4334">
        <v>43.99</v>
      </c>
      <c r="H4334">
        <v>12331</v>
      </c>
      <c r="I4334">
        <v>125</v>
      </c>
      <c r="J4334">
        <v>0.02</v>
      </c>
      <c r="K4334">
        <v>1.42</v>
      </c>
      <c r="L4334">
        <v>5433.46</v>
      </c>
      <c r="M4334" t="s">
        <v>8279</v>
      </c>
      <c r="N4334" t="s">
        <v>309</v>
      </c>
      <c r="O4334">
        <v>43.42</v>
      </c>
      <c r="P4334">
        <v>44.6</v>
      </c>
      <c r="Q4334">
        <v>43.42</v>
      </c>
      <c r="R4334">
        <v>43.68</v>
      </c>
      <c r="S4334">
        <v>33.92</v>
      </c>
      <c r="T4334">
        <v>0.79</v>
      </c>
      <c r="U4334" t="s">
        <v>360</v>
      </c>
    </row>
    <row r="4335" spans="1:21">
      <c r="A4335" t="str">
        <f>"688200"</f>
        <v>688200</v>
      </c>
      <c r="B4335" t="s">
        <v>8280</v>
      </c>
      <c r="C4335">
        <v>1.18</v>
      </c>
      <c r="D4335">
        <v>579.44</v>
      </c>
      <c r="E4335">
        <v>6.73</v>
      </c>
      <c r="F4335">
        <v>579.12</v>
      </c>
      <c r="G4335">
        <v>579.44</v>
      </c>
      <c r="H4335">
        <v>4008</v>
      </c>
      <c r="I4335">
        <v>19</v>
      </c>
      <c r="J4335">
        <v>0.16</v>
      </c>
      <c r="K4335">
        <v>1.11</v>
      </c>
      <c r="L4335">
        <v>23316.75</v>
      </c>
      <c r="M4335" t="s">
        <v>5155</v>
      </c>
      <c r="N4335" t="s">
        <v>324</v>
      </c>
      <c r="O4335">
        <v>570.4</v>
      </c>
      <c r="P4335">
        <v>589.68</v>
      </c>
      <c r="Q4335">
        <v>570.4</v>
      </c>
      <c r="R4335">
        <v>572.71</v>
      </c>
      <c r="S4335">
        <v>85.65</v>
      </c>
      <c r="T4335">
        <v>0.7</v>
      </c>
      <c r="U4335" t="s">
        <v>44</v>
      </c>
    </row>
    <row r="4336" spans="1:21">
      <c r="A4336" t="str">
        <f>"688201"</f>
        <v>688201</v>
      </c>
      <c r="B4336" t="s">
        <v>8281</v>
      </c>
      <c r="C4336">
        <v>3.82</v>
      </c>
      <c r="D4336">
        <v>54.68</v>
      </c>
      <c r="E4336">
        <v>2.01</v>
      </c>
      <c r="F4336">
        <v>54.68</v>
      </c>
      <c r="G4336">
        <v>54.7</v>
      </c>
      <c r="H4336">
        <v>9655</v>
      </c>
      <c r="I4336">
        <v>11</v>
      </c>
      <c r="J4336">
        <v>0.07</v>
      </c>
      <c r="K4336">
        <v>4.88</v>
      </c>
      <c r="L4336">
        <v>5263.31</v>
      </c>
      <c r="M4336" t="s">
        <v>8282</v>
      </c>
      <c r="N4336" t="s">
        <v>153</v>
      </c>
      <c r="O4336">
        <v>52.34</v>
      </c>
      <c r="P4336">
        <v>55.92</v>
      </c>
      <c r="Q4336">
        <v>52.34</v>
      </c>
      <c r="R4336">
        <v>52.67</v>
      </c>
      <c r="S4336">
        <v>77.11</v>
      </c>
      <c r="T4336">
        <v>0.72</v>
      </c>
      <c r="U4336" t="s">
        <v>44</v>
      </c>
    </row>
    <row r="4337" spans="1:21">
      <c r="A4337" t="str">
        <f>"688202"</f>
        <v>688202</v>
      </c>
      <c r="B4337" t="s">
        <v>8283</v>
      </c>
      <c r="C4337">
        <v>-1.38</v>
      </c>
      <c r="D4337">
        <v>607.99</v>
      </c>
      <c r="E4337">
        <v>-8.51</v>
      </c>
      <c r="F4337">
        <v>607</v>
      </c>
      <c r="G4337">
        <v>607.99</v>
      </c>
      <c r="H4337">
        <v>3458</v>
      </c>
      <c r="I4337">
        <v>24</v>
      </c>
      <c r="J4337">
        <v>0.24</v>
      </c>
      <c r="K4337">
        <v>1.28</v>
      </c>
      <c r="L4337">
        <v>21197.22</v>
      </c>
      <c r="M4337" t="s">
        <v>8284</v>
      </c>
      <c r="N4337" t="s">
        <v>186</v>
      </c>
      <c r="O4337">
        <v>617.19</v>
      </c>
      <c r="P4337">
        <v>630</v>
      </c>
      <c r="Q4337">
        <v>603.31</v>
      </c>
      <c r="R4337">
        <v>616.5</v>
      </c>
      <c r="S4337">
        <v>156.24</v>
      </c>
      <c r="T4337">
        <v>0.72</v>
      </c>
      <c r="U4337" t="s">
        <v>848</v>
      </c>
    </row>
    <row r="4338" spans="1:21">
      <c r="A4338" t="str">
        <f>"688208"</f>
        <v>688208</v>
      </c>
      <c r="B4338" t="s">
        <v>8285</v>
      </c>
      <c r="C4338">
        <v>2.99</v>
      </c>
      <c r="D4338">
        <v>70.87</v>
      </c>
      <c r="E4338">
        <v>2.06</v>
      </c>
      <c r="F4338">
        <v>70.82</v>
      </c>
      <c r="G4338">
        <v>70.87</v>
      </c>
      <c r="H4338">
        <v>20684</v>
      </c>
      <c r="I4338">
        <v>490</v>
      </c>
      <c r="J4338">
        <v>0.51</v>
      </c>
      <c r="K4338">
        <v>0.76</v>
      </c>
      <c r="L4338">
        <v>14601.74</v>
      </c>
      <c r="M4338" t="s">
        <v>8286</v>
      </c>
      <c r="N4338" t="s">
        <v>91</v>
      </c>
      <c r="O4338">
        <v>68.81</v>
      </c>
      <c r="P4338">
        <v>72.6</v>
      </c>
      <c r="Q4338">
        <v>68.61</v>
      </c>
      <c r="R4338">
        <v>68.81</v>
      </c>
      <c r="S4338">
        <v>69.88</v>
      </c>
      <c r="T4338">
        <v>0.84</v>
      </c>
      <c r="U4338" t="s">
        <v>24</v>
      </c>
    </row>
    <row r="4339" spans="1:21">
      <c r="A4339" t="str">
        <f>"688211"</f>
        <v>688211</v>
      </c>
      <c r="B4339" t="s">
        <v>8287</v>
      </c>
      <c r="C4339">
        <v>-1.63</v>
      </c>
      <c r="D4339">
        <v>78.7</v>
      </c>
      <c r="E4339">
        <v>-1.3</v>
      </c>
      <c r="F4339">
        <v>78.7</v>
      </c>
      <c r="G4339">
        <v>78.74</v>
      </c>
      <c r="H4339">
        <v>20781</v>
      </c>
      <c r="I4339">
        <v>343</v>
      </c>
      <c r="J4339">
        <v>-0.09</v>
      </c>
      <c r="K4339">
        <v>6.79</v>
      </c>
      <c r="L4339">
        <v>16314.62</v>
      </c>
      <c r="M4339" t="s">
        <v>8288</v>
      </c>
      <c r="N4339" t="s">
        <v>324</v>
      </c>
      <c r="O4339">
        <v>80.1</v>
      </c>
      <c r="P4339">
        <v>80.98</v>
      </c>
      <c r="Q4339">
        <v>77.81</v>
      </c>
      <c r="R4339">
        <v>80</v>
      </c>
      <c r="S4339">
        <v>75.8</v>
      </c>
      <c r="T4339">
        <v>0.95</v>
      </c>
      <c r="U4339" t="s">
        <v>102</v>
      </c>
    </row>
    <row r="4340" spans="1:21">
      <c r="A4340" t="str">
        <f>"688212"</f>
        <v>688212</v>
      </c>
      <c r="B4340" t="s">
        <v>8289</v>
      </c>
      <c r="C4340">
        <v>5.52</v>
      </c>
      <c r="D4340">
        <v>37.08</v>
      </c>
      <c r="E4340">
        <v>1.94</v>
      </c>
      <c r="F4340">
        <v>37.07</v>
      </c>
      <c r="G4340">
        <v>37.08</v>
      </c>
      <c r="H4340">
        <v>105452</v>
      </c>
      <c r="I4340">
        <v>1256</v>
      </c>
      <c r="J4340">
        <v>-0.12</v>
      </c>
      <c r="K4340">
        <v>38.34</v>
      </c>
      <c r="L4340">
        <v>38926.52</v>
      </c>
      <c r="M4340" t="s">
        <v>8290</v>
      </c>
      <c r="N4340" t="s">
        <v>186</v>
      </c>
      <c r="O4340">
        <v>35.09</v>
      </c>
      <c r="P4340">
        <v>38.6</v>
      </c>
      <c r="Q4340">
        <v>34.55</v>
      </c>
      <c r="R4340">
        <v>35.14</v>
      </c>
      <c r="S4340">
        <v>178.7</v>
      </c>
      <c r="T4340">
        <v>0.75</v>
      </c>
      <c r="U4340" t="s">
        <v>848</v>
      </c>
    </row>
    <row r="4341" spans="1:21">
      <c r="A4341" t="str">
        <f>"688215"</f>
        <v>688215</v>
      </c>
      <c r="B4341" t="s">
        <v>8291</v>
      </c>
      <c r="C4341">
        <v>2.38</v>
      </c>
      <c r="D4341">
        <v>34.9</v>
      </c>
      <c r="E4341">
        <v>0.81</v>
      </c>
      <c r="F4341">
        <v>34.89</v>
      </c>
      <c r="G4341">
        <v>34.9</v>
      </c>
      <c r="H4341">
        <v>2379</v>
      </c>
      <c r="I4341">
        <v>51</v>
      </c>
      <c r="J4341">
        <v>-0.1</v>
      </c>
      <c r="K4341">
        <v>1.54</v>
      </c>
      <c r="L4341">
        <v>824.75</v>
      </c>
      <c r="M4341" t="s">
        <v>8292</v>
      </c>
      <c r="N4341" t="s">
        <v>324</v>
      </c>
      <c r="O4341">
        <v>34.24</v>
      </c>
      <c r="P4341">
        <v>35.02</v>
      </c>
      <c r="Q4341">
        <v>34.19</v>
      </c>
      <c r="R4341">
        <v>34.09</v>
      </c>
      <c r="S4341">
        <v>127.09</v>
      </c>
      <c r="T4341">
        <v>1.1</v>
      </c>
      <c r="U4341" t="s">
        <v>200</v>
      </c>
    </row>
    <row r="4342" spans="1:21">
      <c r="A4342" t="str">
        <f>"688216"</f>
        <v>688216</v>
      </c>
      <c r="B4342" t="s">
        <v>8293</v>
      </c>
      <c r="C4342">
        <v>2.81</v>
      </c>
      <c r="D4342">
        <v>55.65</v>
      </c>
      <c r="E4342">
        <v>1.52</v>
      </c>
      <c r="F4342">
        <v>55.65</v>
      </c>
      <c r="G4342">
        <v>55.66</v>
      </c>
      <c r="H4342">
        <v>11879</v>
      </c>
      <c r="I4342">
        <v>422</v>
      </c>
      <c r="J4342">
        <v>0.2</v>
      </c>
      <c r="K4342">
        <v>5.49</v>
      </c>
      <c r="L4342">
        <v>6544.81</v>
      </c>
      <c r="M4342" t="s">
        <v>8294</v>
      </c>
      <c r="N4342" t="s">
        <v>1246</v>
      </c>
      <c r="O4342">
        <v>54.15</v>
      </c>
      <c r="P4342">
        <v>55.65</v>
      </c>
      <c r="Q4342">
        <v>54.15</v>
      </c>
      <c r="R4342">
        <v>54.13</v>
      </c>
      <c r="S4342">
        <v>40.58</v>
      </c>
      <c r="T4342">
        <v>1.03</v>
      </c>
      <c r="U4342" t="s">
        <v>24</v>
      </c>
    </row>
    <row r="4343" spans="1:21">
      <c r="A4343" t="str">
        <f>"688217"</f>
        <v>688217</v>
      </c>
      <c r="B4343" t="s">
        <v>8295</v>
      </c>
      <c r="C4343">
        <v>-0.5</v>
      </c>
      <c r="D4343">
        <v>59.71</v>
      </c>
      <c r="E4343">
        <v>-0.3</v>
      </c>
      <c r="F4343">
        <v>59.71</v>
      </c>
      <c r="G4343">
        <v>59.79</v>
      </c>
      <c r="H4343">
        <v>3491</v>
      </c>
      <c r="I4343">
        <v>42</v>
      </c>
      <c r="J4343">
        <v>-0.01</v>
      </c>
      <c r="K4343">
        <v>2.94</v>
      </c>
      <c r="L4343">
        <v>2084.67</v>
      </c>
      <c r="M4343" t="s">
        <v>2537</v>
      </c>
      <c r="N4343" t="s">
        <v>231</v>
      </c>
      <c r="O4343">
        <v>60.8</v>
      </c>
      <c r="P4343">
        <v>60.8</v>
      </c>
      <c r="Q4343">
        <v>58.83</v>
      </c>
      <c r="R4343">
        <v>60.01</v>
      </c>
      <c r="S4343">
        <v>58.24</v>
      </c>
      <c r="T4343">
        <v>0.63</v>
      </c>
      <c r="U4343" t="s">
        <v>848</v>
      </c>
    </row>
    <row r="4344" spans="1:21">
      <c r="A4344" t="str">
        <f>"688218"</f>
        <v>688218</v>
      </c>
      <c r="B4344" t="s">
        <v>8296</v>
      </c>
      <c r="C4344">
        <v>1.93</v>
      </c>
      <c r="D4344">
        <v>15.35</v>
      </c>
      <c r="E4344">
        <v>0.29</v>
      </c>
      <c r="F4344">
        <v>15.35</v>
      </c>
      <c r="G4344">
        <v>15.38</v>
      </c>
      <c r="H4344">
        <v>9387</v>
      </c>
      <c r="I4344">
        <v>172</v>
      </c>
      <c r="J4344">
        <v>-0.12</v>
      </c>
      <c r="K4344">
        <v>1.07</v>
      </c>
      <c r="L4344">
        <v>1442.91</v>
      </c>
      <c r="M4344" t="s">
        <v>8297</v>
      </c>
      <c r="N4344" t="s">
        <v>324</v>
      </c>
      <c r="O4344">
        <v>15.3</v>
      </c>
      <c r="P4344">
        <v>15.52</v>
      </c>
      <c r="Q4344">
        <v>15.05</v>
      </c>
      <c r="R4344">
        <v>15.06</v>
      </c>
      <c r="S4344">
        <v>92.86</v>
      </c>
      <c r="T4344">
        <v>0.93</v>
      </c>
      <c r="U4344" t="s">
        <v>102</v>
      </c>
    </row>
    <row r="4345" spans="1:21">
      <c r="A4345" t="str">
        <f>"688219"</f>
        <v>688219</v>
      </c>
      <c r="B4345" t="s">
        <v>8298</v>
      </c>
      <c r="C4345">
        <v>5.28</v>
      </c>
      <c r="D4345">
        <v>12.75</v>
      </c>
      <c r="E4345">
        <v>0.64</v>
      </c>
      <c r="F4345">
        <v>12.73</v>
      </c>
      <c r="G4345">
        <v>12.75</v>
      </c>
      <c r="H4345">
        <v>45751</v>
      </c>
      <c r="I4345">
        <v>785</v>
      </c>
      <c r="J4345">
        <v>-0.07</v>
      </c>
      <c r="K4345">
        <v>2.18</v>
      </c>
      <c r="L4345">
        <v>5796.64</v>
      </c>
      <c r="M4345" t="s">
        <v>8299</v>
      </c>
      <c r="N4345" t="s">
        <v>839</v>
      </c>
      <c r="O4345">
        <v>12.18</v>
      </c>
      <c r="P4345">
        <v>13.04</v>
      </c>
      <c r="Q4345">
        <v>12.13</v>
      </c>
      <c r="R4345">
        <v>12.11</v>
      </c>
      <c r="S4345">
        <v>102.89</v>
      </c>
      <c r="T4345">
        <v>2.27</v>
      </c>
      <c r="U4345" t="s">
        <v>193</v>
      </c>
    </row>
    <row r="4346" spans="1:21">
      <c r="A4346" t="str">
        <f>"688221"</f>
        <v>688221</v>
      </c>
      <c r="B4346" t="s">
        <v>8300</v>
      </c>
      <c r="C4346">
        <v>1.29</v>
      </c>
      <c r="D4346">
        <v>15.72</v>
      </c>
      <c r="E4346">
        <v>0.2</v>
      </c>
      <c r="F4346">
        <v>15.71</v>
      </c>
      <c r="G4346">
        <v>15.72</v>
      </c>
      <c r="H4346">
        <v>12889</v>
      </c>
      <c r="I4346">
        <v>118</v>
      </c>
      <c r="J4346">
        <v>0.13</v>
      </c>
      <c r="K4346">
        <v>0.69</v>
      </c>
      <c r="L4346">
        <v>2022.68</v>
      </c>
      <c r="M4346" t="s">
        <v>8301</v>
      </c>
      <c r="N4346" t="s">
        <v>231</v>
      </c>
      <c r="O4346">
        <v>15.56</v>
      </c>
      <c r="P4346">
        <v>15.81</v>
      </c>
      <c r="Q4346">
        <v>15.54</v>
      </c>
      <c r="R4346">
        <v>15.52</v>
      </c>
      <c r="S4346" t="s">
        <v>40</v>
      </c>
      <c r="T4346">
        <v>0.52</v>
      </c>
      <c r="U4346" t="s">
        <v>102</v>
      </c>
    </row>
    <row r="4347" spans="1:21">
      <c r="A4347" t="str">
        <f>"688222"</f>
        <v>688222</v>
      </c>
      <c r="B4347" t="s">
        <v>8302</v>
      </c>
      <c r="C4347">
        <v>0.44</v>
      </c>
      <c r="D4347">
        <v>22.82</v>
      </c>
      <c r="E4347">
        <v>0.1</v>
      </c>
      <c r="F4347">
        <v>22.81</v>
      </c>
      <c r="G4347">
        <v>22.82</v>
      </c>
      <c r="H4347">
        <v>14577</v>
      </c>
      <c r="I4347">
        <v>317</v>
      </c>
      <c r="J4347">
        <v>0</v>
      </c>
      <c r="K4347">
        <v>0.52</v>
      </c>
      <c r="L4347">
        <v>3316.92</v>
      </c>
      <c r="M4347" t="s">
        <v>8303</v>
      </c>
      <c r="N4347" t="s">
        <v>192</v>
      </c>
      <c r="O4347">
        <v>22.74</v>
      </c>
      <c r="P4347">
        <v>22.95</v>
      </c>
      <c r="Q4347">
        <v>22.49</v>
      </c>
      <c r="R4347">
        <v>22.72</v>
      </c>
      <c r="S4347">
        <v>230.96</v>
      </c>
      <c r="T4347">
        <v>0.55</v>
      </c>
      <c r="U4347" t="s">
        <v>196</v>
      </c>
    </row>
    <row r="4348" spans="1:21">
      <c r="A4348" t="str">
        <f>"688226"</f>
        <v>688226</v>
      </c>
      <c r="B4348" t="s">
        <v>8304</v>
      </c>
      <c r="C4348">
        <v>1.06</v>
      </c>
      <c r="D4348">
        <v>16.23</v>
      </c>
      <c r="E4348">
        <v>0.17</v>
      </c>
      <c r="F4348">
        <v>16.23</v>
      </c>
      <c r="G4348">
        <v>16.26</v>
      </c>
      <c r="H4348">
        <v>27314</v>
      </c>
      <c r="I4348">
        <v>368</v>
      </c>
      <c r="J4348">
        <v>-0.17</v>
      </c>
      <c r="K4348">
        <v>8.6</v>
      </c>
      <c r="L4348">
        <v>4419.64</v>
      </c>
      <c r="M4348" t="s">
        <v>3502</v>
      </c>
      <c r="N4348" t="s">
        <v>47</v>
      </c>
      <c r="O4348">
        <v>16.05</v>
      </c>
      <c r="P4348">
        <v>16.47</v>
      </c>
      <c r="Q4348">
        <v>15.7</v>
      </c>
      <c r="R4348">
        <v>16.06</v>
      </c>
      <c r="S4348">
        <v>42.59</v>
      </c>
      <c r="T4348">
        <v>0.9</v>
      </c>
      <c r="U4348" t="s">
        <v>102</v>
      </c>
    </row>
    <row r="4349" spans="1:21">
      <c r="A4349" t="str">
        <f>"688228"</f>
        <v>688228</v>
      </c>
      <c r="B4349" t="s">
        <v>8305</v>
      </c>
      <c r="C4349">
        <v>0.19</v>
      </c>
      <c r="D4349">
        <v>36.03</v>
      </c>
      <c r="E4349">
        <v>0.07</v>
      </c>
      <c r="F4349">
        <v>36.03</v>
      </c>
      <c r="G4349">
        <v>36.09</v>
      </c>
      <c r="H4349">
        <v>5618</v>
      </c>
      <c r="I4349">
        <v>74</v>
      </c>
      <c r="J4349">
        <v>0</v>
      </c>
      <c r="K4349">
        <v>1.94</v>
      </c>
      <c r="L4349">
        <v>2027.53</v>
      </c>
      <c r="M4349" t="s">
        <v>4864</v>
      </c>
      <c r="N4349" t="s">
        <v>479</v>
      </c>
      <c r="O4349">
        <v>36</v>
      </c>
      <c r="P4349">
        <v>36.5</v>
      </c>
      <c r="Q4349">
        <v>35.55</v>
      </c>
      <c r="R4349">
        <v>35.96</v>
      </c>
      <c r="S4349">
        <v>149.96</v>
      </c>
      <c r="T4349">
        <v>1.11</v>
      </c>
      <c r="U4349" t="s">
        <v>183</v>
      </c>
    </row>
    <row r="4350" spans="1:21">
      <c r="A4350" t="str">
        <f>"688229"</f>
        <v>688229</v>
      </c>
      <c r="B4350" t="s">
        <v>8306</v>
      </c>
      <c r="C4350">
        <v>2.35</v>
      </c>
      <c r="D4350">
        <v>54.45</v>
      </c>
      <c r="E4350">
        <v>1.25</v>
      </c>
      <c r="F4350">
        <v>54.43</v>
      </c>
      <c r="G4350">
        <v>54.45</v>
      </c>
      <c r="H4350">
        <v>2198</v>
      </c>
      <c r="I4350">
        <v>9</v>
      </c>
      <c r="J4350">
        <v>0.15</v>
      </c>
      <c r="K4350">
        <v>1.07</v>
      </c>
      <c r="L4350">
        <v>1190.83</v>
      </c>
      <c r="M4350" t="s">
        <v>8307</v>
      </c>
      <c r="N4350" t="s">
        <v>30</v>
      </c>
      <c r="O4350">
        <v>52.63</v>
      </c>
      <c r="P4350">
        <v>55.2</v>
      </c>
      <c r="Q4350">
        <v>52.27</v>
      </c>
      <c r="R4350">
        <v>53.2</v>
      </c>
      <c r="S4350" t="s">
        <v>40</v>
      </c>
      <c r="T4350">
        <v>1.14</v>
      </c>
      <c r="U4350" t="s">
        <v>44</v>
      </c>
    </row>
    <row r="4351" spans="1:21">
      <c r="A4351" t="str">
        <f>"688232"</f>
        <v>688232</v>
      </c>
      <c r="B4351" t="s">
        <v>8308</v>
      </c>
      <c r="C4351">
        <v>-2.55</v>
      </c>
      <c r="D4351">
        <v>47.39</v>
      </c>
      <c r="E4351">
        <v>-1.24</v>
      </c>
      <c r="F4351">
        <v>47.39</v>
      </c>
      <c r="G4351">
        <v>47.4</v>
      </c>
      <c r="H4351">
        <v>148768</v>
      </c>
      <c r="I4351">
        <v>1333</v>
      </c>
      <c r="J4351">
        <v>0</v>
      </c>
      <c r="K4351">
        <v>22.15</v>
      </c>
      <c r="L4351">
        <v>71133.15</v>
      </c>
      <c r="M4351" t="s">
        <v>8309</v>
      </c>
      <c r="N4351" t="s">
        <v>30</v>
      </c>
      <c r="O4351">
        <v>46.49</v>
      </c>
      <c r="P4351">
        <v>49.98</v>
      </c>
      <c r="Q4351">
        <v>45.88</v>
      </c>
      <c r="R4351">
        <v>48.63</v>
      </c>
      <c r="S4351">
        <v>126.29</v>
      </c>
      <c r="T4351">
        <v>0.48</v>
      </c>
      <c r="U4351" t="s">
        <v>102</v>
      </c>
    </row>
    <row r="4352" spans="1:21">
      <c r="A4352" t="str">
        <f>"688233"</f>
        <v>688233</v>
      </c>
      <c r="B4352" t="s">
        <v>8310</v>
      </c>
      <c r="C4352">
        <v>-0.35</v>
      </c>
      <c r="D4352">
        <v>78.6</v>
      </c>
      <c r="E4352">
        <v>-0.28</v>
      </c>
      <c r="F4352">
        <v>78.6</v>
      </c>
      <c r="G4352">
        <v>78.66</v>
      </c>
      <c r="H4352">
        <v>31453</v>
      </c>
      <c r="I4352">
        <v>748</v>
      </c>
      <c r="J4352">
        <v>-0.09</v>
      </c>
      <c r="K4352">
        <v>3.86</v>
      </c>
      <c r="L4352">
        <v>24874.73</v>
      </c>
      <c r="M4352" t="s">
        <v>8311</v>
      </c>
      <c r="N4352" t="s">
        <v>309</v>
      </c>
      <c r="O4352">
        <v>78.21</v>
      </c>
      <c r="P4352">
        <v>80.74</v>
      </c>
      <c r="Q4352">
        <v>78.19</v>
      </c>
      <c r="R4352">
        <v>78.88</v>
      </c>
      <c r="S4352">
        <v>55.84</v>
      </c>
      <c r="T4352">
        <v>0.63</v>
      </c>
      <c r="U4352" t="s">
        <v>141</v>
      </c>
    </row>
    <row r="4353" spans="1:21">
      <c r="A4353" t="str">
        <f>"688239"</f>
        <v>688239</v>
      </c>
      <c r="B4353" t="s">
        <v>8312</v>
      </c>
      <c r="C4353">
        <v>-1.73</v>
      </c>
      <c r="D4353">
        <v>66.06</v>
      </c>
      <c r="E4353">
        <v>-1.16</v>
      </c>
      <c r="F4353">
        <v>66.05</v>
      </c>
      <c r="G4353">
        <v>66.06</v>
      </c>
      <c r="H4353">
        <v>21718</v>
      </c>
      <c r="I4353">
        <v>378</v>
      </c>
      <c r="J4353">
        <v>0.05</v>
      </c>
      <c r="K4353">
        <v>7.63</v>
      </c>
      <c r="L4353">
        <v>14652.74</v>
      </c>
      <c r="M4353" t="s">
        <v>8313</v>
      </c>
      <c r="N4353" t="s">
        <v>611</v>
      </c>
      <c r="O4353">
        <v>66.37</v>
      </c>
      <c r="P4353">
        <v>69.9</v>
      </c>
      <c r="Q4353">
        <v>65.71</v>
      </c>
      <c r="R4353">
        <v>67.22</v>
      </c>
      <c r="S4353">
        <v>76.3</v>
      </c>
      <c r="T4353">
        <v>0.79</v>
      </c>
      <c r="U4353" t="s">
        <v>368</v>
      </c>
    </row>
    <row r="4354" spans="1:21">
      <c r="A4354" t="str">
        <f>"688255"</f>
        <v>688255</v>
      </c>
      <c r="B4354" t="s">
        <v>8314</v>
      </c>
      <c r="C4354">
        <v>1.57</v>
      </c>
      <c r="D4354">
        <v>41.98</v>
      </c>
      <c r="E4354">
        <v>0.65</v>
      </c>
      <c r="F4354">
        <v>41.96</v>
      </c>
      <c r="G4354">
        <v>41.98</v>
      </c>
      <c r="H4354">
        <v>9940</v>
      </c>
      <c r="I4354">
        <v>73</v>
      </c>
      <c r="J4354">
        <v>-0.16</v>
      </c>
      <c r="K4354">
        <v>5.94</v>
      </c>
      <c r="L4354">
        <v>4160.3</v>
      </c>
      <c r="M4354" t="s">
        <v>1364</v>
      </c>
      <c r="N4354" t="s">
        <v>347</v>
      </c>
      <c r="O4354">
        <v>41.6</v>
      </c>
      <c r="P4354">
        <v>42.15</v>
      </c>
      <c r="Q4354">
        <v>41.31</v>
      </c>
      <c r="R4354">
        <v>41.33</v>
      </c>
      <c r="S4354">
        <v>53.2</v>
      </c>
      <c r="T4354">
        <v>0.52</v>
      </c>
      <c r="U4354" t="s">
        <v>200</v>
      </c>
    </row>
    <row r="4355" spans="1:21">
      <c r="A4355" t="str">
        <f>"688256"</f>
        <v>688256</v>
      </c>
      <c r="B4355" t="s">
        <v>8315</v>
      </c>
      <c r="C4355">
        <v>0.66</v>
      </c>
      <c r="D4355">
        <v>83.75</v>
      </c>
      <c r="E4355">
        <v>0.55</v>
      </c>
      <c r="F4355">
        <v>83.75</v>
      </c>
      <c r="G4355">
        <v>83.76</v>
      </c>
      <c r="H4355">
        <v>17857</v>
      </c>
      <c r="I4355">
        <v>209</v>
      </c>
      <c r="J4355">
        <v>-0.01</v>
      </c>
      <c r="K4355">
        <v>0.74</v>
      </c>
      <c r="L4355">
        <v>14897.33</v>
      </c>
      <c r="M4355" t="s">
        <v>8316</v>
      </c>
      <c r="N4355" t="s">
        <v>69</v>
      </c>
      <c r="O4355">
        <v>83.35</v>
      </c>
      <c r="P4355">
        <v>84.74</v>
      </c>
      <c r="Q4355">
        <v>82.5</v>
      </c>
      <c r="R4355">
        <v>83.2</v>
      </c>
      <c r="S4355" t="s">
        <v>40</v>
      </c>
      <c r="T4355">
        <v>0.74</v>
      </c>
      <c r="U4355" t="s">
        <v>44</v>
      </c>
    </row>
    <row r="4356" spans="1:21">
      <c r="A4356" t="str">
        <f>"688257"</f>
        <v>688257</v>
      </c>
      <c r="B4356" t="s">
        <v>8317</v>
      </c>
      <c r="C4356">
        <v>2.89</v>
      </c>
      <c r="D4356">
        <v>60.5</v>
      </c>
      <c r="E4356">
        <v>1.7</v>
      </c>
      <c r="F4356">
        <v>60.49</v>
      </c>
      <c r="G4356">
        <v>60.5</v>
      </c>
      <c r="H4356">
        <v>13216</v>
      </c>
      <c r="I4356">
        <v>233</v>
      </c>
      <c r="J4356">
        <v>-0.48</v>
      </c>
      <c r="K4356">
        <v>6.59</v>
      </c>
      <c r="L4356">
        <v>8014.08</v>
      </c>
      <c r="M4356" t="s">
        <v>8318</v>
      </c>
      <c r="N4356" t="s">
        <v>523</v>
      </c>
      <c r="O4356">
        <v>59.59</v>
      </c>
      <c r="P4356">
        <v>61.3</v>
      </c>
      <c r="Q4356">
        <v>59.39</v>
      </c>
      <c r="R4356">
        <v>58.8</v>
      </c>
      <c r="S4356">
        <v>41.46</v>
      </c>
      <c r="T4356">
        <v>0.57</v>
      </c>
      <c r="U4356" t="s">
        <v>102</v>
      </c>
    </row>
    <row r="4357" spans="1:21">
      <c r="A4357" t="str">
        <f>"688258"</f>
        <v>688258</v>
      </c>
      <c r="B4357" t="s">
        <v>8319</v>
      </c>
      <c r="C4357">
        <v>1.34</v>
      </c>
      <c r="D4357">
        <v>37.88</v>
      </c>
      <c r="E4357">
        <v>0.5</v>
      </c>
      <c r="F4357">
        <v>37.88</v>
      </c>
      <c r="G4357">
        <v>37.89</v>
      </c>
      <c r="H4357">
        <v>5228</v>
      </c>
      <c r="I4357">
        <v>63</v>
      </c>
      <c r="J4357">
        <v>-0.02</v>
      </c>
      <c r="K4357">
        <v>1.23</v>
      </c>
      <c r="L4357">
        <v>1986.27</v>
      </c>
      <c r="M4357" t="s">
        <v>8320</v>
      </c>
      <c r="N4357" t="s">
        <v>30</v>
      </c>
      <c r="O4357">
        <v>37.59</v>
      </c>
      <c r="P4357">
        <v>38.28</v>
      </c>
      <c r="Q4357">
        <v>37.41</v>
      </c>
      <c r="R4357">
        <v>37.38</v>
      </c>
      <c r="S4357">
        <v>50.39</v>
      </c>
      <c r="T4357">
        <v>0.64</v>
      </c>
      <c r="U4357" t="s">
        <v>102</v>
      </c>
    </row>
    <row r="4358" spans="1:21">
      <c r="A4358" t="str">
        <f>"688260"</f>
        <v>688260</v>
      </c>
      <c r="B4358" t="s">
        <v>8321</v>
      </c>
      <c r="C4358">
        <v>4.38</v>
      </c>
      <c r="D4358">
        <v>18.83</v>
      </c>
      <c r="E4358">
        <v>0.79</v>
      </c>
      <c r="F4358">
        <v>18.81</v>
      </c>
      <c r="G4358">
        <v>18.83</v>
      </c>
      <c r="H4358">
        <v>23391</v>
      </c>
      <c r="I4358">
        <v>291</v>
      </c>
      <c r="J4358">
        <v>0.37</v>
      </c>
      <c r="K4358">
        <v>8.21</v>
      </c>
      <c r="L4358">
        <v>4376.92</v>
      </c>
      <c r="M4358" t="s">
        <v>8322</v>
      </c>
      <c r="N4358" t="s">
        <v>69</v>
      </c>
      <c r="O4358">
        <v>18.35</v>
      </c>
      <c r="P4358">
        <v>19.32</v>
      </c>
      <c r="Q4358">
        <v>18.15</v>
      </c>
      <c r="R4358">
        <v>18.04</v>
      </c>
      <c r="S4358" t="s">
        <v>40</v>
      </c>
      <c r="T4358">
        <v>1.22</v>
      </c>
      <c r="U4358" t="s">
        <v>102</v>
      </c>
    </row>
    <row r="4359" spans="1:21">
      <c r="A4359" t="str">
        <f>"688266"</f>
        <v>688266</v>
      </c>
      <c r="B4359" t="s">
        <v>8323</v>
      </c>
      <c r="C4359">
        <v>-1.09</v>
      </c>
      <c r="D4359">
        <v>64.41</v>
      </c>
      <c r="E4359">
        <v>-0.71</v>
      </c>
      <c r="F4359">
        <v>64.41</v>
      </c>
      <c r="G4359">
        <v>64.6</v>
      </c>
      <c r="H4359">
        <v>7865</v>
      </c>
      <c r="I4359">
        <v>77</v>
      </c>
      <c r="J4359">
        <v>0.14</v>
      </c>
      <c r="K4359">
        <v>0.59</v>
      </c>
      <c r="L4359">
        <v>5077.42</v>
      </c>
      <c r="M4359" t="s">
        <v>5789</v>
      </c>
      <c r="N4359" t="s">
        <v>192</v>
      </c>
      <c r="O4359">
        <v>65.12</v>
      </c>
      <c r="P4359">
        <v>65.42</v>
      </c>
      <c r="Q4359">
        <v>64</v>
      </c>
      <c r="R4359">
        <v>65.12</v>
      </c>
      <c r="S4359" t="s">
        <v>40</v>
      </c>
      <c r="T4359">
        <v>0.57</v>
      </c>
      <c r="U4359" t="s">
        <v>102</v>
      </c>
    </row>
    <row r="4360" spans="1:21">
      <c r="A4360" t="str">
        <f>"688268"</f>
        <v>688268</v>
      </c>
      <c r="B4360" t="s">
        <v>8324</v>
      </c>
      <c r="C4360">
        <v>1.74</v>
      </c>
      <c r="D4360">
        <v>84.78</v>
      </c>
      <c r="E4360">
        <v>1.45</v>
      </c>
      <c r="F4360">
        <v>84.7</v>
      </c>
      <c r="G4360">
        <v>84.78</v>
      </c>
      <c r="H4360">
        <v>10381</v>
      </c>
      <c r="I4360">
        <v>83</v>
      </c>
      <c r="J4360">
        <v>-0.25</v>
      </c>
      <c r="K4360">
        <v>3.08</v>
      </c>
      <c r="L4360">
        <v>8699.51</v>
      </c>
      <c r="M4360" t="s">
        <v>8325</v>
      </c>
      <c r="N4360" t="s">
        <v>309</v>
      </c>
      <c r="O4360">
        <v>84.5</v>
      </c>
      <c r="P4360">
        <v>85.97</v>
      </c>
      <c r="Q4360">
        <v>81.08</v>
      </c>
      <c r="R4360">
        <v>83.33</v>
      </c>
      <c r="S4360">
        <v>74.06</v>
      </c>
      <c r="T4360">
        <v>0.83</v>
      </c>
      <c r="U4360" t="s">
        <v>183</v>
      </c>
    </row>
    <row r="4361" spans="1:21">
      <c r="A4361" t="str">
        <f>"688269"</f>
        <v>688269</v>
      </c>
      <c r="B4361" t="s">
        <v>8326</v>
      </c>
      <c r="C4361">
        <v>5.72</v>
      </c>
      <c r="D4361">
        <v>122.48</v>
      </c>
      <c r="E4361">
        <v>6.63</v>
      </c>
      <c r="F4361">
        <v>122.45</v>
      </c>
      <c r="G4361">
        <v>122.48</v>
      </c>
      <c r="H4361">
        <v>7640</v>
      </c>
      <c r="I4361">
        <v>96</v>
      </c>
      <c r="J4361">
        <v>-0.13</v>
      </c>
      <c r="K4361">
        <v>3.41</v>
      </c>
      <c r="L4361">
        <v>9322.51</v>
      </c>
      <c r="M4361" t="s">
        <v>8327</v>
      </c>
      <c r="N4361" t="s">
        <v>309</v>
      </c>
      <c r="O4361">
        <v>115</v>
      </c>
      <c r="P4361">
        <v>125</v>
      </c>
      <c r="Q4361">
        <v>115</v>
      </c>
      <c r="R4361">
        <v>115.85</v>
      </c>
      <c r="S4361">
        <v>67.96</v>
      </c>
      <c r="T4361">
        <v>1.1</v>
      </c>
      <c r="U4361" t="s">
        <v>317</v>
      </c>
    </row>
    <row r="4362" spans="1:21">
      <c r="A4362" t="str">
        <f>"688272"</f>
        <v>688272</v>
      </c>
      <c r="B4362" t="s">
        <v>8328</v>
      </c>
      <c r="C4362">
        <v>-0.14</v>
      </c>
      <c r="D4362">
        <v>55.3</v>
      </c>
      <c r="E4362">
        <v>-0.08</v>
      </c>
      <c r="F4362">
        <v>55.3</v>
      </c>
      <c r="G4362">
        <v>55.33</v>
      </c>
      <c r="H4362">
        <v>10908</v>
      </c>
      <c r="I4362">
        <v>168</v>
      </c>
      <c r="J4362">
        <v>0.55</v>
      </c>
      <c r="K4362">
        <v>7.06</v>
      </c>
      <c r="L4362">
        <v>5997.35</v>
      </c>
      <c r="M4362" t="s">
        <v>6269</v>
      </c>
      <c r="N4362" t="s">
        <v>69</v>
      </c>
      <c r="O4362">
        <v>54.99</v>
      </c>
      <c r="P4362">
        <v>55.98</v>
      </c>
      <c r="Q4362">
        <v>54.23</v>
      </c>
      <c r="R4362">
        <v>55.38</v>
      </c>
      <c r="S4362">
        <v>66.4</v>
      </c>
      <c r="T4362">
        <v>0.44</v>
      </c>
      <c r="U4362" t="s">
        <v>44</v>
      </c>
    </row>
    <row r="4363" spans="1:21">
      <c r="A4363" t="str">
        <f>"688276"</f>
        <v>688276</v>
      </c>
      <c r="B4363" t="s">
        <v>8329</v>
      </c>
      <c r="C4363">
        <v>0.01</v>
      </c>
      <c r="D4363">
        <v>76.01</v>
      </c>
      <c r="E4363">
        <v>0.01</v>
      </c>
      <c r="F4363">
        <v>76</v>
      </c>
      <c r="G4363">
        <v>76.01</v>
      </c>
      <c r="H4363">
        <v>5206</v>
      </c>
      <c r="I4363">
        <v>79</v>
      </c>
      <c r="J4363">
        <v>0</v>
      </c>
      <c r="K4363">
        <v>1.58</v>
      </c>
      <c r="L4363">
        <v>3945.34</v>
      </c>
      <c r="M4363" t="s">
        <v>8330</v>
      </c>
      <c r="N4363" t="s">
        <v>231</v>
      </c>
      <c r="O4363">
        <v>76.44</v>
      </c>
      <c r="P4363">
        <v>76.9</v>
      </c>
      <c r="Q4363">
        <v>75.05</v>
      </c>
      <c r="R4363">
        <v>76</v>
      </c>
      <c r="S4363">
        <v>100.99</v>
      </c>
      <c r="T4363">
        <v>0.48</v>
      </c>
      <c r="U4363" t="s">
        <v>92</v>
      </c>
    </row>
    <row r="4364" spans="1:21">
      <c r="A4364" t="str">
        <f>"688277"</f>
        <v>688277</v>
      </c>
      <c r="B4364" t="s">
        <v>8331</v>
      </c>
      <c r="C4364">
        <v>1.73</v>
      </c>
      <c r="D4364">
        <v>22.33</v>
      </c>
      <c r="E4364">
        <v>0.38</v>
      </c>
      <c r="F4364">
        <v>22.29</v>
      </c>
      <c r="G4364">
        <v>22.33</v>
      </c>
      <c r="H4364">
        <v>20697</v>
      </c>
      <c r="I4364">
        <v>75</v>
      </c>
      <c r="J4364">
        <v>0.13</v>
      </c>
      <c r="K4364">
        <v>0.7</v>
      </c>
      <c r="L4364">
        <v>4624.8</v>
      </c>
      <c r="M4364" t="s">
        <v>8332</v>
      </c>
      <c r="N4364" t="s">
        <v>186</v>
      </c>
      <c r="O4364">
        <v>22</v>
      </c>
      <c r="P4364">
        <v>22.54</v>
      </c>
      <c r="Q4364">
        <v>21.91</v>
      </c>
      <c r="R4364">
        <v>21.95</v>
      </c>
      <c r="S4364" t="s">
        <v>40</v>
      </c>
      <c r="T4364">
        <v>0.66</v>
      </c>
      <c r="U4364" t="s">
        <v>44</v>
      </c>
    </row>
    <row r="4365" spans="1:21">
      <c r="A4365" t="str">
        <f>"688278"</f>
        <v>688278</v>
      </c>
      <c r="B4365" t="s">
        <v>8333</v>
      </c>
      <c r="C4365">
        <v>0.95</v>
      </c>
      <c r="D4365">
        <v>29.85</v>
      </c>
      <c r="E4365">
        <v>0.28</v>
      </c>
      <c r="F4365">
        <v>29.83</v>
      </c>
      <c r="G4365">
        <v>29.85</v>
      </c>
      <c r="H4365">
        <v>9060</v>
      </c>
      <c r="I4365">
        <v>81</v>
      </c>
      <c r="J4365">
        <v>0.13</v>
      </c>
      <c r="K4365">
        <v>0.41</v>
      </c>
      <c r="L4365">
        <v>2669.06</v>
      </c>
      <c r="M4365" t="s">
        <v>8334</v>
      </c>
      <c r="N4365" t="s">
        <v>231</v>
      </c>
      <c r="O4365">
        <v>29.46</v>
      </c>
      <c r="P4365">
        <v>29.94</v>
      </c>
      <c r="Q4365">
        <v>29.08</v>
      </c>
      <c r="R4365">
        <v>29.57</v>
      </c>
      <c r="S4365">
        <v>71.32</v>
      </c>
      <c r="T4365">
        <v>0.82</v>
      </c>
      <c r="U4365" t="s">
        <v>339</v>
      </c>
    </row>
    <row r="4366" spans="1:21">
      <c r="A4366" t="str">
        <f>"688280"</f>
        <v>688280</v>
      </c>
      <c r="B4366" t="s">
        <v>8335</v>
      </c>
      <c r="C4366">
        <v>1.08</v>
      </c>
      <c r="D4366">
        <v>20.6</v>
      </c>
      <c r="E4366">
        <v>0.22</v>
      </c>
      <c r="F4366">
        <v>20.6</v>
      </c>
      <c r="G4366">
        <v>20.61</v>
      </c>
      <c r="H4366">
        <v>188595</v>
      </c>
      <c r="I4366">
        <v>3295</v>
      </c>
      <c r="J4366">
        <v>0.19</v>
      </c>
      <c r="K4366">
        <v>18.93</v>
      </c>
      <c r="L4366">
        <v>39504.31</v>
      </c>
      <c r="M4366" t="s">
        <v>8336</v>
      </c>
      <c r="N4366" t="s">
        <v>91</v>
      </c>
      <c r="O4366">
        <v>20.41</v>
      </c>
      <c r="P4366">
        <v>21.65</v>
      </c>
      <c r="Q4366">
        <v>20.18</v>
      </c>
      <c r="R4366">
        <v>20.38</v>
      </c>
      <c r="S4366" t="s">
        <v>40</v>
      </c>
      <c r="T4366">
        <v>0.65</v>
      </c>
      <c r="U4366" t="s">
        <v>44</v>
      </c>
    </row>
    <row r="4367" spans="1:21">
      <c r="A4367" t="str">
        <f>"688285"</f>
        <v>688285</v>
      </c>
      <c r="B4367" t="s">
        <v>8337</v>
      </c>
      <c r="C4367">
        <v>1.36</v>
      </c>
      <c r="D4367">
        <v>9.71</v>
      </c>
      <c r="E4367">
        <v>0.13</v>
      </c>
      <c r="F4367">
        <v>9.71</v>
      </c>
      <c r="G4367">
        <v>9.72</v>
      </c>
      <c r="H4367">
        <v>66707</v>
      </c>
      <c r="I4367">
        <v>531</v>
      </c>
      <c r="J4367">
        <v>0</v>
      </c>
      <c r="K4367">
        <v>9.26</v>
      </c>
      <c r="L4367">
        <v>6442.35</v>
      </c>
      <c r="M4367" t="s">
        <v>2027</v>
      </c>
      <c r="N4367" t="s">
        <v>43</v>
      </c>
      <c r="O4367">
        <v>9.58</v>
      </c>
      <c r="P4367">
        <v>9.88</v>
      </c>
      <c r="Q4367">
        <v>9.4</v>
      </c>
      <c r="R4367">
        <v>9.58</v>
      </c>
      <c r="S4367">
        <v>27.05</v>
      </c>
      <c r="T4367">
        <v>0.64</v>
      </c>
      <c r="U4367" t="s">
        <v>317</v>
      </c>
    </row>
    <row r="4368" spans="1:21">
      <c r="A4368" t="str">
        <f>"688286"</f>
        <v>688286</v>
      </c>
      <c r="B4368" t="s">
        <v>8338</v>
      </c>
      <c r="C4368">
        <v>-1.32</v>
      </c>
      <c r="D4368">
        <v>88.94</v>
      </c>
      <c r="E4368">
        <v>-1.19</v>
      </c>
      <c r="F4368">
        <v>88.94</v>
      </c>
      <c r="G4368">
        <v>88.99</v>
      </c>
      <c r="H4368">
        <v>4203</v>
      </c>
      <c r="I4368">
        <v>75</v>
      </c>
      <c r="J4368">
        <v>0.1</v>
      </c>
      <c r="K4368">
        <v>1.3</v>
      </c>
      <c r="L4368">
        <v>3758.73</v>
      </c>
      <c r="M4368" t="s">
        <v>8339</v>
      </c>
      <c r="N4368" t="s">
        <v>69</v>
      </c>
      <c r="O4368">
        <v>89.2</v>
      </c>
      <c r="P4368">
        <v>92</v>
      </c>
      <c r="Q4368">
        <v>88.28</v>
      </c>
      <c r="R4368">
        <v>90.13</v>
      </c>
      <c r="S4368">
        <v>420.71</v>
      </c>
      <c r="T4368">
        <v>0.83</v>
      </c>
      <c r="U4368" t="s">
        <v>102</v>
      </c>
    </row>
    <row r="4369" spans="1:21">
      <c r="A4369" t="str">
        <f>"688288"</f>
        <v>688288</v>
      </c>
      <c r="B4369" t="s">
        <v>8340</v>
      </c>
      <c r="C4369">
        <v>7.28</v>
      </c>
      <c r="D4369">
        <v>38.15</v>
      </c>
      <c r="E4369">
        <v>2.59</v>
      </c>
      <c r="F4369">
        <v>38.12</v>
      </c>
      <c r="G4369">
        <v>38.15</v>
      </c>
      <c r="H4369">
        <v>42432</v>
      </c>
      <c r="I4369">
        <v>331</v>
      </c>
      <c r="J4369">
        <v>-0.36</v>
      </c>
      <c r="K4369">
        <v>8.02</v>
      </c>
      <c r="L4369">
        <v>15698.36</v>
      </c>
      <c r="M4369" t="s">
        <v>8341</v>
      </c>
      <c r="N4369" t="s">
        <v>91</v>
      </c>
      <c r="O4369">
        <v>34.8</v>
      </c>
      <c r="P4369">
        <v>39.38</v>
      </c>
      <c r="Q4369">
        <v>34.66</v>
      </c>
      <c r="R4369">
        <v>35.56</v>
      </c>
      <c r="S4369">
        <v>67.24</v>
      </c>
      <c r="T4369">
        <v>1.88</v>
      </c>
      <c r="U4369" t="s">
        <v>200</v>
      </c>
    </row>
    <row r="4370" spans="1:21">
      <c r="A4370" t="str">
        <f>"688289"</f>
        <v>688289</v>
      </c>
      <c r="B4370" t="s">
        <v>8342</v>
      </c>
      <c r="C4370">
        <v>1.02</v>
      </c>
      <c r="D4370">
        <v>55.25</v>
      </c>
      <c r="E4370">
        <v>0.56</v>
      </c>
      <c r="F4370">
        <v>55.25</v>
      </c>
      <c r="G4370">
        <v>55.26</v>
      </c>
      <c r="H4370">
        <v>10382</v>
      </c>
      <c r="I4370">
        <v>85</v>
      </c>
      <c r="J4370">
        <v>-0.04</v>
      </c>
      <c r="K4370">
        <v>0.44</v>
      </c>
      <c r="L4370">
        <v>5737.8</v>
      </c>
      <c r="M4370" t="s">
        <v>8343</v>
      </c>
      <c r="N4370" t="s">
        <v>186</v>
      </c>
      <c r="O4370">
        <v>54.7</v>
      </c>
      <c r="P4370">
        <v>55.68</v>
      </c>
      <c r="Q4370">
        <v>54.7</v>
      </c>
      <c r="R4370">
        <v>54.69</v>
      </c>
      <c r="S4370">
        <v>9.43</v>
      </c>
      <c r="T4370">
        <v>0.57</v>
      </c>
      <c r="U4370" t="s">
        <v>204</v>
      </c>
    </row>
    <row r="4371" spans="1:21">
      <c r="A4371" t="str">
        <f>"688296"</f>
        <v>688296</v>
      </c>
      <c r="B4371" t="s">
        <v>8344</v>
      </c>
      <c r="C4371">
        <v>0.12</v>
      </c>
      <c r="D4371">
        <v>48.49</v>
      </c>
      <c r="E4371">
        <v>0.06</v>
      </c>
      <c r="F4371">
        <v>48.43</v>
      </c>
      <c r="G4371">
        <v>48.49</v>
      </c>
      <c r="H4371">
        <v>3552</v>
      </c>
      <c r="I4371">
        <v>24</v>
      </c>
      <c r="J4371">
        <v>0.14</v>
      </c>
      <c r="K4371">
        <v>1.46</v>
      </c>
      <c r="L4371">
        <v>1720.11</v>
      </c>
      <c r="M4371" t="s">
        <v>3086</v>
      </c>
      <c r="N4371" t="s">
        <v>30</v>
      </c>
      <c r="O4371">
        <v>48.33</v>
      </c>
      <c r="P4371">
        <v>48.97</v>
      </c>
      <c r="Q4371">
        <v>47.67</v>
      </c>
      <c r="R4371">
        <v>48.43</v>
      </c>
      <c r="S4371">
        <v>84.36</v>
      </c>
      <c r="T4371">
        <v>0.78</v>
      </c>
      <c r="U4371" t="s">
        <v>200</v>
      </c>
    </row>
    <row r="4372" spans="1:21">
      <c r="A4372" t="str">
        <f>"688298"</f>
        <v>688298</v>
      </c>
      <c r="B4372" t="s">
        <v>8345</v>
      </c>
      <c r="C4372">
        <v>-0.6</v>
      </c>
      <c r="D4372">
        <v>146.12</v>
      </c>
      <c r="E4372">
        <v>-0.88</v>
      </c>
      <c r="F4372">
        <v>146.11</v>
      </c>
      <c r="G4372">
        <v>146.12</v>
      </c>
      <c r="H4372">
        <v>13952</v>
      </c>
      <c r="I4372">
        <v>184</v>
      </c>
      <c r="J4372">
        <v>0.01</v>
      </c>
      <c r="K4372">
        <v>2.31</v>
      </c>
      <c r="L4372">
        <v>20392.39</v>
      </c>
      <c r="M4372" t="s">
        <v>8346</v>
      </c>
      <c r="N4372" t="s">
        <v>186</v>
      </c>
      <c r="O4372">
        <v>147.01</v>
      </c>
      <c r="P4372">
        <v>148.76</v>
      </c>
      <c r="Q4372">
        <v>145.03</v>
      </c>
      <c r="R4372">
        <v>147</v>
      </c>
      <c r="S4372">
        <v>3.36</v>
      </c>
      <c r="T4372">
        <v>0.68</v>
      </c>
      <c r="U4372" t="s">
        <v>200</v>
      </c>
    </row>
    <row r="4373" spans="1:21">
      <c r="A4373" t="str">
        <f>"688299"</f>
        <v>688299</v>
      </c>
      <c r="B4373" t="s">
        <v>8347</v>
      </c>
      <c r="C4373">
        <v>7.67</v>
      </c>
      <c r="D4373">
        <v>31.6</v>
      </c>
      <c r="E4373">
        <v>2.25</v>
      </c>
      <c r="F4373">
        <v>31.59</v>
      </c>
      <c r="G4373">
        <v>31.6</v>
      </c>
      <c r="H4373">
        <v>114965</v>
      </c>
      <c r="I4373">
        <v>794</v>
      </c>
      <c r="J4373">
        <v>0.64</v>
      </c>
      <c r="K4373">
        <v>5.1</v>
      </c>
      <c r="L4373">
        <v>35562.66</v>
      </c>
      <c r="M4373" t="s">
        <v>8348</v>
      </c>
      <c r="N4373" t="s">
        <v>839</v>
      </c>
      <c r="O4373">
        <v>29.35</v>
      </c>
      <c r="P4373">
        <v>32</v>
      </c>
      <c r="Q4373">
        <v>28.88</v>
      </c>
      <c r="R4373">
        <v>29.35</v>
      </c>
      <c r="S4373">
        <v>45.84</v>
      </c>
      <c r="T4373">
        <v>2</v>
      </c>
      <c r="U4373" t="s">
        <v>200</v>
      </c>
    </row>
    <row r="4374" spans="1:21">
      <c r="A4374" t="str">
        <f>"688300"</f>
        <v>688300</v>
      </c>
      <c r="B4374" t="s">
        <v>8349</v>
      </c>
      <c r="C4374">
        <v>4.55</v>
      </c>
      <c r="D4374">
        <v>92</v>
      </c>
      <c r="E4374">
        <v>4</v>
      </c>
      <c r="F4374">
        <v>92</v>
      </c>
      <c r="G4374">
        <v>92.01</v>
      </c>
      <c r="H4374">
        <v>10571</v>
      </c>
      <c r="I4374">
        <v>98</v>
      </c>
      <c r="J4374">
        <v>0.12</v>
      </c>
      <c r="K4374">
        <v>1.96</v>
      </c>
      <c r="L4374">
        <v>9646.89</v>
      </c>
      <c r="M4374" t="s">
        <v>8350</v>
      </c>
      <c r="N4374" t="s">
        <v>750</v>
      </c>
      <c r="O4374">
        <v>88.6</v>
      </c>
      <c r="P4374">
        <v>92.69</v>
      </c>
      <c r="Q4374">
        <v>87.58</v>
      </c>
      <c r="R4374">
        <v>88</v>
      </c>
      <c r="S4374">
        <v>46.01</v>
      </c>
      <c r="T4374">
        <v>0.8</v>
      </c>
      <c r="U4374" t="s">
        <v>102</v>
      </c>
    </row>
    <row r="4375" spans="1:21">
      <c r="A4375" t="str">
        <f>"688301"</f>
        <v>688301</v>
      </c>
      <c r="B4375" t="s">
        <v>8351</v>
      </c>
      <c r="C4375">
        <v>0.4</v>
      </c>
      <c r="D4375">
        <v>483.88</v>
      </c>
      <c r="E4375">
        <v>1.94</v>
      </c>
      <c r="F4375">
        <v>483.88</v>
      </c>
      <c r="G4375">
        <v>484</v>
      </c>
      <c r="H4375">
        <v>4242</v>
      </c>
      <c r="I4375">
        <v>13</v>
      </c>
      <c r="J4375">
        <v>-0.01</v>
      </c>
      <c r="K4375">
        <v>1.04</v>
      </c>
      <c r="L4375">
        <v>20667.81</v>
      </c>
      <c r="M4375" t="s">
        <v>8352</v>
      </c>
      <c r="N4375" t="s">
        <v>186</v>
      </c>
      <c r="O4375">
        <v>483.8</v>
      </c>
      <c r="P4375">
        <v>498.5</v>
      </c>
      <c r="Q4375">
        <v>479.14</v>
      </c>
      <c r="R4375">
        <v>481.94</v>
      </c>
      <c r="S4375">
        <v>80.8</v>
      </c>
      <c r="T4375">
        <v>0.93</v>
      </c>
      <c r="U4375" t="s">
        <v>848</v>
      </c>
    </row>
    <row r="4376" spans="1:21">
      <c r="A4376" t="str">
        <f>"688303"</f>
        <v>688303</v>
      </c>
      <c r="B4376" t="s">
        <v>8353</v>
      </c>
      <c r="C4376">
        <v>-0.13</v>
      </c>
      <c r="D4376">
        <v>69.99</v>
      </c>
      <c r="E4376">
        <v>-0.09</v>
      </c>
      <c r="F4376">
        <v>69.99</v>
      </c>
      <c r="G4376">
        <v>70</v>
      </c>
      <c r="H4376">
        <v>83894</v>
      </c>
      <c r="I4376">
        <v>670</v>
      </c>
      <c r="J4376">
        <v>0.04</v>
      </c>
      <c r="K4376">
        <v>4.23</v>
      </c>
      <c r="L4376">
        <v>58299.64</v>
      </c>
      <c r="M4376" t="s">
        <v>8354</v>
      </c>
      <c r="N4376" t="s">
        <v>47</v>
      </c>
      <c r="O4376">
        <v>70</v>
      </c>
      <c r="P4376">
        <v>70.5</v>
      </c>
      <c r="Q4376">
        <v>68.7</v>
      </c>
      <c r="R4376">
        <v>70.08</v>
      </c>
      <c r="S4376">
        <v>22.59</v>
      </c>
      <c r="T4376">
        <v>1.15</v>
      </c>
      <c r="U4376" t="s">
        <v>210</v>
      </c>
    </row>
    <row r="4377" spans="1:21">
      <c r="A4377" t="str">
        <f>"688305"</f>
        <v>688305</v>
      </c>
      <c r="B4377" t="s">
        <v>8355</v>
      </c>
      <c r="C4377">
        <v>2.54</v>
      </c>
      <c r="D4377">
        <v>124.46</v>
      </c>
      <c r="E4377">
        <v>3.08</v>
      </c>
      <c r="F4377">
        <v>124.45</v>
      </c>
      <c r="G4377">
        <v>124.46</v>
      </c>
      <c r="H4377">
        <v>8717</v>
      </c>
      <c r="I4377">
        <v>134</v>
      </c>
      <c r="J4377">
        <v>0</v>
      </c>
      <c r="K4377">
        <v>4.72</v>
      </c>
      <c r="L4377">
        <v>10702.11</v>
      </c>
      <c r="M4377" t="s">
        <v>8356</v>
      </c>
      <c r="N4377" t="s">
        <v>247</v>
      </c>
      <c r="O4377">
        <v>121.38</v>
      </c>
      <c r="P4377">
        <v>125.35</v>
      </c>
      <c r="Q4377">
        <v>119.2</v>
      </c>
      <c r="R4377">
        <v>121.38</v>
      </c>
      <c r="S4377">
        <v>181.61</v>
      </c>
      <c r="T4377">
        <v>0.98</v>
      </c>
      <c r="U4377" t="s">
        <v>141</v>
      </c>
    </row>
    <row r="4378" spans="1:21">
      <c r="A4378" t="str">
        <f>"688308"</f>
        <v>688308</v>
      </c>
      <c r="B4378" t="s">
        <v>8357</v>
      </c>
      <c r="C4378">
        <v>0.77</v>
      </c>
      <c r="D4378">
        <v>70.59</v>
      </c>
      <c r="E4378">
        <v>0.54</v>
      </c>
      <c r="F4378">
        <v>70.59</v>
      </c>
      <c r="G4378">
        <v>70.6</v>
      </c>
      <c r="H4378">
        <v>10228</v>
      </c>
      <c r="I4378">
        <v>80</v>
      </c>
      <c r="J4378">
        <v>0.37</v>
      </c>
      <c r="K4378">
        <v>4.28</v>
      </c>
      <c r="L4378">
        <v>7285.86</v>
      </c>
      <c r="M4378" t="s">
        <v>8358</v>
      </c>
      <c r="N4378" t="s">
        <v>347</v>
      </c>
      <c r="O4378">
        <v>70.4</v>
      </c>
      <c r="P4378">
        <v>72.69</v>
      </c>
      <c r="Q4378">
        <v>69.4</v>
      </c>
      <c r="R4378">
        <v>70.05</v>
      </c>
      <c r="S4378">
        <v>31.13</v>
      </c>
      <c r="T4378">
        <v>1.7</v>
      </c>
      <c r="U4378" t="s">
        <v>204</v>
      </c>
    </row>
    <row r="4379" spans="1:21">
      <c r="A4379" t="str">
        <f>"688309"</f>
        <v>688309</v>
      </c>
      <c r="B4379" t="s">
        <v>8359</v>
      </c>
      <c r="C4379">
        <v>0.57</v>
      </c>
      <c r="D4379">
        <v>21.04</v>
      </c>
      <c r="E4379">
        <v>0.12</v>
      </c>
      <c r="F4379">
        <v>21.04</v>
      </c>
      <c r="G4379">
        <v>21.07</v>
      </c>
      <c r="H4379">
        <v>3278</v>
      </c>
      <c r="I4379">
        <v>22</v>
      </c>
      <c r="J4379">
        <v>0.19</v>
      </c>
      <c r="K4379">
        <v>0.75</v>
      </c>
      <c r="L4379">
        <v>681.44</v>
      </c>
      <c r="M4379" t="s">
        <v>8360</v>
      </c>
      <c r="N4379" t="s">
        <v>33</v>
      </c>
      <c r="O4379">
        <v>20.85</v>
      </c>
      <c r="P4379">
        <v>21.08</v>
      </c>
      <c r="Q4379">
        <v>20.5</v>
      </c>
      <c r="R4379">
        <v>20.92</v>
      </c>
      <c r="S4379" t="s">
        <v>40</v>
      </c>
      <c r="T4379">
        <v>0.85</v>
      </c>
      <c r="U4379" t="s">
        <v>221</v>
      </c>
    </row>
    <row r="4380" spans="1:21">
      <c r="A4380" t="str">
        <f>"688310"</f>
        <v>688310</v>
      </c>
      <c r="B4380" t="s">
        <v>8361</v>
      </c>
      <c r="C4380">
        <v>3.95</v>
      </c>
      <c r="D4380">
        <v>44</v>
      </c>
      <c r="E4380">
        <v>1.67</v>
      </c>
      <c r="F4380">
        <v>43.94</v>
      </c>
      <c r="G4380">
        <v>44</v>
      </c>
      <c r="H4380">
        <v>5567</v>
      </c>
      <c r="I4380">
        <v>65</v>
      </c>
      <c r="J4380">
        <v>0.32</v>
      </c>
      <c r="K4380">
        <v>1.5</v>
      </c>
      <c r="L4380">
        <v>2438.44</v>
      </c>
      <c r="M4380" t="s">
        <v>7966</v>
      </c>
      <c r="N4380" t="s">
        <v>186</v>
      </c>
      <c r="O4380">
        <v>42.36</v>
      </c>
      <c r="P4380">
        <v>44.55</v>
      </c>
      <c r="Q4380">
        <v>42.35</v>
      </c>
      <c r="R4380">
        <v>42.33</v>
      </c>
      <c r="S4380">
        <v>70.24</v>
      </c>
      <c r="T4380">
        <v>0.89</v>
      </c>
      <c r="U4380" t="s">
        <v>200</v>
      </c>
    </row>
    <row r="4381" spans="1:21">
      <c r="A4381" t="str">
        <f>"688311"</f>
        <v>688311</v>
      </c>
      <c r="B4381" t="s">
        <v>8362</v>
      </c>
      <c r="C4381">
        <v>-1.01</v>
      </c>
      <c r="D4381">
        <v>74.12</v>
      </c>
      <c r="E4381">
        <v>-0.76</v>
      </c>
      <c r="F4381">
        <v>74.11</v>
      </c>
      <c r="G4381">
        <v>74.12</v>
      </c>
      <c r="H4381">
        <v>14913</v>
      </c>
      <c r="I4381">
        <v>170</v>
      </c>
      <c r="J4381">
        <v>-0.1</v>
      </c>
      <c r="K4381">
        <v>2.26</v>
      </c>
      <c r="L4381">
        <v>11041.01</v>
      </c>
      <c r="M4381" t="s">
        <v>5819</v>
      </c>
      <c r="N4381" t="s">
        <v>69</v>
      </c>
      <c r="O4381">
        <v>74.83</v>
      </c>
      <c r="P4381">
        <v>74.85</v>
      </c>
      <c r="Q4381">
        <v>72.88</v>
      </c>
      <c r="R4381">
        <v>74.88</v>
      </c>
      <c r="S4381">
        <v>124.45</v>
      </c>
      <c r="T4381">
        <v>0.81</v>
      </c>
      <c r="U4381" t="s">
        <v>196</v>
      </c>
    </row>
    <row r="4382" spans="1:21">
      <c r="A4382" t="str">
        <f>"688312"</f>
        <v>688312</v>
      </c>
      <c r="B4382" t="s">
        <v>8363</v>
      </c>
      <c r="C4382">
        <v>1.79</v>
      </c>
      <c r="D4382">
        <v>27.9</v>
      </c>
      <c r="E4382">
        <v>0.49</v>
      </c>
      <c r="F4382">
        <v>27.87</v>
      </c>
      <c r="G4382">
        <v>27.9</v>
      </c>
      <c r="H4382">
        <v>6466</v>
      </c>
      <c r="I4382">
        <v>77</v>
      </c>
      <c r="J4382">
        <v>0</v>
      </c>
      <c r="K4382">
        <v>0.97</v>
      </c>
      <c r="L4382">
        <v>1803.15</v>
      </c>
      <c r="M4382" t="s">
        <v>8364</v>
      </c>
      <c r="N4382" t="s">
        <v>324</v>
      </c>
      <c r="O4382">
        <v>27.51</v>
      </c>
      <c r="P4382">
        <v>28.1</v>
      </c>
      <c r="Q4382">
        <v>27.45</v>
      </c>
      <c r="R4382">
        <v>27.41</v>
      </c>
      <c r="S4382">
        <v>37.69</v>
      </c>
      <c r="T4382">
        <v>0.77</v>
      </c>
      <c r="U4382" t="s">
        <v>24</v>
      </c>
    </row>
    <row r="4383" spans="1:21">
      <c r="A4383" t="str">
        <f>"688313"</f>
        <v>688313</v>
      </c>
      <c r="B4383" t="s">
        <v>8365</v>
      </c>
      <c r="C4383">
        <v>2.58</v>
      </c>
      <c r="D4383">
        <v>13.1</v>
      </c>
      <c r="E4383">
        <v>0.33</v>
      </c>
      <c r="F4383">
        <v>13.1</v>
      </c>
      <c r="G4383">
        <v>13.11</v>
      </c>
      <c r="H4383">
        <v>65637</v>
      </c>
      <c r="I4383">
        <v>1054</v>
      </c>
      <c r="J4383">
        <v>0.15</v>
      </c>
      <c r="K4383">
        <v>2.04</v>
      </c>
      <c r="L4383">
        <v>8650.69</v>
      </c>
      <c r="M4383" t="s">
        <v>8132</v>
      </c>
      <c r="N4383" t="s">
        <v>153</v>
      </c>
      <c r="O4383">
        <v>12.92</v>
      </c>
      <c r="P4383">
        <v>13.49</v>
      </c>
      <c r="Q4383">
        <v>12.8</v>
      </c>
      <c r="R4383">
        <v>12.77</v>
      </c>
      <c r="S4383">
        <v>169.13</v>
      </c>
      <c r="T4383">
        <v>1.2</v>
      </c>
      <c r="U4383" t="s">
        <v>224</v>
      </c>
    </row>
    <row r="4384" spans="1:21">
      <c r="A4384" t="str">
        <f>"688314"</f>
        <v>688314</v>
      </c>
      <c r="B4384" t="s">
        <v>8366</v>
      </c>
      <c r="C4384">
        <v>5.31</v>
      </c>
      <c r="D4384">
        <v>74.14</v>
      </c>
      <c r="E4384">
        <v>3.74</v>
      </c>
      <c r="F4384">
        <v>74.14</v>
      </c>
      <c r="G4384">
        <v>74.49</v>
      </c>
      <c r="H4384">
        <v>6355</v>
      </c>
      <c r="I4384">
        <v>114</v>
      </c>
      <c r="J4384">
        <v>-0.63</v>
      </c>
      <c r="K4384">
        <v>5.12</v>
      </c>
      <c r="L4384">
        <v>4645.45</v>
      </c>
      <c r="M4384" t="s">
        <v>8367</v>
      </c>
      <c r="N4384" t="s">
        <v>186</v>
      </c>
      <c r="O4384">
        <v>69.95</v>
      </c>
      <c r="P4384">
        <v>75.77</v>
      </c>
      <c r="Q4384">
        <v>69.24</v>
      </c>
      <c r="R4384">
        <v>70.4</v>
      </c>
      <c r="S4384">
        <v>52.12</v>
      </c>
      <c r="T4384">
        <v>1.06</v>
      </c>
      <c r="U4384" t="s">
        <v>317</v>
      </c>
    </row>
    <row r="4385" spans="1:21">
      <c r="A4385" t="str">
        <f>"688315"</f>
        <v>688315</v>
      </c>
      <c r="B4385" t="s">
        <v>8368</v>
      </c>
      <c r="C4385">
        <v>-1.44</v>
      </c>
      <c r="D4385">
        <v>49.28</v>
      </c>
      <c r="E4385">
        <v>-0.72</v>
      </c>
      <c r="F4385">
        <v>49.28</v>
      </c>
      <c r="G4385">
        <v>49.29</v>
      </c>
      <c r="H4385">
        <v>17972</v>
      </c>
      <c r="I4385">
        <v>38</v>
      </c>
      <c r="J4385">
        <v>-0.03</v>
      </c>
      <c r="K4385">
        <v>5.13</v>
      </c>
      <c r="L4385">
        <v>8866.79</v>
      </c>
      <c r="M4385" t="s">
        <v>8369</v>
      </c>
      <c r="N4385" t="s">
        <v>186</v>
      </c>
      <c r="O4385">
        <v>49.9</v>
      </c>
      <c r="P4385">
        <v>50.97</v>
      </c>
      <c r="Q4385">
        <v>48.32</v>
      </c>
      <c r="R4385">
        <v>50</v>
      </c>
      <c r="S4385">
        <v>114.61</v>
      </c>
      <c r="T4385">
        <v>0.67</v>
      </c>
      <c r="U4385" t="s">
        <v>44</v>
      </c>
    </row>
    <row r="4386" spans="1:21">
      <c r="A4386" t="str">
        <f>"688316"</f>
        <v>688316</v>
      </c>
      <c r="B4386" t="s">
        <v>8370</v>
      </c>
      <c r="C4386">
        <v>5.3</v>
      </c>
      <c r="D4386">
        <v>56.63</v>
      </c>
      <c r="E4386">
        <v>2.85</v>
      </c>
      <c r="F4386">
        <v>56.63</v>
      </c>
      <c r="G4386">
        <v>56.72</v>
      </c>
      <c r="H4386">
        <v>4486</v>
      </c>
      <c r="I4386">
        <v>59</v>
      </c>
      <c r="J4386">
        <v>0.07</v>
      </c>
      <c r="K4386">
        <v>3.93</v>
      </c>
      <c r="L4386">
        <v>2515.66</v>
      </c>
      <c r="M4386" t="s">
        <v>8371</v>
      </c>
      <c r="N4386" t="s">
        <v>30</v>
      </c>
      <c r="O4386">
        <v>53.78</v>
      </c>
      <c r="P4386">
        <v>57.58</v>
      </c>
      <c r="Q4386">
        <v>53.38</v>
      </c>
      <c r="R4386">
        <v>53.78</v>
      </c>
      <c r="S4386" t="s">
        <v>40</v>
      </c>
      <c r="T4386">
        <v>1.44</v>
      </c>
      <c r="U4386" t="s">
        <v>44</v>
      </c>
    </row>
    <row r="4387" spans="1:21">
      <c r="A4387" t="str">
        <f>"688317"</f>
        <v>688317</v>
      </c>
      <c r="B4387" t="s">
        <v>8372</v>
      </c>
      <c r="C4387">
        <v>1.12</v>
      </c>
      <c r="D4387">
        <v>50.76</v>
      </c>
      <c r="E4387">
        <v>0.56</v>
      </c>
      <c r="F4387">
        <v>50.76</v>
      </c>
      <c r="G4387">
        <v>50.77</v>
      </c>
      <c r="H4387">
        <v>7225</v>
      </c>
      <c r="I4387">
        <v>71</v>
      </c>
      <c r="J4387">
        <v>0.06</v>
      </c>
      <c r="K4387">
        <v>1.69</v>
      </c>
      <c r="L4387">
        <v>3650.79</v>
      </c>
      <c r="M4387" t="s">
        <v>7248</v>
      </c>
      <c r="N4387" t="s">
        <v>231</v>
      </c>
      <c r="O4387">
        <v>50.74</v>
      </c>
      <c r="P4387">
        <v>51</v>
      </c>
      <c r="Q4387">
        <v>49.88</v>
      </c>
      <c r="R4387">
        <v>50.2</v>
      </c>
      <c r="S4387">
        <v>12.3</v>
      </c>
      <c r="T4387">
        <v>0.52</v>
      </c>
      <c r="U4387" t="s">
        <v>848</v>
      </c>
    </row>
    <row r="4388" spans="1:21">
      <c r="A4388" t="str">
        <f>"688318"</f>
        <v>688318</v>
      </c>
      <c r="B4388" t="s">
        <v>8373</v>
      </c>
      <c r="C4388">
        <v>3.15</v>
      </c>
      <c r="D4388">
        <v>145.74</v>
      </c>
      <c r="E4388">
        <v>4.45</v>
      </c>
      <c r="F4388">
        <v>145.7</v>
      </c>
      <c r="G4388">
        <v>145.74</v>
      </c>
      <c r="H4388">
        <v>5726</v>
      </c>
      <c r="I4388">
        <v>97</v>
      </c>
      <c r="J4388">
        <v>0</v>
      </c>
      <c r="K4388">
        <v>2.86</v>
      </c>
      <c r="L4388">
        <v>8266.41</v>
      </c>
      <c r="M4388" t="s">
        <v>8374</v>
      </c>
      <c r="N4388" t="s">
        <v>30</v>
      </c>
      <c r="O4388">
        <v>140.53</v>
      </c>
      <c r="P4388">
        <v>147.66</v>
      </c>
      <c r="Q4388">
        <v>140.53</v>
      </c>
      <c r="R4388">
        <v>141.29</v>
      </c>
      <c r="S4388">
        <v>38.97</v>
      </c>
      <c r="T4388">
        <v>1.4</v>
      </c>
      <c r="U4388" t="s">
        <v>24</v>
      </c>
    </row>
    <row r="4389" spans="1:21">
      <c r="A4389" t="str">
        <f>"688319"</f>
        <v>688319</v>
      </c>
      <c r="B4389" t="s">
        <v>8375</v>
      </c>
      <c r="C4389">
        <v>0.93</v>
      </c>
      <c r="D4389">
        <v>32.61</v>
      </c>
      <c r="E4389">
        <v>0.3</v>
      </c>
      <c r="F4389">
        <v>32.57</v>
      </c>
      <c r="G4389">
        <v>32.61</v>
      </c>
      <c r="H4389">
        <v>4273</v>
      </c>
      <c r="I4389">
        <v>65</v>
      </c>
      <c r="J4389">
        <v>0</v>
      </c>
      <c r="K4389">
        <v>1.15</v>
      </c>
      <c r="L4389">
        <v>1396.18</v>
      </c>
      <c r="M4389" t="s">
        <v>5508</v>
      </c>
      <c r="N4389" t="s">
        <v>231</v>
      </c>
      <c r="O4389">
        <v>32.5</v>
      </c>
      <c r="P4389">
        <v>33.17</v>
      </c>
      <c r="Q4389">
        <v>32.15</v>
      </c>
      <c r="R4389">
        <v>32.31</v>
      </c>
      <c r="S4389">
        <v>127.61</v>
      </c>
      <c r="T4389">
        <v>0.47</v>
      </c>
      <c r="U4389" t="s">
        <v>196</v>
      </c>
    </row>
    <row r="4390" spans="1:21">
      <c r="A4390" t="str">
        <f>"688321"</f>
        <v>688321</v>
      </c>
      <c r="B4390" t="s">
        <v>8376</v>
      </c>
      <c r="C4390">
        <v>0.73</v>
      </c>
      <c r="D4390">
        <v>37.25</v>
      </c>
      <c r="E4390">
        <v>0.27</v>
      </c>
      <c r="F4390">
        <v>37.24</v>
      </c>
      <c r="G4390">
        <v>37.25</v>
      </c>
      <c r="H4390">
        <v>14819</v>
      </c>
      <c r="I4390">
        <v>116</v>
      </c>
      <c r="J4390">
        <v>-0.07</v>
      </c>
      <c r="K4390">
        <v>0.58</v>
      </c>
      <c r="L4390">
        <v>5518.04</v>
      </c>
      <c r="M4390" t="s">
        <v>8377</v>
      </c>
      <c r="N4390" t="s">
        <v>192</v>
      </c>
      <c r="O4390">
        <v>36.9</v>
      </c>
      <c r="P4390">
        <v>37.5</v>
      </c>
      <c r="Q4390">
        <v>36.81</v>
      </c>
      <c r="R4390">
        <v>36.98</v>
      </c>
      <c r="S4390" t="s">
        <v>40</v>
      </c>
      <c r="T4390">
        <v>0.78</v>
      </c>
      <c r="U4390" t="s">
        <v>24</v>
      </c>
    </row>
    <row r="4391" spans="1:21">
      <c r="A4391" t="str">
        <f>"688323"</f>
        <v>688323</v>
      </c>
      <c r="B4391" t="s">
        <v>8378</v>
      </c>
      <c r="C4391">
        <v>6.87</v>
      </c>
      <c r="D4391">
        <v>31.1</v>
      </c>
      <c r="E4391">
        <v>2</v>
      </c>
      <c r="F4391">
        <v>31.04</v>
      </c>
      <c r="G4391">
        <v>31.1</v>
      </c>
      <c r="H4391">
        <v>16895</v>
      </c>
      <c r="I4391">
        <v>261</v>
      </c>
      <c r="J4391">
        <v>0.52</v>
      </c>
      <c r="K4391">
        <v>4.42</v>
      </c>
      <c r="L4391">
        <v>5151.89</v>
      </c>
      <c r="M4391" t="s">
        <v>8379</v>
      </c>
      <c r="N4391" t="s">
        <v>839</v>
      </c>
      <c r="O4391">
        <v>29.72</v>
      </c>
      <c r="P4391">
        <v>31.32</v>
      </c>
      <c r="Q4391">
        <v>28.89</v>
      </c>
      <c r="R4391">
        <v>29.1</v>
      </c>
      <c r="S4391">
        <v>94.74</v>
      </c>
      <c r="T4391">
        <v>1.96</v>
      </c>
      <c r="U4391" t="s">
        <v>24</v>
      </c>
    </row>
    <row r="4392" spans="1:21">
      <c r="A4392" t="str">
        <f>"688328"</f>
        <v>688328</v>
      </c>
      <c r="B4392" t="s">
        <v>8380</v>
      </c>
      <c r="C4392">
        <v>1.43</v>
      </c>
      <c r="D4392">
        <v>42.5</v>
      </c>
      <c r="E4392">
        <v>0.6</v>
      </c>
      <c r="F4392">
        <v>42.48</v>
      </c>
      <c r="G4392">
        <v>42.5</v>
      </c>
      <c r="H4392">
        <v>14364</v>
      </c>
      <c r="I4392">
        <v>157</v>
      </c>
      <c r="J4392">
        <v>0</v>
      </c>
      <c r="K4392">
        <v>7.88</v>
      </c>
      <c r="L4392">
        <v>6032.28</v>
      </c>
      <c r="M4392" t="s">
        <v>8381</v>
      </c>
      <c r="N4392" t="s">
        <v>69</v>
      </c>
      <c r="O4392">
        <v>41.6</v>
      </c>
      <c r="P4392">
        <v>42.9</v>
      </c>
      <c r="Q4392">
        <v>41.19</v>
      </c>
      <c r="R4392">
        <v>41.9</v>
      </c>
      <c r="S4392">
        <v>68.57</v>
      </c>
      <c r="T4392">
        <v>0.82</v>
      </c>
      <c r="U4392" t="s">
        <v>24</v>
      </c>
    </row>
    <row r="4393" spans="1:21">
      <c r="A4393" t="str">
        <f>"688329"</f>
        <v>688329</v>
      </c>
      <c r="B4393" t="s">
        <v>8382</v>
      </c>
      <c r="C4393">
        <v>4.65</v>
      </c>
      <c r="D4393">
        <v>40.04</v>
      </c>
      <c r="E4393">
        <v>1.78</v>
      </c>
      <c r="F4393">
        <v>40.04</v>
      </c>
      <c r="G4393">
        <v>40.1</v>
      </c>
      <c r="H4393">
        <v>11122</v>
      </c>
      <c r="I4393">
        <v>89</v>
      </c>
      <c r="J4393">
        <v>-0.16</v>
      </c>
      <c r="K4393">
        <v>6.58</v>
      </c>
      <c r="L4393">
        <v>4408.33</v>
      </c>
      <c r="M4393" t="s">
        <v>7744</v>
      </c>
      <c r="N4393" t="s">
        <v>186</v>
      </c>
      <c r="O4393">
        <v>38.59</v>
      </c>
      <c r="P4393">
        <v>40.43</v>
      </c>
      <c r="Q4393">
        <v>38.01</v>
      </c>
      <c r="R4393">
        <v>38.26</v>
      </c>
      <c r="S4393">
        <v>58.46</v>
      </c>
      <c r="T4393">
        <v>1.45</v>
      </c>
      <c r="U4393" t="s">
        <v>102</v>
      </c>
    </row>
    <row r="4394" spans="1:21">
      <c r="A4394" t="str">
        <f>"688330"</f>
        <v>688330</v>
      </c>
      <c r="B4394" t="s">
        <v>8383</v>
      </c>
      <c r="C4394">
        <v>3.06</v>
      </c>
      <c r="D4394">
        <v>142.68</v>
      </c>
      <c r="E4394">
        <v>4.24</v>
      </c>
      <c r="F4394">
        <v>142.6</v>
      </c>
      <c r="G4394">
        <v>142.68</v>
      </c>
      <c r="H4394">
        <v>18505</v>
      </c>
      <c r="I4394">
        <v>84</v>
      </c>
      <c r="J4394">
        <v>0.18</v>
      </c>
      <c r="K4394">
        <v>4.09</v>
      </c>
      <c r="L4394">
        <v>26449.75</v>
      </c>
      <c r="M4394" t="s">
        <v>8384</v>
      </c>
      <c r="N4394" t="s">
        <v>47</v>
      </c>
      <c r="O4394">
        <v>139</v>
      </c>
      <c r="P4394">
        <v>146.66</v>
      </c>
      <c r="Q4394">
        <v>139</v>
      </c>
      <c r="R4394">
        <v>138.44</v>
      </c>
      <c r="S4394">
        <v>32.58</v>
      </c>
      <c r="T4394">
        <v>0.58</v>
      </c>
      <c r="U4394" t="s">
        <v>848</v>
      </c>
    </row>
    <row r="4395" spans="1:21">
      <c r="A4395" t="str">
        <f>"688333"</f>
        <v>688333</v>
      </c>
      <c r="B4395" t="s">
        <v>8385</v>
      </c>
      <c r="C4395">
        <v>0.05</v>
      </c>
      <c r="D4395">
        <v>226.92</v>
      </c>
      <c r="E4395">
        <v>0.12</v>
      </c>
      <c r="F4395">
        <v>226.71</v>
      </c>
      <c r="G4395">
        <v>226.92</v>
      </c>
      <c r="H4395">
        <v>1697</v>
      </c>
      <c r="I4395">
        <v>27</v>
      </c>
      <c r="J4395">
        <v>-0.1</v>
      </c>
      <c r="K4395">
        <v>0.37</v>
      </c>
      <c r="L4395">
        <v>3833.26</v>
      </c>
      <c r="M4395" t="s">
        <v>8386</v>
      </c>
      <c r="N4395" t="s">
        <v>347</v>
      </c>
      <c r="O4395">
        <v>226.7</v>
      </c>
      <c r="P4395">
        <v>227.78</v>
      </c>
      <c r="Q4395">
        <v>224.11</v>
      </c>
      <c r="R4395">
        <v>226.8</v>
      </c>
      <c r="S4395" t="s">
        <v>40</v>
      </c>
      <c r="T4395">
        <v>0.44</v>
      </c>
      <c r="U4395" t="s">
        <v>317</v>
      </c>
    </row>
    <row r="4396" spans="1:21">
      <c r="A4396" t="str">
        <f>"688335"</f>
        <v>688335</v>
      </c>
      <c r="B4396" t="s">
        <v>8387</v>
      </c>
      <c r="C4396">
        <v>0</v>
      </c>
      <c r="D4396">
        <v>31.7</v>
      </c>
      <c r="E4396">
        <v>0</v>
      </c>
      <c r="F4396">
        <v>31.7</v>
      </c>
      <c r="G4396">
        <v>31.74</v>
      </c>
      <c r="H4396">
        <v>1330</v>
      </c>
      <c r="I4396">
        <v>68</v>
      </c>
      <c r="J4396">
        <v>-0.02</v>
      </c>
      <c r="K4396">
        <v>0.28</v>
      </c>
      <c r="L4396">
        <v>420.76</v>
      </c>
      <c r="M4396" t="s">
        <v>8388</v>
      </c>
      <c r="N4396" t="s">
        <v>33</v>
      </c>
      <c r="O4396">
        <v>31.43</v>
      </c>
      <c r="P4396">
        <v>31.85</v>
      </c>
      <c r="Q4396">
        <v>31.4</v>
      </c>
      <c r="R4396">
        <v>31.7</v>
      </c>
      <c r="S4396">
        <v>49.55</v>
      </c>
      <c r="T4396">
        <v>0.69</v>
      </c>
      <c r="U4396" t="s">
        <v>848</v>
      </c>
    </row>
    <row r="4397" spans="1:21">
      <c r="A4397" t="str">
        <f>"688336"</f>
        <v>688336</v>
      </c>
      <c r="B4397" t="s">
        <v>8389</v>
      </c>
      <c r="C4397">
        <v>0.16</v>
      </c>
      <c r="D4397">
        <v>18.58</v>
      </c>
      <c r="E4397">
        <v>0.03</v>
      </c>
      <c r="F4397">
        <v>18.58</v>
      </c>
      <c r="G4397">
        <v>18.6</v>
      </c>
      <c r="H4397">
        <v>4147</v>
      </c>
      <c r="I4397">
        <v>22</v>
      </c>
      <c r="J4397">
        <v>0.05</v>
      </c>
      <c r="K4397">
        <v>0.59</v>
      </c>
      <c r="L4397">
        <v>768.42</v>
      </c>
      <c r="M4397" t="s">
        <v>8390</v>
      </c>
      <c r="N4397" t="s">
        <v>231</v>
      </c>
      <c r="O4397">
        <v>18.59</v>
      </c>
      <c r="P4397">
        <v>18.65</v>
      </c>
      <c r="Q4397">
        <v>18.39</v>
      </c>
      <c r="R4397">
        <v>18.55</v>
      </c>
      <c r="S4397">
        <v>1502.49</v>
      </c>
      <c r="T4397">
        <v>0.79</v>
      </c>
      <c r="U4397" t="s">
        <v>848</v>
      </c>
    </row>
    <row r="4398" spans="1:21">
      <c r="A4398" t="str">
        <f>"688338"</f>
        <v>688338</v>
      </c>
      <c r="B4398" t="s">
        <v>8391</v>
      </c>
      <c r="C4398">
        <v>1.16</v>
      </c>
      <c r="D4398">
        <v>44.42</v>
      </c>
      <c r="E4398">
        <v>0.51</v>
      </c>
      <c r="F4398">
        <v>44.41</v>
      </c>
      <c r="G4398">
        <v>44.42</v>
      </c>
      <c r="H4398">
        <v>3198</v>
      </c>
      <c r="I4398">
        <v>23</v>
      </c>
      <c r="J4398">
        <v>0.05</v>
      </c>
      <c r="K4398">
        <v>1.15</v>
      </c>
      <c r="L4398">
        <v>1409.54</v>
      </c>
      <c r="M4398" t="s">
        <v>5886</v>
      </c>
      <c r="N4398" t="s">
        <v>186</v>
      </c>
      <c r="O4398">
        <v>44.29</v>
      </c>
      <c r="P4398">
        <v>44.58</v>
      </c>
      <c r="Q4398">
        <v>43.5</v>
      </c>
      <c r="R4398">
        <v>43.91</v>
      </c>
      <c r="S4398">
        <v>40.57</v>
      </c>
      <c r="T4398">
        <v>1.11</v>
      </c>
      <c r="U4398" t="s">
        <v>44</v>
      </c>
    </row>
    <row r="4399" spans="1:21">
      <c r="A4399" t="str">
        <f>"688339"</f>
        <v>688339</v>
      </c>
      <c r="B4399" t="s">
        <v>8392</v>
      </c>
      <c r="C4399">
        <v>6.45</v>
      </c>
      <c r="D4399">
        <v>292</v>
      </c>
      <c r="E4399">
        <v>17.68</v>
      </c>
      <c r="F4399">
        <v>292</v>
      </c>
      <c r="G4399">
        <v>292.05</v>
      </c>
      <c r="H4399">
        <v>24119</v>
      </c>
      <c r="I4399">
        <v>158</v>
      </c>
      <c r="J4399">
        <v>0.01</v>
      </c>
      <c r="K4399">
        <v>4.8</v>
      </c>
      <c r="L4399">
        <v>68955.06</v>
      </c>
      <c r="M4399" t="s">
        <v>8393</v>
      </c>
      <c r="N4399" t="s">
        <v>91</v>
      </c>
      <c r="O4399">
        <v>270</v>
      </c>
      <c r="P4399">
        <v>292.95</v>
      </c>
      <c r="Q4399">
        <v>268</v>
      </c>
      <c r="R4399">
        <v>274.32</v>
      </c>
      <c r="S4399" t="s">
        <v>40</v>
      </c>
      <c r="T4399">
        <v>2.96</v>
      </c>
      <c r="U4399" t="s">
        <v>44</v>
      </c>
    </row>
    <row r="4400" spans="1:21">
      <c r="A4400" t="str">
        <f>"688345"</f>
        <v>688345</v>
      </c>
      <c r="B4400" t="s">
        <v>8394</v>
      </c>
      <c r="C4400">
        <v>3.5</v>
      </c>
      <c r="D4400">
        <v>68.91</v>
      </c>
      <c r="E4400">
        <v>2.33</v>
      </c>
      <c r="F4400">
        <v>68.87</v>
      </c>
      <c r="G4400">
        <v>68.91</v>
      </c>
      <c r="H4400">
        <v>35514</v>
      </c>
      <c r="I4400">
        <v>128</v>
      </c>
      <c r="J4400">
        <v>-0.15</v>
      </c>
      <c r="K4400">
        <v>15.54</v>
      </c>
      <c r="L4400">
        <v>24645.52</v>
      </c>
      <c r="M4400" t="s">
        <v>8395</v>
      </c>
      <c r="N4400" t="s">
        <v>47</v>
      </c>
      <c r="O4400">
        <v>66.9</v>
      </c>
      <c r="P4400">
        <v>71.6</v>
      </c>
      <c r="Q4400">
        <v>66.9</v>
      </c>
      <c r="R4400">
        <v>66.58</v>
      </c>
      <c r="S4400">
        <v>58.11</v>
      </c>
      <c r="T4400">
        <v>2.35</v>
      </c>
      <c r="U4400" t="s">
        <v>183</v>
      </c>
    </row>
    <row r="4401" spans="1:21">
      <c r="A4401" t="str">
        <f>"688350"</f>
        <v>688350</v>
      </c>
      <c r="B4401" t="s">
        <v>8396</v>
      </c>
      <c r="C4401">
        <v>1.97</v>
      </c>
      <c r="D4401">
        <v>21.79</v>
      </c>
      <c r="E4401">
        <v>0.42</v>
      </c>
      <c r="F4401">
        <v>21.79</v>
      </c>
      <c r="G4401">
        <v>21.8</v>
      </c>
      <c r="H4401">
        <v>9094</v>
      </c>
      <c r="I4401">
        <v>82</v>
      </c>
      <c r="J4401">
        <v>0.18</v>
      </c>
      <c r="K4401">
        <v>3.5</v>
      </c>
      <c r="L4401">
        <v>1969.54</v>
      </c>
      <c r="M4401" t="s">
        <v>5421</v>
      </c>
      <c r="N4401" t="s">
        <v>309</v>
      </c>
      <c r="O4401">
        <v>21.15</v>
      </c>
      <c r="P4401">
        <v>21.9</v>
      </c>
      <c r="Q4401">
        <v>21.15</v>
      </c>
      <c r="R4401">
        <v>21.37</v>
      </c>
      <c r="S4401">
        <v>22.16</v>
      </c>
      <c r="T4401">
        <v>1.26</v>
      </c>
      <c r="U4401" t="s">
        <v>102</v>
      </c>
    </row>
    <row r="4402" spans="1:21">
      <c r="A4402" t="str">
        <f>"688355"</f>
        <v>688355</v>
      </c>
      <c r="B4402" t="s">
        <v>8397</v>
      </c>
      <c r="C4402">
        <v>1.17</v>
      </c>
      <c r="D4402">
        <v>27.58</v>
      </c>
      <c r="E4402">
        <v>0.32</v>
      </c>
      <c r="F4402">
        <v>27.57</v>
      </c>
      <c r="G4402">
        <v>27.58</v>
      </c>
      <c r="H4402">
        <v>11613</v>
      </c>
      <c r="I4402">
        <v>229</v>
      </c>
      <c r="J4402">
        <v>0.04</v>
      </c>
      <c r="K4402">
        <v>4.41</v>
      </c>
      <c r="L4402">
        <v>3202.74</v>
      </c>
      <c r="M4402" t="s">
        <v>8398</v>
      </c>
      <c r="N4402" t="s">
        <v>347</v>
      </c>
      <c r="O4402">
        <v>27.16</v>
      </c>
      <c r="P4402">
        <v>28.04</v>
      </c>
      <c r="Q4402">
        <v>27.01</v>
      </c>
      <c r="R4402">
        <v>27.26</v>
      </c>
      <c r="S4402">
        <v>39.1</v>
      </c>
      <c r="T4402">
        <v>0.72</v>
      </c>
      <c r="U4402" t="s">
        <v>102</v>
      </c>
    </row>
    <row r="4403" spans="1:21">
      <c r="A4403" t="str">
        <f>"688356"</f>
        <v>688356</v>
      </c>
      <c r="B4403" t="s">
        <v>8399</v>
      </c>
      <c r="C4403">
        <v>-0.47</v>
      </c>
      <c r="D4403">
        <v>359.3</v>
      </c>
      <c r="E4403">
        <v>-1.7</v>
      </c>
      <c r="F4403">
        <v>358.9</v>
      </c>
      <c r="G4403">
        <v>359.3</v>
      </c>
      <c r="H4403">
        <v>3573</v>
      </c>
      <c r="I4403">
        <v>17</v>
      </c>
      <c r="J4403">
        <v>0.08</v>
      </c>
      <c r="K4403">
        <v>1.01</v>
      </c>
      <c r="L4403">
        <v>12881.65</v>
      </c>
      <c r="M4403" t="s">
        <v>8400</v>
      </c>
      <c r="N4403" t="s">
        <v>192</v>
      </c>
      <c r="O4403">
        <v>362</v>
      </c>
      <c r="P4403">
        <v>366.6</v>
      </c>
      <c r="Q4403">
        <v>353.53</v>
      </c>
      <c r="R4403">
        <v>361</v>
      </c>
      <c r="S4403">
        <v>113.57</v>
      </c>
      <c r="T4403">
        <v>0.45</v>
      </c>
      <c r="U4403" t="s">
        <v>44</v>
      </c>
    </row>
    <row r="4404" spans="1:21">
      <c r="A4404" t="str">
        <f>"688357"</f>
        <v>688357</v>
      </c>
      <c r="B4404" t="s">
        <v>8401</v>
      </c>
      <c r="C4404">
        <v>-1.15</v>
      </c>
      <c r="D4404">
        <v>225</v>
      </c>
      <c r="E4404">
        <v>-2.62</v>
      </c>
      <c r="F4404">
        <v>224.8</v>
      </c>
      <c r="G4404">
        <v>225</v>
      </c>
      <c r="H4404">
        <v>11158</v>
      </c>
      <c r="I4404">
        <v>28</v>
      </c>
      <c r="J4404">
        <v>-0.45</v>
      </c>
      <c r="K4404">
        <v>4.25</v>
      </c>
      <c r="L4404">
        <v>25694.93</v>
      </c>
      <c r="M4404" t="s">
        <v>8402</v>
      </c>
      <c r="N4404" t="s">
        <v>309</v>
      </c>
      <c r="O4404">
        <v>230</v>
      </c>
      <c r="P4404">
        <v>237.83</v>
      </c>
      <c r="Q4404">
        <v>223</v>
      </c>
      <c r="R4404">
        <v>227.62</v>
      </c>
      <c r="S4404">
        <v>48.63</v>
      </c>
      <c r="T4404">
        <v>1.86</v>
      </c>
      <c r="U4404" t="s">
        <v>224</v>
      </c>
    </row>
    <row r="4405" spans="1:21">
      <c r="A4405" t="str">
        <f>"688358"</f>
        <v>688358</v>
      </c>
      <c r="B4405" t="s">
        <v>8403</v>
      </c>
      <c r="C4405">
        <v>1.14</v>
      </c>
      <c r="D4405">
        <v>44.18</v>
      </c>
      <c r="E4405">
        <v>0.5</v>
      </c>
      <c r="F4405">
        <v>44.08</v>
      </c>
      <c r="G4405">
        <v>44.3</v>
      </c>
      <c r="H4405">
        <v>3479</v>
      </c>
      <c r="I4405">
        <v>9</v>
      </c>
      <c r="J4405">
        <v>-0.37</v>
      </c>
      <c r="K4405">
        <v>1.81</v>
      </c>
      <c r="L4405">
        <v>1522.93</v>
      </c>
      <c r="M4405" t="s">
        <v>8404</v>
      </c>
      <c r="N4405" t="s">
        <v>186</v>
      </c>
      <c r="O4405">
        <v>43.5</v>
      </c>
      <c r="P4405">
        <v>44.36</v>
      </c>
      <c r="Q4405">
        <v>43.32</v>
      </c>
      <c r="R4405">
        <v>43.68</v>
      </c>
      <c r="S4405">
        <v>34.08</v>
      </c>
      <c r="T4405">
        <v>1.45</v>
      </c>
      <c r="U4405" t="s">
        <v>102</v>
      </c>
    </row>
    <row r="4406" spans="1:21">
      <c r="A4406" t="str">
        <f>"688359"</f>
        <v>688359</v>
      </c>
      <c r="B4406" t="s">
        <v>8405</v>
      </c>
      <c r="C4406">
        <v>0.05</v>
      </c>
      <c r="D4406">
        <v>56.48</v>
      </c>
      <c r="E4406">
        <v>0.03</v>
      </c>
      <c r="F4406">
        <v>56.42</v>
      </c>
      <c r="G4406">
        <v>56.48</v>
      </c>
      <c r="H4406">
        <v>10343</v>
      </c>
      <c r="I4406">
        <v>22</v>
      </c>
      <c r="J4406">
        <v>0</v>
      </c>
      <c r="K4406">
        <v>4.49</v>
      </c>
      <c r="L4406">
        <v>5854.03</v>
      </c>
      <c r="M4406" t="s">
        <v>399</v>
      </c>
      <c r="N4406" t="s">
        <v>309</v>
      </c>
      <c r="O4406">
        <v>56</v>
      </c>
      <c r="P4406">
        <v>58.09</v>
      </c>
      <c r="Q4406">
        <v>55.11</v>
      </c>
      <c r="R4406">
        <v>56.45</v>
      </c>
      <c r="S4406">
        <v>104.49</v>
      </c>
      <c r="T4406">
        <v>1</v>
      </c>
      <c r="U4406" t="s">
        <v>183</v>
      </c>
    </row>
    <row r="4407" spans="1:21">
      <c r="A4407" t="str">
        <f>"688360"</f>
        <v>688360</v>
      </c>
      <c r="B4407" t="s">
        <v>8406</v>
      </c>
      <c r="C4407">
        <v>4.33</v>
      </c>
      <c r="D4407">
        <v>34.22</v>
      </c>
      <c r="E4407">
        <v>1.42</v>
      </c>
      <c r="F4407">
        <v>34.21</v>
      </c>
      <c r="G4407">
        <v>34.22</v>
      </c>
      <c r="H4407">
        <v>21207</v>
      </c>
      <c r="I4407">
        <v>223</v>
      </c>
      <c r="J4407">
        <v>0.12</v>
      </c>
      <c r="K4407">
        <v>5.11</v>
      </c>
      <c r="L4407">
        <v>7221.56</v>
      </c>
      <c r="M4407" t="s">
        <v>8407</v>
      </c>
      <c r="N4407" t="s">
        <v>347</v>
      </c>
      <c r="O4407">
        <v>32.8</v>
      </c>
      <c r="P4407">
        <v>34.66</v>
      </c>
      <c r="Q4407">
        <v>32.8</v>
      </c>
      <c r="R4407">
        <v>32.8</v>
      </c>
      <c r="S4407">
        <v>37.08</v>
      </c>
      <c r="T4407">
        <v>1.18</v>
      </c>
      <c r="U4407" t="s">
        <v>200</v>
      </c>
    </row>
    <row r="4408" spans="1:21">
      <c r="A4408" t="str">
        <f>"688363"</f>
        <v>688363</v>
      </c>
      <c r="B4408" t="s">
        <v>8408</v>
      </c>
      <c r="C4408">
        <v>-0.75</v>
      </c>
      <c r="D4408">
        <v>164.65</v>
      </c>
      <c r="E4408">
        <v>-1.25</v>
      </c>
      <c r="F4408">
        <v>164.65</v>
      </c>
      <c r="G4408">
        <v>164.68</v>
      </c>
      <c r="H4408">
        <v>15576</v>
      </c>
      <c r="I4408">
        <v>180</v>
      </c>
      <c r="J4408">
        <v>0</v>
      </c>
      <c r="K4408">
        <v>1.64</v>
      </c>
      <c r="L4408">
        <v>25708.41</v>
      </c>
      <c r="M4408" t="s">
        <v>8409</v>
      </c>
      <c r="N4408" t="s">
        <v>231</v>
      </c>
      <c r="O4408">
        <v>165.61</v>
      </c>
      <c r="P4408">
        <v>166.9</v>
      </c>
      <c r="Q4408">
        <v>164.1</v>
      </c>
      <c r="R4408">
        <v>165.9</v>
      </c>
      <c r="S4408">
        <v>106.74</v>
      </c>
      <c r="T4408">
        <v>0.63</v>
      </c>
      <c r="U4408" t="s">
        <v>221</v>
      </c>
    </row>
    <row r="4409" spans="1:21">
      <c r="A4409" t="str">
        <f>"688365"</f>
        <v>688365</v>
      </c>
      <c r="B4409" t="s">
        <v>8410</v>
      </c>
      <c r="C4409">
        <v>2.88</v>
      </c>
      <c r="D4409">
        <v>14.28</v>
      </c>
      <c r="E4409">
        <v>0.4</v>
      </c>
      <c r="F4409">
        <v>14.27</v>
      </c>
      <c r="G4409">
        <v>14.28</v>
      </c>
      <c r="H4409">
        <v>20806</v>
      </c>
      <c r="I4409">
        <v>176</v>
      </c>
      <c r="J4409">
        <v>0.07</v>
      </c>
      <c r="K4409">
        <v>1.23</v>
      </c>
      <c r="L4409">
        <v>2957.94</v>
      </c>
      <c r="M4409" t="s">
        <v>8411</v>
      </c>
      <c r="N4409" t="s">
        <v>30</v>
      </c>
      <c r="O4409">
        <v>14.01</v>
      </c>
      <c r="P4409">
        <v>14.39</v>
      </c>
      <c r="Q4409">
        <v>13.93</v>
      </c>
      <c r="R4409">
        <v>13.88</v>
      </c>
      <c r="S4409" t="s">
        <v>40</v>
      </c>
      <c r="T4409">
        <v>1.03</v>
      </c>
      <c r="U4409" t="s">
        <v>200</v>
      </c>
    </row>
    <row r="4410" spans="1:21">
      <c r="A4410" t="str">
        <f>"688366"</f>
        <v>688366</v>
      </c>
      <c r="B4410" t="s">
        <v>8412</v>
      </c>
      <c r="C4410">
        <v>-1.61</v>
      </c>
      <c r="D4410">
        <v>125.84</v>
      </c>
      <c r="E4410">
        <v>-2.06</v>
      </c>
      <c r="F4410">
        <v>125.84</v>
      </c>
      <c r="G4410">
        <v>125.85</v>
      </c>
      <c r="H4410">
        <v>11358</v>
      </c>
      <c r="I4410">
        <v>149</v>
      </c>
      <c r="J4410">
        <v>-0.05</v>
      </c>
      <c r="K4410">
        <v>2</v>
      </c>
      <c r="L4410">
        <v>14342.82</v>
      </c>
      <c r="M4410" t="s">
        <v>8413</v>
      </c>
      <c r="N4410" t="s">
        <v>231</v>
      </c>
      <c r="O4410">
        <v>127.89</v>
      </c>
      <c r="P4410">
        <v>129.42</v>
      </c>
      <c r="Q4410">
        <v>125</v>
      </c>
      <c r="R4410">
        <v>127.9</v>
      </c>
      <c r="S4410">
        <v>53.44</v>
      </c>
      <c r="T4410">
        <v>0.59</v>
      </c>
      <c r="U4410" t="s">
        <v>848</v>
      </c>
    </row>
    <row r="4411" spans="1:21">
      <c r="A4411" t="str">
        <f>"688367"</f>
        <v>688367</v>
      </c>
      <c r="B4411" t="s">
        <v>8414</v>
      </c>
      <c r="C4411">
        <v>2.8</v>
      </c>
      <c r="D4411">
        <v>21.3</v>
      </c>
      <c r="E4411">
        <v>0.58</v>
      </c>
      <c r="F4411">
        <v>21.29</v>
      </c>
      <c r="G4411">
        <v>21.3</v>
      </c>
      <c r="H4411">
        <v>8526</v>
      </c>
      <c r="I4411">
        <v>414</v>
      </c>
      <c r="J4411">
        <v>0.05</v>
      </c>
      <c r="K4411">
        <v>4.09</v>
      </c>
      <c r="L4411">
        <v>1800.15</v>
      </c>
      <c r="M4411" t="s">
        <v>2513</v>
      </c>
      <c r="N4411" t="s">
        <v>43</v>
      </c>
      <c r="O4411">
        <v>20.79</v>
      </c>
      <c r="P4411">
        <v>21.3</v>
      </c>
      <c r="Q4411">
        <v>20.78</v>
      </c>
      <c r="R4411">
        <v>20.72</v>
      </c>
      <c r="S4411">
        <v>59.23</v>
      </c>
      <c r="T4411">
        <v>1.04</v>
      </c>
      <c r="U4411" t="s">
        <v>193</v>
      </c>
    </row>
    <row r="4412" spans="1:21">
      <c r="A4412" t="str">
        <f>"688368"</f>
        <v>688368</v>
      </c>
      <c r="B4412" t="s">
        <v>8415</v>
      </c>
      <c r="C4412">
        <v>0.41</v>
      </c>
      <c r="D4412">
        <v>316.3</v>
      </c>
      <c r="E4412">
        <v>1.3</v>
      </c>
      <c r="F4412">
        <v>316.24</v>
      </c>
      <c r="G4412">
        <v>316.3</v>
      </c>
      <c r="H4412">
        <v>3201</v>
      </c>
      <c r="I4412">
        <v>17</v>
      </c>
      <c r="J4412">
        <v>-0.04</v>
      </c>
      <c r="K4412">
        <v>1.96</v>
      </c>
      <c r="L4412">
        <v>10058.41</v>
      </c>
      <c r="M4412" t="s">
        <v>8416</v>
      </c>
      <c r="N4412" t="s">
        <v>1246</v>
      </c>
      <c r="O4412">
        <v>315</v>
      </c>
      <c r="P4412">
        <v>318.03</v>
      </c>
      <c r="Q4412">
        <v>310</v>
      </c>
      <c r="R4412">
        <v>315</v>
      </c>
      <c r="S4412">
        <v>25.66</v>
      </c>
      <c r="T4412">
        <v>0.74</v>
      </c>
      <c r="U4412" t="s">
        <v>848</v>
      </c>
    </row>
    <row r="4413" spans="1:21">
      <c r="A4413" t="str">
        <f>"688369"</f>
        <v>688369</v>
      </c>
      <c r="B4413" t="s">
        <v>8417</v>
      </c>
      <c r="C4413">
        <v>0.74</v>
      </c>
      <c r="D4413">
        <v>61.11</v>
      </c>
      <c r="E4413">
        <v>0.45</v>
      </c>
      <c r="F4413">
        <v>61.11</v>
      </c>
      <c r="G4413">
        <v>61.24</v>
      </c>
      <c r="H4413">
        <v>4298</v>
      </c>
      <c r="I4413">
        <v>9</v>
      </c>
      <c r="J4413">
        <v>0.02</v>
      </c>
      <c r="K4413">
        <v>0.73</v>
      </c>
      <c r="L4413">
        <v>2623.14</v>
      </c>
      <c r="M4413" t="s">
        <v>8418</v>
      </c>
      <c r="N4413" t="s">
        <v>30</v>
      </c>
      <c r="O4413">
        <v>60.33</v>
      </c>
      <c r="P4413">
        <v>61.48</v>
      </c>
      <c r="Q4413">
        <v>60.33</v>
      </c>
      <c r="R4413">
        <v>60.66</v>
      </c>
      <c r="S4413">
        <v>52.95</v>
      </c>
      <c r="T4413">
        <v>0.85</v>
      </c>
      <c r="U4413" t="s">
        <v>44</v>
      </c>
    </row>
    <row r="4414" spans="1:21">
      <c r="A4414" t="str">
        <f>"688377"</f>
        <v>688377</v>
      </c>
      <c r="B4414" t="s">
        <v>8419</v>
      </c>
      <c r="C4414">
        <v>3.21</v>
      </c>
      <c r="D4414">
        <v>16.4</v>
      </c>
      <c r="E4414">
        <v>0.51</v>
      </c>
      <c r="F4414">
        <v>16.39</v>
      </c>
      <c r="G4414">
        <v>16.4</v>
      </c>
      <c r="H4414">
        <v>16029</v>
      </c>
      <c r="I4414">
        <v>588</v>
      </c>
      <c r="J4414">
        <v>-0.23</v>
      </c>
      <c r="K4414">
        <v>1.49</v>
      </c>
      <c r="L4414">
        <v>2631.3</v>
      </c>
      <c r="M4414" t="s">
        <v>2924</v>
      </c>
      <c r="N4414" t="s">
        <v>324</v>
      </c>
      <c r="O4414">
        <v>15.84</v>
      </c>
      <c r="P4414">
        <v>16.68</v>
      </c>
      <c r="Q4414">
        <v>15.83</v>
      </c>
      <c r="R4414">
        <v>15.89</v>
      </c>
      <c r="S4414">
        <v>86.05</v>
      </c>
      <c r="T4414">
        <v>1.21</v>
      </c>
      <c r="U4414" t="s">
        <v>102</v>
      </c>
    </row>
    <row r="4415" spans="1:21">
      <c r="A4415" t="str">
        <f>"688378"</f>
        <v>688378</v>
      </c>
      <c r="B4415" t="s">
        <v>8420</v>
      </c>
      <c r="C4415">
        <v>1.71</v>
      </c>
      <c r="D4415">
        <v>73.78</v>
      </c>
      <c r="E4415">
        <v>1.24</v>
      </c>
      <c r="F4415">
        <v>73.78</v>
      </c>
      <c r="G4415">
        <v>73.82</v>
      </c>
      <c r="H4415">
        <v>8657</v>
      </c>
      <c r="I4415">
        <v>47</v>
      </c>
      <c r="J4415">
        <v>0.27</v>
      </c>
      <c r="K4415">
        <v>1.88</v>
      </c>
      <c r="L4415">
        <v>6300.89</v>
      </c>
      <c r="M4415" t="s">
        <v>8421</v>
      </c>
      <c r="N4415" t="s">
        <v>324</v>
      </c>
      <c r="O4415">
        <v>72.5</v>
      </c>
      <c r="P4415">
        <v>74.36</v>
      </c>
      <c r="Q4415">
        <v>71.31</v>
      </c>
      <c r="R4415">
        <v>72.54</v>
      </c>
      <c r="S4415">
        <v>27.55</v>
      </c>
      <c r="T4415">
        <v>0.62</v>
      </c>
      <c r="U4415" t="s">
        <v>92</v>
      </c>
    </row>
    <row r="4416" spans="1:21">
      <c r="A4416" t="str">
        <f>"688379"</f>
        <v>688379</v>
      </c>
      <c r="B4416" t="s">
        <v>8422</v>
      </c>
      <c r="C4416">
        <v>1.96</v>
      </c>
      <c r="D4416">
        <v>20.76</v>
      </c>
      <c r="E4416">
        <v>0.4</v>
      </c>
      <c r="F4416">
        <v>20.76</v>
      </c>
      <c r="G4416">
        <v>20.77</v>
      </c>
      <c r="H4416">
        <v>10128</v>
      </c>
      <c r="I4416">
        <v>156</v>
      </c>
      <c r="J4416">
        <v>-0.42</v>
      </c>
      <c r="K4416">
        <v>2.53</v>
      </c>
      <c r="L4416">
        <v>2096.51</v>
      </c>
      <c r="M4416" t="s">
        <v>8423</v>
      </c>
      <c r="N4416" t="s">
        <v>523</v>
      </c>
      <c r="O4416">
        <v>20.38</v>
      </c>
      <c r="P4416">
        <v>21.09</v>
      </c>
      <c r="Q4416">
        <v>20.27</v>
      </c>
      <c r="R4416">
        <v>20.36</v>
      </c>
      <c r="S4416">
        <v>33.46</v>
      </c>
      <c r="T4416">
        <v>1.28</v>
      </c>
      <c r="U4416" t="s">
        <v>200</v>
      </c>
    </row>
    <row r="4417" spans="1:21">
      <c r="A4417" t="str">
        <f>"688383"</f>
        <v>688383</v>
      </c>
      <c r="B4417" t="s">
        <v>8424</v>
      </c>
      <c r="C4417">
        <v>5.79</v>
      </c>
      <c r="D4417">
        <v>124.59</v>
      </c>
      <c r="E4417">
        <v>6.82</v>
      </c>
      <c r="F4417">
        <v>124.59</v>
      </c>
      <c r="G4417">
        <v>124.92</v>
      </c>
      <c r="H4417">
        <v>15805</v>
      </c>
      <c r="I4417">
        <v>122</v>
      </c>
      <c r="J4417">
        <v>-0.49</v>
      </c>
      <c r="K4417">
        <v>6.46</v>
      </c>
      <c r="L4417">
        <v>19582.46</v>
      </c>
      <c r="M4417" t="s">
        <v>8425</v>
      </c>
      <c r="N4417" t="s">
        <v>324</v>
      </c>
      <c r="O4417">
        <v>116.52</v>
      </c>
      <c r="P4417">
        <v>128.32</v>
      </c>
      <c r="Q4417">
        <v>116</v>
      </c>
      <c r="R4417">
        <v>117.77</v>
      </c>
      <c r="S4417">
        <v>60.82</v>
      </c>
      <c r="T4417">
        <v>1.34</v>
      </c>
      <c r="U4417" t="s">
        <v>24</v>
      </c>
    </row>
    <row r="4418" spans="1:21">
      <c r="A4418" t="str">
        <f>"688385"</f>
        <v>688385</v>
      </c>
      <c r="B4418" t="s">
        <v>8426</v>
      </c>
      <c r="C4418">
        <v>-1.1</v>
      </c>
      <c r="D4418">
        <v>49.51</v>
      </c>
      <c r="E4418">
        <v>-0.55</v>
      </c>
      <c r="F4418">
        <v>49.51</v>
      </c>
      <c r="G4418">
        <v>49.53</v>
      </c>
      <c r="H4418">
        <v>33347</v>
      </c>
      <c r="I4418">
        <v>479</v>
      </c>
      <c r="J4418">
        <v>0.1</v>
      </c>
      <c r="K4418">
        <v>4.18</v>
      </c>
      <c r="L4418">
        <v>16696.59</v>
      </c>
      <c r="M4418" t="s">
        <v>8427</v>
      </c>
      <c r="N4418" t="s">
        <v>1246</v>
      </c>
      <c r="O4418">
        <v>49.9</v>
      </c>
      <c r="P4418">
        <v>50.98</v>
      </c>
      <c r="Q4418">
        <v>49.42</v>
      </c>
      <c r="R4418">
        <v>50.06</v>
      </c>
      <c r="S4418">
        <v>77.9</v>
      </c>
      <c r="T4418">
        <v>0.64</v>
      </c>
      <c r="U4418" t="s">
        <v>848</v>
      </c>
    </row>
    <row r="4419" spans="1:21">
      <c r="A4419" t="str">
        <f>"688386"</f>
        <v>688386</v>
      </c>
      <c r="B4419" t="s">
        <v>8428</v>
      </c>
      <c r="C4419">
        <v>-0.47</v>
      </c>
      <c r="D4419">
        <v>59.25</v>
      </c>
      <c r="E4419">
        <v>-0.28</v>
      </c>
      <c r="F4419">
        <v>59.23</v>
      </c>
      <c r="G4419">
        <v>59.25</v>
      </c>
      <c r="H4419">
        <v>3028</v>
      </c>
      <c r="I4419">
        <v>9</v>
      </c>
      <c r="J4419">
        <v>0.1</v>
      </c>
      <c r="K4419">
        <v>0.65</v>
      </c>
      <c r="L4419">
        <v>1811.29</v>
      </c>
      <c r="M4419" t="s">
        <v>8429</v>
      </c>
      <c r="N4419" t="s">
        <v>309</v>
      </c>
      <c r="O4419">
        <v>59.53</v>
      </c>
      <c r="P4419">
        <v>61.46</v>
      </c>
      <c r="Q4419">
        <v>59.17</v>
      </c>
      <c r="R4419">
        <v>59.53</v>
      </c>
      <c r="S4419">
        <v>71.64</v>
      </c>
      <c r="T4419">
        <v>0.5</v>
      </c>
      <c r="U4419" t="s">
        <v>102</v>
      </c>
    </row>
    <row r="4420" spans="1:21">
      <c r="A4420" t="str">
        <f>"688388"</f>
        <v>688388</v>
      </c>
      <c r="B4420" t="s">
        <v>8430</v>
      </c>
      <c r="C4420">
        <v>5.19</v>
      </c>
      <c r="D4420">
        <v>146.21</v>
      </c>
      <c r="E4420">
        <v>7.22</v>
      </c>
      <c r="F4420">
        <v>146.21</v>
      </c>
      <c r="G4420">
        <v>146.24</v>
      </c>
      <c r="H4420">
        <v>56926</v>
      </c>
      <c r="I4420">
        <v>476</v>
      </c>
      <c r="J4420">
        <v>0.16</v>
      </c>
      <c r="K4420">
        <v>3.33</v>
      </c>
      <c r="L4420">
        <v>83089.05</v>
      </c>
      <c r="M4420" t="s">
        <v>8431</v>
      </c>
      <c r="N4420" t="s">
        <v>526</v>
      </c>
      <c r="O4420">
        <v>139.34</v>
      </c>
      <c r="P4420">
        <v>149.5</v>
      </c>
      <c r="Q4420">
        <v>139.34</v>
      </c>
      <c r="R4420">
        <v>138.99</v>
      </c>
      <c r="S4420">
        <v>65.14</v>
      </c>
      <c r="T4420">
        <v>1.11</v>
      </c>
      <c r="U4420" t="s">
        <v>183</v>
      </c>
    </row>
    <row r="4421" spans="1:21">
      <c r="A4421" t="str">
        <f>"688389"</f>
        <v>688389</v>
      </c>
      <c r="B4421" t="s">
        <v>8432</v>
      </c>
      <c r="C4421">
        <v>0.89</v>
      </c>
      <c r="D4421">
        <v>22.61</v>
      </c>
      <c r="E4421">
        <v>0.2</v>
      </c>
      <c r="F4421">
        <v>22.61</v>
      </c>
      <c r="G4421">
        <v>22.66</v>
      </c>
      <c r="H4421">
        <v>19656</v>
      </c>
      <c r="I4421">
        <v>670</v>
      </c>
      <c r="J4421">
        <v>-0.3</v>
      </c>
      <c r="K4421">
        <v>1.25</v>
      </c>
      <c r="L4421">
        <v>4455.09</v>
      </c>
      <c r="M4421" t="s">
        <v>8433</v>
      </c>
      <c r="N4421" t="s">
        <v>186</v>
      </c>
      <c r="O4421">
        <v>22.82</v>
      </c>
      <c r="P4421">
        <v>22.93</v>
      </c>
      <c r="Q4421">
        <v>22.38</v>
      </c>
      <c r="R4421">
        <v>22.41</v>
      </c>
      <c r="S4421">
        <v>58.57</v>
      </c>
      <c r="T4421">
        <v>0.54</v>
      </c>
      <c r="U4421" t="s">
        <v>24</v>
      </c>
    </row>
    <row r="4422" spans="1:21">
      <c r="A4422" t="str">
        <f>"688390"</f>
        <v>688390</v>
      </c>
      <c r="B4422" t="s">
        <v>8434</v>
      </c>
      <c r="C4422">
        <v>7.36</v>
      </c>
      <c r="D4422">
        <v>442.33</v>
      </c>
      <c r="E4422">
        <v>30.33</v>
      </c>
      <c r="F4422">
        <v>442.33</v>
      </c>
      <c r="G4422">
        <v>442.4</v>
      </c>
      <c r="H4422">
        <v>11538</v>
      </c>
      <c r="I4422">
        <v>93</v>
      </c>
      <c r="J4422">
        <v>0.58</v>
      </c>
      <c r="K4422">
        <v>2.31</v>
      </c>
      <c r="L4422">
        <v>49786.43</v>
      </c>
      <c r="M4422" t="s">
        <v>8435</v>
      </c>
      <c r="N4422" t="s">
        <v>47</v>
      </c>
      <c r="O4422">
        <v>406.98</v>
      </c>
      <c r="P4422">
        <v>444.87</v>
      </c>
      <c r="Q4422">
        <v>406.01</v>
      </c>
      <c r="R4422">
        <v>412</v>
      </c>
      <c r="S4422">
        <v>135.71</v>
      </c>
      <c r="T4422">
        <v>1.14</v>
      </c>
      <c r="U4422" t="s">
        <v>102</v>
      </c>
    </row>
    <row r="4423" spans="1:21">
      <c r="A4423" t="str">
        <f>"688393"</f>
        <v>688393</v>
      </c>
      <c r="B4423" t="s">
        <v>8436</v>
      </c>
      <c r="C4423">
        <v>0.73</v>
      </c>
      <c r="D4423">
        <v>28.98</v>
      </c>
      <c r="E4423">
        <v>0.21</v>
      </c>
      <c r="F4423">
        <v>28.98</v>
      </c>
      <c r="G4423">
        <v>28.99</v>
      </c>
      <c r="H4423">
        <v>2642</v>
      </c>
      <c r="I4423">
        <v>12</v>
      </c>
      <c r="J4423">
        <v>0</v>
      </c>
      <c r="K4423">
        <v>0.45</v>
      </c>
      <c r="L4423">
        <v>764.35</v>
      </c>
      <c r="M4423" t="s">
        <v>8437</v>
      </c>
      <c r="N4423" t="s">
        <v>186</v>
      </c>
      <c r="O4423">
        <v>28.84</v>
      </c>
      <c r="P4423">
        <v>29.11</v>
      </c>
      <c r="Q4423">
        <v>28.72</v>
      </c>
      <c r="R4423">
        <v>28.77</v>
      </c>
      <c r="S4423">
        <v>27.23</v>
      </c>
      <c r="T4423">
        <v>0.92</v>
      </c>
      <c r="U4423" t="s">
        <v>183</v>
      </c>
    </row>
    <row r="4424" spans="1:21">
      <c r="A4424" t="str">
        <f>"688395"</f>
        <v>688395</v>
      </c>
      <c r="B4424" t="s">
        <v>8438</v>
      </c>
      <c r="C4424">
        <v>1.31</v>
      </c>
      <c r="D4424">
        <v>30.24</v>
      </c>
      <c r="E4424">
        <v>0.39</v>
      </c>
      <c r="F4424">
        <v>30.24</v>
      </c>
      <c r="G4424">
        <v>30.25</v>
      </c>
      <c r="H4424">
        <v>12973</v>
      </c>
      <c r="I4424">
        <v>112</v>
      </c>
      <c r="J4424">
        <v>0.1</v>
      </c>
      <c r="K4424">
        <v>7.05</v>
      </c>
      <c r="L4424">
        <v>3968.41</v>
      </c>
      <c r="M4424" t="s">
        <v>581</v>
      </c>
      <c r="N4424" t="s">
        <v>47</v>
      </c>
      <c r="O4424">
        <v>29.82</v>
      </c>
      <c r="P4424">
        <v>31.49</v>
      </c>
      <c r="Q4424">
        <v>29.63</v>
      </c>
      <c r="R4424">
        <v>29.85</v>
      </c>
      <c r="S4424">
        <v>32.84</v>
      </c>
      <c r="T4424">
        <v>1.39</v>
      </c>
      <c r="U4424" t="s">
        <v>24</v>
      </c>
    </row>
    <row r="4425" spans="1:21">
      <c r="A4425" t="str">
        <f>"688396"</f>
        <v>688396</v>
      </c>
      <c r="B4425" t="s">
        <v>8439</v>
      </c>
      <c r="C4425">
        <v>1.09</v>
      </c>
      <c r="D4425">
        <v>65.2</v>
      </c>
      <c r="E4425">
        <v>0.7</v>
      </c>
      <c r="F4425">
        <v>65.19</v>
      </c>
      <c r="G4425">
        <v>65.2</v>
      </c>
      <c r="H4425">
        <v>80211</v>
      </c>
      <c r="I4425">
        <v>945</v>
      </c>
      <c r="J4425">
        <v>-0.01</v>
      </c>
      <c r="K4425">
        <v>1.85</v>
      </c>
      <c r="L4425">
        <v>52172.75</v>
      </c>
      <c r="M4425" t="s">
        <v>8440</v>
      </c>
      <c r="N4425" t="s">
        <v>1246</v>
      </c>
      <c r="O4425">
        <v>64.5</v>
      </c>
      <c r="P4425">
        <v>65.58</v>
      </c>
      <c r="Q4425">
        <v>64.3</v>
      </c>
      <c r="R4425">
        <v>64.5</v>
      </c>
      <c r="S4425">
        <v>38.34</v>
      </c>
      <c r="T4425">
        <v>0.51</v>
      </c>
      <c r="U4425" t="s">
        <v>102</v>
      </c>
    </row>
    <row r="4426" spans="1:21">
      <c r="A4426" t="str">
        <f>"688398"</f>
        <v>688398</v>
      </c>
      <c r="B4426" t="s">
        <v>8441</v>
      </c>
      <c r="C4426">
        <v>-2.04</v>
      </c>
      <c r="D4426">
        <v>48</v>
      </c>
      <c r="E4426">
        <v>-1</v>
      </c>
      <c r="F4426">
        <v>47.91</v>
      </c>
      <c r="G4426">
        <v>48</v>
      </c>
      <c r="H4426">
        <v>8118</v>
      </c>
      <c r="I4426">
        <v>34</v>
      </c>
      <c r="J4426">
        <v>-0.61</v>
      </c>
      <c r="K4426">
        <v>2.25</v>
      </c>
      <c r="L4426">
        <v>3909.13</v>
      </c>
      <c r="M4426" t="s">
        <v>8442</v>
      </c>
      <c r="N4426" t="s">
        <v>750</v>
      </c>
      <c r="O4426">
        <v>48.68</v>
      </c>
      <c r="P4426">
        <v>48.97</v>
      </c>
      <c r="Q4426">
        <v>47.4</v>
      </c>
      <c r="R4426">
        <v>49</v>
      </c>
      <c r="S4426">
        <v>29.13</v>
      </c>
      <c r="T4426">
        <v>0.99</v>
      </c>
      <c r="U4426" t="s">
        <v>339</v>
      </c>
    </row>
    <row r="4427" spans="1:21">
      <c r="A4427" t="str">
        <f>"688399"</f>
        <v>688399</v>
      </c>
      <c r="B4427" t="s">
        <v>8443</v>
      </c>
      <c r="C4427">
        <v>-0.73</v>
      </c>
      <c r="D4427">
        <v>119.97</v>
      </c>
      <c r="E4427">
        <v>-0.88</v>
      </c>
      <c r="F4427">
        <v>119.94</v>
      </c>
      <c r="G4427">
        <v>119.97</v>
      </c>
      <c r="H4427">
        <v>4407</v>
      </c>
      <c r="I4427">
        <v>309</v>
      </c>
      <c r="J4427">
        <v>-0.17</v>
      </c>
      <c r="K4427">
        <v>1.28</v>
      </c>
      <c r="L4427">
        <v>5297</v>
      </c>
      <c r="M4427" t="s">
        <v>8444</v>
      </c>
      <c r="N4427" t="s">
        <v>186</v>
      </c>
      <c r="O4427">
        <v>120.66</v>
      </c>
      <c r="P4427">
        <v>121.88</v>
      </c>
      <c r="Q4427">
        <v>119.1</v>
      </c>
      <c r="R4427">
        <v>120.85</v>
      </c>
      <c r="S4427">
        <v>5.29</v>
      </c>
      <c r="T4427">
        <v>0.59</v>
      </c>
      <c r="U4427" t="s">
        <v>102</v>
      </c>
    </row>
    <row r="4428" spans="1:21">
      <c r="A4428" t="str">
        <f>"688408"</f>
        <v>688408</v>
      </c>
      <c r="B4428" t="s">
        <v>8445</v>
      </c>
      <c r="C4428">
        <v>8.95</v>
      </c>
      <c r="D4428">
        <v>237.5</v>
      </c>
      <c r="E4428">
        <v>19.52</v>
      </c>
      <c r="F4428">
        <v>237.22</v>
      </c>
      <c r="G4428">
        <v>237.5</v>
      </c>
      <c r="H4428">
        <v>28059</v>
      </c>
      <c r="I4428">
        <v>83</v>
      </c>
      <c r="J4428">
        <v>0.21</v>
      </c>
      <c r="K4428">
        <v>3.91</v>
      </c>
      <c r="L4428">
        <v>66116.06</v>
      </c>
      <c r="M4428" t="s">
        <v>8446</v>
      </c>
      <c r="N4428" t="s">
        <v>47</v>
      </c>
      <c r="O4428">
        <v>220.98</v>
      </c>
      <c r="P4428">
        <v>242.18</v>
      </c>
      <c r="Q4428">
        <v>217.03</v>
      </c>
      <c r="R4428">
        <v>217.98</v>
      </c>
      <c r="S4428">
        <v>461.98</v>
      </c>
      <c r="T4428">
        <v>1.86</v>
      </c>
      <c r="U4428" t="s">
        <v>102</v>
      </c>
    </row>
    <row r="4429" spans="1:21">
      <c r="A4429" t="str">
        <f>"688418"</f>
        <v>688418</v>
      </c>
      <c r="B4429" t="s">
        <v>8447</v>
      </c>
      <c r="C4429">
        <v>1.39</v>
      </c>
      <c r="D4429">
        <v>14.56</v>
      </c>
      <c r="E4429">
        <v>0.2</v>
      </c>
      <c r="F4429">
        <v>14.56</v>
      </c>
      <c r="G4429">
        <v>14.58</v>
      </c>
      <c r="H4429">
        <v>9161</v>
      </c>
      <c r="I4429">
        <v>409</v>
      </c>
      <c r="J4429">
        <v>-0.2</v>
      </c>
      <c r="K4429">
        <v>0.7</v>
      </c>
      <c r="L4429">
        <v>1336.78</v>
      </c>
      <c r="M4429" t="s">
        <v>8448</v>
      </c>
      <c r="N4429" t="s">
        <v>153</v>
      </c>
      <c r="O4429">
        <v>14.5</v>
      </c>
      <c r="P4429">
        <v>14.81</v>
      </c>
      <c r="Q4429">
        <v>14.25</v>
      </c>
      <c r="R4429">
        <v>14.36</v>
      </c>
      <c r="S4429" t="s">
        <v>40</v>
      </c>
      <c r="T4429">
        <v>1.19</v>
      </c>
      <c r="U4429" t="s">
        <v>24</v>
      </c>
    </row>
    <row r="4430" spans="1:21">
      <c r="A4430" t="str">
        <f>"688425"</f>
        <v>688425</v>
      </c>
      <c r="B4430" t="s">
        <v>8449</v>
      </c>
      <c r="C4430">
        <v>0</v>
      </c>
      <c r="D4430">
        <v>4.95</v>
      </c>
      <c r="E4430">
        <v>0</v>
      </c>
      <c r="F4430">
        <v>4.95</v>
      </c>
      <c r="G4430">
        <v>4.96</v>
      </c>
      <c r="H4430">
        <v>126401</v>
      </c>
      <c r="I4430">
        <v>2013</v>
      </c>
      <c r="J4430">
        <v>-0.39</v>
      </c>
      <c r="K4430">
        <v>1.09</v>
      </c>
      <c r="L4430">
        <v>6246.6</v>
      </c>
      <c r="M4430" t="s">
        <v>8450</v>
      </c>
      <c r="N4430" t="s">
        <v>324</v>
      </c>
      <c r="O4430">
        <v>4.94</v>
      </c>
      <c r="P4430">
        <v>4.98</v>
      </c>
      <c r="Q4430">
        <v>4.92</v>
      </c>
      <c r="R4430">
        <v>4.95</v>
      </c>
      <c r="S4430">
        <v>14.76</v>
      </c>
      <c r="T4430">
        <v>1.08</v>
      </c>
      <c r="U4430" t="s">
        <v>204</v>
      </c>
    </row>
    <row r="4431" spans="1:21">
      <c r="A4431" t="str">
        <f>"688456"</f>
        <v>688456</v>
      </c>
      <c r="B4431" t="s">
        <v>8451</v>
      </c>
      <c r="C4431">
        <v>1.2</v>
      </c>
      <c r="D4431">
        <v>29.42</v>
      </c>
      <c r="E4431">
        <v>0.35</v>
      </c>
      <c r="F4431">
        <v>29.42</v>
      </c>
      <c r="G4431">
        <v>29.43</v>
      </c>
      <c r="H4431">
        <v>12741</v>
      </c>
      <c r="I4431">
        <v>174</v>
      </c>
      <c r="J4431">
        <v>0.03</v>
      </c>
      <c r="K4431">
        <v>4.47</v>
      </c>
      <c r="L4431">
        <v>3750.41</v>
      </c>
      <c r="M4431" t="s">
        <v>8452</v>
      </c>
      <c r="N4431" t="s">
        <v>526</v>
      </c>
      <c r="O4431">
        <v>29.31</v>
      </c>
      <c r="P4431">
        <v>29.87</v>
      </c>
      <c r="Q4431">
        <v>29.07</v>
      </c>
      <c r="R4431">
        <v>29.07</v>
      </c>
      <c r="S4431">
        <v>46.49</v>
      </c>
      <c r="T4431">
        <v>0.83</v>
      </c>
      <c r="U4431" t="s">
        <v>44</v>
      </c>
    </row>
    <row r="4432" spans="1:21">
      <c r="A4432" t="str">
        <f>"688466"</f>
        <v>688466</v>
      </c>
      <c r="B4432" t="s">
        <v>8453</v>
      </c>
      <c r="C4432">
        <v>0.87</v>
      </c>
      <c r="D4432">
        <v>20.88</v>
      </c>
      <c r="E4432">
        <v>0.18</v>
      </c>
      <c r="F4432">
        <v>20.87</v>
      </c>
      <c r="G4432">
        <v>20.88</v>
      </c>
      <c r="H4432">
        <v>3961</v>
      </c>
      <c r="I4432">
        <v>128</v>
      </c>
      <c r="J4432">
        <v>0</v>
      </c>
      <c r="K4432">
        <v>0.87</v>
      </c>
      <c r="L4432">
        <v>825.94</v>
      </c>
      <c r="M4432" t="s">
        <v>4168</v>
      </c>
      <c r="N4432" t="s">
        <v>33</v>
      </c>
      <c r="O4432">
        <v>20.75</v>
      </c>
      <c r="P4432">
        <v>21.06</v>
      </c>
      <c r="Q4432">
        <v>20.61</v>
      </c>
      <c r="R4432">
        <v>20.7</v>
      </c>
      <c r="S4432">
        <v>45.3</v>
      </c>
      <c r="T4432">
        <v>0.59</v>
      </c>
      <c r="U4432" t="s">
        <v>44</v>
      </c>
    </row>
    <row r="4433" spans="1:21">
      <c r="A4433" t="str">
        <f>"688468"</f>
        <v>688468</v>
      </c>
      <c r="B4433" t="s">
        <v>8454</v>
      </c>
      <c r="C4433">
        <v>0</v>
      </c>
      <c r="D4433">
        <v>17.02</v>
      </c>
      <c r="E4433">
        <v>0</v>
      </c>
      <c r="F4433">
        <v>17.02</v>
      </c>
      <c r="G4433">
        <v>17.04</v>
      </c>
      <c r="H4433">
        <v>5863</v>
      </c>
      <c r="I4433">
        <v>138</v>
      </c>
      <c r="J4433">
        <v>-0.11</v>
      </c>
      <c r="K4433">
        <v>1.63</v>
      </c>
      <c r="L4433">
        <v>999.73</v>
      </c>
      <c r="M4433" t="s">
        <v>8455</v>
      </c>
      <c r="N4433" t="s">
        <v>186</v>
      </c>
      <c r="O4433">
        <v>16.99</v>
      </c>
      <c r="P4433">
        <v>17.19</v>
      </c>
      <c r="Q4433">
        <v>16.88</v>
      </c>
      <c r="R4433">
        <v>17.02</v>
      </c>
      <c r="S4433">
        <v>47.48</v>
      </c>
      <c r="T4433">
        <v>0.53</v>
      </c>
      <c r="U4433" t="s">
        <v>44</v>
      </c>
    </row>
    <row r="4434" spans="1:21">
      <c r="A4434" t="str">
        <f>"688488"</f>
        <v>688488</v>
      </c>
      <c r="B4434" t="s">
        <v>8456</v>
      </c>
      <c r="C4434">
        <v>0.76</v>
      </c>
      <c r="D4434">
        <v>15.98</v>
      </c>
      <c r="E4434">
        <v>0.12</v>
      </c>
      <c r="F4434">
        <v>15.98</v>
      </c>
      <c r="G4434">
        <v>16</v>
      </c>
      <c r="H4434">
        <v>7369</v>
      </c>
      <c r="I4434">
        <v>11</v>
      </c>
      <c r="J4434">
        <v>0</v>
      </c>
      <c r="K4434">
        <v>0.35</v>
      </c>
      <c r="L4434">
        <v>1174.44</v>
      </c>
      <c r="M4434" t="s">
        <v>8457</v>
      </c>
      <c r="N4434" t="s">
        <v>231</v>
      </c>
      <c r="O4434">
        <v>15.82</v>
      </c>
      <c r="P4434">
        <v>16.08</v>
      </c>
      <c r="Q4434">
        <v>15.78</v>
      </c>
      <c r="R4434">
        <v>15.86</v>
      </c>
      <c r="S4434">
        <v>758.02</v>
      </c>
      <c r="T4434">
        <v>0.52</v>
      </c>
      <c r="U4434" t="s">
        <v>102</v>
      </c>
    </row>
    <row r="4435" spans="1:21">
      <c r="A4435" t="str">
        <f>"688499"</f>
        <v>688499</v>
      </c>
      <c r="B4435" t="s">
        <v>8458</v>
      </c>
      <c r="C4435">
        <v>-1.67</v>
      </c>
      <c r="D4435">
        <v>283.1</v>
      </c>
      <c r="E4435">
        <v>-4.82</v>
      </c>
      <c r="F4435">
        <v>283.1</v>
      </c>
      <c r="G4435">
        <v>283.18</v>
      </c>
      <c r="H4435">
        <v>7342</v>
      </c>
      <c r="I4435">
        <v>16</v>
      </c>
      <c r="J4435">
        <v>0.1</v>
      </c>
      <c r="K4435">
        <v>4.09</v>
      </c>
      <c r="L4435">
        <v>20634.48</v>
      </c>
      <c r="M4435" t="s">
        <v>8459</v>
      </c>
      <c r="N4435" t="s">
        <v>324</v>
      </c>
      <c r="O4435">
        <v>284.49</v>
      </c>
      <c r="P4435">
        <v>287.96</v>
      </c>
      <c r="Q4435">
        <v>275.98</v>
      </c>
      <c r="R4435">
        <v>287.92</v>
      </c>
      <c r="S4435">
        <v>119.11</v>
      </c>
      <c r="T4435">
        <v>0.99</v>
      </c>
      <c r="U4435" t="s">
        <v>183</v>
      </c>
    </row>
    <row r="4436" spans="1:21">
      <c r="A4436" t="str">
        <f>"688500"</f>
        <v>688500</v>
      </c>
      <c r="B4436" t="s">
        <v>8460</v>
      </c>
      <c r="C4436">
        <v>0.03</v>
      </c>
      <c r="D4436">
        <v>33.88</v>
      </c>
      <c r="E4436">
        <v>0.01</v>
      </c>
      <c r="F4436">
        <v>33.88</v>
      </c>
      <c r="G4436">
        <v>33.89</v>
      </c>
      <c r="H4436">
        <v>2879</v>
      </c>
      <c r="I4436">
        <v>25</v>
      </c>
      <c r="J4436">
        <v>0.21</v>
      </c>
      <c r="K4436">
        <v>0.69</v>
      </c>
      <c r="L4436">
        <v>972.71</v>
      </c>
      <c r="M4436" t="s">
        <v>8461</v>
      </c>
      <c r="N4436" t="s">
        <v>479</v>
      </c>
      <c r="O4436">
        <v>33.86</v>
      </c>
      <c r="P4436">
        <v>33.99</v>
      </c>
      <c r="Q4436">
        <v>33.55</v>
      </c>
      <c r="R4436">
        <v>33.87</v>
      </c>
      <c r="S4436">
        <v>85.71</v>
      </c>
      <c r="T4436">
        <v>0.67</v>
      </c>
      <c r="U4436" t="s">
        <v>44</v>
      </c>
    </row>
    <row r="4437" spans="1:21">
      <c r="A4437" t="str">
        <f>"688501"</f>
        <v>688501</v>
      </c>
      <c r="B4437" t="s">
        <v>8462</v>
      </c>
      <c r="C4437">
        <v>1.36</v>
      </c>
      <c r="D4437">
        <v>16.39</v>
      </c>
      <c r="E4437">
        <v>0.22</v>
      </c>
      <c r="F4437">
        <v>16.39</v>
      </c>
      <c r="G4437">
        <v>16.4</v>
      </c>
      <c r="H4437">
        <v>4270</v>
      </c>
      <c r="I4437">
        <v>30</v>
      </c>
      <c r="J4437">
        <v>0</v>
      </c>
      <c r="K4437">
        <v>1.98</v>
      </c>
      <c r="L4437">
        <v>697.88</v>
      </c>
      <c r="M4437" t="s">
        <v>8463</v>
      </c>
      <c r="N4437" t="s">
        <v>33</v>
      </c>
      <c r="O4437">
        <v>16.15</v>
      </c>
      <c r="P4437">
        <v>16.43</v>
      </c>
      <c r="Q4437">
        <v>16.15</v>
      </c>
      <c r="R4437">
        <v>16.17</v>
      </c>
      <c r="S4437">
        <v>97.26</v>
      </c>
      <c r="T4437">
        <v>0.77</v>
      </c>
      <c r="U4437" t="s">
        <v>221</v>
      </c>
    </row>
    <row r="4438" spans="1:21">
      <c r="A4438" t="str">
        <f>"688505"</f>
        <v>688505</v>
      </c>
      <c r="B4438" t="s">
        <v>8464</v>
      </c>
      <c r="C4438">
        <v>0.36</v>
      </c>
      <c r="D4438">
        <v>14.05</v>
      </c>
      <c r="E4438">
        <v>0.05</v>
      </c>
      <c r="F4438">
        <v>14.05</v>
      </c>
      <c r="G4438">
        <v>14.07</v>
      </c>
      <c r="H4438">
        <v>12006</v>
      </c>
      <c r="I4438">
        <v>100</v>
      </c>
      <c r="J4438">
        <v>0</v>
      </c>
      <c r="K4438">
        <v>0.46</v>
      </c>
      <c r="L4438">
        <v>1685.35</v>
      </c>
      <c r="M4438" t="s">
        <v>1297</v>
      </c>
      <c r="N4438" t="s">
        <v>192</v>
      </c>
      <c r="O4438">
        <v>14</v>
      </c>
      <c r="P4438">
        <v>14.11</v>
      </c>
      <c r="Q4438">
        <v>13.94</v>
      </c>
      <c r="R4438">
        <v>14</v>
      </c>
      <c r="S4438">
        <v>92.66</v>
      </c>
      <c r="T4438">
        <v>0.59</v>
      </c>
      <c r="U4438" t="s">
        <v>848</v>
      </c>
    </row>
    <row r="4439" spans="1:21">
      <c r="A4439" t="str">
        <f>"688508"</f>
        <v>688508</v>
      </c>
      <c r="B4439" t="s">
        <v>8465</v>
      </c>
      <c r="C4439">
        <v>4.46</v>
      </c>
      <c r="D4439">
        <v>144.48</v>
      </c>
      <c r="E4439">
        <v>6.17</v>
      </c>
      <c r="F4439">
        <v>144.48</v>
      </c>
      <c r="G4439">
        <v>144.49</v>
      </c>
      <c r="H4439">
        <v>16942</v>
      </c>
      <c r="I4439">
        <v>100</v>
      </c>
      <c r="J4439">
        <v>-0.01</v>
      </c>
      <c r="K4439">
        <v>2.52</v>
      </c>
      <c r="L4439">
        <v>24490.51</v>
      </c>
      <c r="M4439" t="s">
        <v>8466</v>
      </c>
      <c r="N4439" t="s">
        <v>1246</v>
      </c>
      <c r="O4439">
        <v>138.76</v>
      </c>
      <c r="P4439">
        <v>146.22</v>
      </c>
      <c r="Q4439">
        <v>138.76</v>
      </c>
      <c r="R4439">
        <v>138.31</v>
      </c>
      <c r="S4439">
        <v>94.72</v>
      </c>
      <c r="T4439">
        <v>1.44</v>
      </c>
      <c r="U4439" t="s">
        <v>102</v>
      </c>
    </row>
    <row r="4440" spans="1:21">
      <c r="A4440" t="str">
        <f>"688509"</f>
        <v>688509</v>
      </c>
      <c r="B4440" t="s">
        <v>8467</v>
      </c>
      <c r="C4440">
        <v>0.99</v>
      </c>
      <c r="D4440">
        <v>6.14</v>
      </c>
      <c r="E4440">
        <v>0.06</v>
      </c>
      <c r="F4440">
        <v>6.13</v>
      </c>
      <c r="G4440">
        <v>6.14</v>
      </c>
      <c r="H4440">
        <v>23933</v>
      </c>
      <c r="I4440">
        <v>25</v>
      </c>
      <c r="J4440">
        <v>0</v>
      </c>
      <c r="K4440">
        <v>1.56</v>
      </c>
      <c r="L4440">
        <v>1467.05</v>
      </c>
      <c r="M4440" t="s">
        <v>4824</v>
      </c>
      <c r="N4440" t="s">
        <v>30</v>
      </c>
      <c r="O4440">
        <v>6.05</v>
      </c>
      <c r="P4440">
        <v>6.17</v>
      </c>
      <c r="Q4440">
        <v>6.05</v>
      </c>
      <c r="R4440">
        <v>6.08</v>
      </c>
      <c r="S4440" t="s">
        <v>40</v>
      </c>
      <c r="T4440">
        <v>0.66</v>
      </c>
      <c r="U4440" t="s">
        <v>44</v>
      </c>
    </row>
    <row r="4441" spans="1:21">
      <c r="A4441" t="str">
        <f>"688510"</f>
        <v>688510</v>
      </c>
      <c r="B4441" t="s">
        <v>8468</v>
      </c>
      <c r="C4441">
        <v>0.07</v>
      </c>
      <c r="D4441">
        <v>29.15</v>
      </c>
      <c r="E4441">
        <v>0.02</v>
      </c>
      <c r="F4441">
        <v>29.14</v>
      </c>
      <c r="G4441">
        <v>29.15</v>
      </c>
      <c r="H4441">
        <v>22493</v>
      </c>
      <c r="I4441">
        <v>389</v>
      </c>
      <c r="J4441">
        <v>-0.06</v>
      </c>
      <c r="K4441">
        <v>4.35</v>
      </c>
      <c r="L4441">
        <v>6552.88</v>
      </c>
      <c r="M4441" t="s">
        <v>8469</v>
      </c>
      <c r="N4441" t="s">
        <v>611</v>
      </c>
      <c r="O4441">
        <v>29.12</v>
      </c>
      <c r="P4441">
        <v>29.59</v>
      </c>
      <c r="Q4441">
        <v>28.65</v>
      </c>
      <c r="R4441">
        <v>29.13</v>
      </c>
      <c r="S4441">
        <v>510.38</v>
      </c>
      <c r="T4441">
        <v>0.72</v>
      </c>
      <c r="U4441" t="s">
        <v>102</v>
      </c>
    </row>
    <row r="4442" spans="1:21">
      <c r="A4442" t="str">
        <f>"688511"</f>
        <v>688511</v>
      </c>
      <c r="B4442" t="s">
        <v>8470</v>
      </c>
      <c r="C4442">
        <v>-0.12</v>
      </c>
      <c r="D4442">
        <v>60.03</v>
      </c>
      <c r="E4442">
        <v>-0.07</v>
      </c>
      <c r="F4442">
        <v>60.03</v>
      </c>
      <c r="G4442">
        <v>60.08</v>
      </c>
      <c r="H4442">
        <v>3097</v>
      </c>
      <c r="I4442">
        <v>56</v>
      </c>
      <c r="J4442">
        <v>-0.12</v>
      </c>
      <c r="K4442">
        <v>1.9</v>
      </c>
      <c r="L4442">
        <v>1865.17</v>
      </c>
      <c r="M4442" t="s">
        <v>8471</v>
      </c>
      <c r="N4442" t="s">
        <v>69</v>
      </c>
      <c r="O4442">
        <v>60.15</v>
      </c>
      <c r="P4442">
        <v>60.76</v>
      </c>
      <c r="Q4442">
        <v>59.72</v>
      </c>
      <c r="R4442">
        <v>60.1</v>
      </c>
      <c r="S4442">
        <v>40.25</v>
      </c>
      <c r="T4442">
        <v>0.54</v>
      </c>
      <c r="U4442" t="s">
        <v>196</v>
      </c>
    </row>
    <row r="4443" spans="1:21">
      <c r="A4443" t="str">
        <f>"688513"</f>
        <v>688513</v>
      </c>
      <c r="B4443" t="s">
        <v>8472</v>
      </c>
      <c r="C4443">
        <v>0.02</v>
      </c>
      <c r="D4443">
        <v>44.88</v>
      </c>
      <c r="E4443">
        <v>0.01</v>
      </c>
      <c r="F4443">
        <v>44.88</v>
      </c>
      <c r="G4443">
        <v>44.89</v>
      </c>
      <c r="H4443">
        <v>6050</v>
      </c>
      <c r="I4443">
        <v>58</v>
      </c>
      <c r="J4443">
        <v>0.16</v>
      </c>
      <c r="K4443">
        <v>1</v>
      </c>
      <c r="L4443">
        <v>2704.03</v>
      </c>
      <c r="M4443" t="s">
        <v>8473</v>
      </c>
      <c r="N4443" t="s">
        <v>192</v>
      </c>
      <c r="O4443">
        <v>44.78</v>
      </c>
      <c r="P4443">
        <v>44.97</v>
      </c>
      <c r="Q4443">
        <v>44.48</v>
      </c>
      <c r="R4443">
        <v>44.87</v>
      </c>
      <c r="S4443">
        <v>21.72</v>
      </c>
      <c r="T4443">
        <v>0.51</v>
      </c>
      <c r="U4443" t="s">
        <v>196</v>
      </c>
    </row>
    <row r="4444" spans="1:21">
      <c r="A4444" t="str">
        <f>"688516"</f>
        <v>688516</v>
      </c>
      <c r="B4444" t="s">
        <v>8474</v>
      </c>
      <c r="C4444">
        <v>2.75</v>
      </c>
      <c r="D4444">
        <v>233.8</v>
      </c>
      <c r="E4444">
        <v>6.25</v>
      </c>
      <c r="F4444">
        <v>233.69</v>
      </c>
      <c r="G4444">
        <v>233.8</v>
      </c>
      <c r="H4444">
        <v>8888</v>
      </c>
      <c r="I4444">
        <v>127</v>
      </c>
      <c r="J4444">
        <v>0.21</v>
      </c>
      <c r="K4444">
        <v>1.74</v>
      </c>
      <c r="L4444">
        <v>20572.29</v>
      </c>
      <c r="M4444" t="s">
        <v>8475</v>
      </c>
      <c r="N4444" t="s">
        <v>324</v>
      </c>
      <c r="O4444">
        <v>228.47</v>
      </c>
      <c r="P4444">
        <v>236.8</v>
      </c>
      <c r="Q4444">
        <v>225.51</v>
      </c>
      <c r="R4444">
        <v>227.55</v>
      </c>
      <c r="S4444">
        <v>75.96</v>
      </c>
      <c r="T4444">
        <v>0.71</v>
      </c>
      <c r="U4444" t="s">
        <v>102</v>
      </c>
    </row>
    <row r="4445" spans="1:21">
      <c r="A4445" t="str">
        <f>"688517"</f>
        <v>688517</v>
      </c>
      <c r="B4445" t="s">
        <v>8476</v>
      </c>
      <c r="C4445">
        <v>2.91</v>
      </c>
      <c r="D4445">
        <v>14.5</v>
      </c>
      <c r="E4445">
        <v>0.41</v>
      </c>
      <c r="F4445">
        <v>14.5</v>
      </c>
      <c r="G4445">
        <v>14.51</v>
      </c>
      <c r="H4445">
        <v>18157</v>
      </c>
      <c r="I4445">
        <v>356</v>
      </c>
      <c r="J4445">
        <v>-0.06</v>
      </c>
      <c r="K4445">
        <v>5.56</v>
      </c>
      <c r="L4445">
        <v>2622.23</v>
      </c>
      <c r="M4445" t="s">
        <v>3359</v>
      </c>
      <c r="N4445" t="s">
        <v>47</v>
      </c>
      <c r="O4445">
        <v>14.45</v>
      </c>
      <c r="P4445">
        <v>14.72</v>
      </c>
      <c r="Q4445">
        <v>14.12</v>
      </c>
      <c r="R4445">
        <v>14.09</v>
      </c>
      <c r="S4445">
        <v>48.21</v>
      </c>
      <c r="T4445">
        <v>0.66</v>
      </c>
      <c r="U4445" t="s">
        <v>224</v>
      </c>
    </row>
    <row r="4446" spans="1:21">
      <c r="A4446" t="str">
        <f>"688518"</f>
        <v>688518</v>
      </c>
      <c r="B4446" t="s">
        <v>8477</v>
      </c>
      <c r="C4446">
        <v>-2.46</v>
      </c>
      <c r="D4446">
        <v>44.84</v>
      </c>
      <c r="E4446">
        <v>-1.13</v>
      </c>
      <c r="F4446">
        <v>44.83</v>
      </c>
      <c r="G4446">
        <v>44.84</v>
      </c>
      <c r="H4446">
        <v>55512</v>
      </c>
      <c r="I4446">
        <v>357</v>
      </c>
      <c r="J4446">
        <v>-0.39</v>
      </c>
      <c r="K4446">
        <v>2.23</v>
      </c>
      <c r="L4446">
        <v>24849.83</v>
      </c>
      <c r="M4446" t="s">
        <v>8478</v>
      </c>
      <c r="N4446" t="s">
        <v>324</v>
      </c>
      <c r="O4446">
        <v>46.49</v>
      </c>
      <c r="P4446">
        <v>46.49</v>
      </c>
      <c r="Q4446">
        <v>43.7</v>
      </c>
      <c r="R4446">
        <v>45.97</v>
      </c>
      <c r="S4446">
        <v>178.55</v>
      </c>
      <c r="T4446">
        <v>0.87</v>
      </c>
      <c r="U4446" t="s">
        <v>24</v>
      </c>
    </row>
    <row r="4447" spans="1:21">
      <c r="A4447" t="str">
        <f>"688519"</f>
        <v>688519</v>
      </c>
      <c r="B4447" t="s">
        <v>8479</v>
      </c>
      <c r="C4447">
        <v>0.5</v>
      </c>
      <c r="D4447">
        <v>40.1</v>
      </c>
      <c r="E4447">
        <v>0.2</v>
      </c>
      <c r="F4447">
        <v>40.1</v>
      </c>
      <c r="G4447">
        <v>40.17</v>
      </c>
      <c r="H4447">
        <v>23050</v>
      </c>
      <c r="I4447">
        <v>109</v>
      </c>
      <c r="J4447">
        <v>0.2</v>
      </c>
      <c r="K4447">
        <v>2.76</v>
      </c>
      <c r="L4447">
        <v>9217.84</v>
      </c>
      <c r="M4447" t="s">
        <v>8480</v>
      </c>
      <c r="N4447" t="s">
        <v>69</v>
      </c>
      <c r="O4447">
        <v>39.9</v>
      </c>
      <c r="P4447">
        <v>40.44</v>
      </c>
      <c r="Q4447">
        <v>39.35</v>
      </c>
      <c r="R4447">
        <v>39.9</v>
      </c>
      <c r="S4447">
        <v>21.94</v>
      </c>
      <c r="T4447">
        <v>0.79</v>
      </c>
      <c r="U4447" t="s">
        <v>848</v>
      </c>
    </row>
    <row r="4448" spans="1:21">
      <c r="A4448" t="str">
        <f>"688520"</f>
        <v>688520</v>
      </c>
      <c r="B4448" t="s">
        <v>8481</v>
      </c>
      <c r="C4448">
        <v>-1.55</v>
      </c>
      <c r="D4448">
        <v>54.77</v>
      </c>
      <c r="E4448">
        <v>-0.86</v>
      </c>
      <c r="F4448">
        <v>54.73</v>
      </c>
      <c r="G4448">
        <v>54.77</v>
      </c>
      <c r="H4448">
        <v>9505</v>
      </c>
      <c r="I4448">
        <v>88</v>
      </c>
      <c r="J4448">
        <v>0.09</v>
      </c>
      <c r="K4448">
        <v>1.34</v>
      </c>
      <c r="L4448">
        <v>5218.86</v>
      </c>
      <c r="M4448" t="s">
        <v>8482</v>
      </c>
      <c r="N4448" t="s">
        <v>231</v>
      </c>
      <c r="O4448">
        <v>56.06</v>
      </c>
      <c r="P4448">
        <v>56.68</v>
      </c>
      <c r="Q4448">
        <v>53.86</v>
      </c>
      <c r="R4448">
        <v>55.63</v>
      </c>
      <c r="S4448" t="s">
        <v>40</v>
      </c>
      <c r="T4448">
        <v>0.99</v>
      </c>
      <c r="U4448" t="s">
        <v>44</v>
      </c>
    </row>
    <row r="4449" spans="1:21">
      <c r="A4449" t="str">
        <f>"688521"</f>
        <v>688521</v>
      </c>
      <c r="B4449" t="s">
        <v>8483</v>
      </c>
      <c r="C4449">
        <v>0.38</v>
      </c>
      <c r="D4449">
        <v>74.88</v>
      </c>
      <c r="E4449">
        <v>0.28</v>
      </c>
      <c r="F4449">
        <v>74.87</v>
      </c>
      <c r="G4449">
        <v>74.88</v>
      </c>
      <c r="H4449">
        <v>38675</v>
      </c>
      <c r="I4449">
        <v>235</v>
      </c>
      <c r="J4449">
        <v>0</v>
      </c>
      <c r="K4449">
        <v>1.89</v>
      </c>
      <c r="L4449">
        <v>29138.6</v>
      </c>
      <c r="M4449" t="s">
        <v>8484</v>
      </c>
      <c r="N4449" t="s">
        <v>1246</v>
      </c>
      <c r="O4449">
        <v>75</v>
      </c>
      <c r="P4449">
        <v>76.77</v>
      </c>
      <c r="Q4449">
        <v>74.29</v>
      </c>
      <c r="R4449">
        <v>74.6</v>
      </c>
      <c r="S4449" t="s">
        <v>40</v>
      </c>
      <c r="T4449">
        <v>0.89</v>
      </c>
      <c r="U4449" t="s">
        <v>848</v>
      </c>
    </row>
    <row r="4450" spans="1:21">
      <c r="A4450" t="str">
        <f>"688526"</f>
        <v>688526</v>
      </c>
      <c r="B4450" t="s">
        <v>8485</v>
      </c>
      <c r="C4450">
        <v>0.27</v>
      </c>
      <c r="D4450">
        <v>26.33</v>
      </c>
      <c r="E4450">
        <v>0.07</v>
      </c>
      <c r="F4450">
        <v>26.3</v>
      </c>
      <c r="G4450">
        <v>26.33</v>
      </c>
      <c r="H4450">
        <v>10505</v>
      </c>
      <c r="I4450">
        <v>180</v>
      </c>
      <c r="J4450">
        <v>0.15</v>
      </c>
      <c r="K4450">
        <v>0.87</v>
      </c>
      <c r="L4450">
        <v>2733.7</v>
      </c>
      <c r="M4450" t="s">
        <v>8486</v>
      </c>
      <c r="N4450" t="s">
        <v>147</v>
      </c>
      <c r="O4450">
        <v>26.27</v>
      </c>
      <c r="P4450">
        <v>26.35</v>
      </c>
      <c r="Q4450">
        <v>25.7</v>
      </c>
      <c r="R4450">
        <v>26.26</v>
      </c>
      <c r="S4450">
        <v>23.8</v>
      </c>
      <c r="T4450">
        <v>0.95</v>
      </c>
      <c r="U4450" t="s">
        <v>267</v>
      </c>
    </row>
    <row r="4451" spans="1:21">
      <c r="A4451" t="str">
        <f>"688528"</f>
        <v>688528</v>
      </c>
      <c r="B4451" t="s">
        <v>8487</v>
      </c>
      <c r="C4451">
        <v>1.82</v>
      </c>
      <c r="D4451">
        <v>12.86</v>
      </c>
      <c r="E4451">
        <v>0.23</v>
      </c>
      <c r="F4451">
        <v>12.86</v>
      </c>
      <c r="G4451">
        <v>12.89</v>
      </c>
      <c r="H4451">
        <v>4158</v>
      </c>
      <c r="I4451">
        <v>125</v>
      </c>
      <c r="J4451">
        <v>-0.15</v>
      </c>
      <c r="K4451">
        <v>0.83</v>
      </c>
      <c r="L4451">
        <v>531.46</v>
      </c>
      <c r="M4451" t="s">
        <v>8488</v>
      </c>
      <c r="N4451" t="s">
        <v>1028</v>
      </c>
      <c r="O4451">
        <v>12.63</v>
      </c>
      <c r="P4451">
        <v>12.89</v>
      </c>
      <c r="Q4451">
        <v>12.6</v>
      </c>
      <c r="R4451">
        <v>12.63</v>
      </c>
      <c r="S4451">
        <v>75.94</v>
      </c>
      <c r="T4451">
        <v>0.91</v>
      </c>
      <c r="U4451" t="s">
        <v>196</v>
      </c>
    </row>
    <row r="4452" spans="1:21">
      <c r="A4452" t="str">
        <f>"688529"</f>
        <v>688529</v>
      </c>
      <c r="B4452" t="s">
        <v>8489</v>
      </c>
      <c r="C4452">
        <v>3.39</v>
      </c>
      <c r="D4452">
        <v>32.62</v>
      </c>
      <c r="E4452">
        <v>1.07</v>
      </c>
      <c r="F4452">
        <v>32.61</v>
      </c>
      <c r="G4452">
        <v>32.62</v>
      </c>
      <c r="H4452">
        <v>29052</v>
      </c>
      <c r="I4452">
        <v>292</v>
      </c>
      <c r="J4452">
        <v>0.03</v>
      </c>
      <c r="K4452">
        <v>8.96</v>
      </c>
      <c r="L4452">
        <v>9419.9</v>
      </c>
      <c r="M4452" t="s">
        <v>6143</v>
      </c>
      <c r="N4452" t="s">
        <v>91</v>
      </c>
      <c r="O4452">
        <v>31.97</v>
      </c>
      <c r="P4452">
        <v>33.1</v>
      </c>
      <c r="Q4452">
        <v>31.38</v>
      </c>
      <c r="R4452">
        <v>31.55</v>
      </c>
      <c r="S4452">
        <v>71.83</v>
      </c>
      <c r="T4452">
        <v>0.87</v>
      </c>
      <c r="U4452" t="s">
        <v>141</v>
      </c>
    </row>
    <row r="4453" spans="1:21">
      <c r="A4453" t="str">
        <f>"688533"</f>
        <v>688533</v>
      </c>
      <c r="B4453" t="s">
        <v>8490</v>
      </c>
      <c r="C4453">
        <v>1.19</v>
      </c>
      <c r="D4453">
        <v>38.15</v>
      </c>
      <c r="E4453">
        <v>0.45</v>
      </c>
      <c r="F4453">
        <v>38.12</v>
      </c>
      <c r="G4453">
        <v>38.15</v>
      </c>
      <c r="H4453">
        <v>51116</v>
      </c>
      <c r="I4453">
        <v>609</v>
      </c>
      <c r="J4453">
        <v>0.16</v>
      </c>
      <c r="K4453">
        <v>14.81</v>
      </c>
      <c r="L4453">
        <v>19358.65</v>
      </c>
      <c r="M4453" t="s">
        <v>1672</v>
      </c>
      <c r="N4453" t="s">
        <v>91</v>
      </c>
      <c r="O4453">
        <v>37.93</v>
      </c>
      <c r="P4453">
        <v>38.85</v>
      </c>
      <c r="Q4453">
        <v>36.3</v>
      </c>
      <c r="R4453">
        <v>37.7</v>
      </c>
      <c r="S4453">
        <v>103.29</v>
      </c>
      <c r="T4453">
        <v>0.73</v>
      </c>
      <c r="U4453" t="s">
        <v>102</v>
      </c>
    </row>
    <row r="4454" spans="1:21">
      <c r="A4454" t="str">
        <f>"688536"</f>
        <v>688536</v>
      </c>
      <c r="B4454" t="s">
        <v>8491</v>
      </c>
      <c r="C4454">
        <v>0.99</v>
      </c>
      <c r="D4454">
        <v>816</v>
      </c>
      <c r="E4454">
        <v>8</v>
      </c>
      <c r="F4454">
        <v>816</v>
      </c>
      <c r="G4454">
        <v>817.18</v>
      </c>
      <c r="H4454">
        <v>5141</v>
      </c>
      <c r="I4454">
        <v>20</v>
      </c>
      <c r="J4454">
        <v>0.37</v>
      </c>
      <c r="K4454">
        <v>1.2</v>
      </c>
      <c r="L4454">
        <v>41964.75</v>
      </c>
      <c r="M4454" t="s">
        <v>8492</v>
      </c>
      <c r="N4454" t="s">
        <v>1246</v>
      </c>
      <c r="O4454">
        <v>807.88</v>
      </c>
      <c r="P4454">
        <v>856.68</v>
      </c>
      <c r="Q4454">
        <v>792</v>
      </c>
      <c r="R4454">
        <v>808</v>
      </c>
      <c r="S4454">
        <v>157.07</v>
      </c>
      <c r="T4454">
        <v>1.65</v>
      </c>
      <c r="U4454" t="s">
        <v>102</v>
      </c>
    </row>
    <row r="4455" spans="1:21">
      <c r="A4455" t="str">
        <f>"688538"</f>
        <v>688538</v>
      </c>
      <c r="B4455" t="s">
        <v>8493</v>
      </c>
      <c r="C4455">
        <v>-0.32</v>
      </c>
      <c r="D4455">
        <v>3.13</v>
      </c>
      <c r="E4455">
        <v>-0.01</v>
      </c>
      <c r="F4455">
        <v>3.13</v>
      </c>
      <c r="G4455">
        <v>3.14</v>
      </c>
      <c r="H4455">
        <v>187682</v>
      </c>
      <c r="I4455">
        <v>2397</v>
      </c>
      <c r="J4455">
        <v>0</v>
      </c>
      <c r="K4455">
        <v>0.86</v>
      </c>
      <c r="L4455">
        <v>5882.42</v>
      </c>
      <c r="M4455" t="s">
        <v>8494</v>
      </c>
      <c r="N4455" t="s">
        <v>1246</v>
      </c>
      <c r="O4455">
        <v>3.15</v>
      </c>
      <c r="P4455">
        <v>3.16</v>
      </c>
      <c r="Q4455">
        <v>3.12</v>
      </c>
      <c r="R4455">
        <v>3.14</v>
      </c>
      <c r="S4455" t="s">
        <v>40</v>
      </c>
      <c r="T4455">
        <v>0.43</v>
      </c>
      <c r="U4455" t="s">
        <v>848</v>
      </c>
    </row>
    <row r="4456" spans="1:21">
      <c r="A4456" t="str">
        <f>"688550"</f>
        <v>688550</v>
      </c>
      <c r="B4456" t="s">
        <v>8495</v>
      </c>
      <c r="C4456">
        <v>-1.36</v>
      </c>
      <c r="D4456">
        <v>102.4</v>
      </c>
      <c r="E4456">
        <v>-1.41</v>
      </c>
      <c r="F4456">
        <v>102.39</v>
      </c>
      <c r="G4456">
        <v>102.4</v>
      </c>
      <c r="H4456">
        <v>14997</v>
      </c>
      <c r="I4456">
        <v>158</v>
      </c>
      <c r="J4456">
        <v>-0.02</v>
      </c>
      <c r="K4456">
        <v>3.17</v>
      </c>
      <c r="L4456">
        <v>15424.1</v>
      </c>
      <c r="M4456" t="s">
        <v>3707</v>
      </c>
      <c r="N4456" t="s">
        <v>309</v>
      </c>
      <c r="O4456">
        <v>103.55</v>
      </c>
      <c r="P4456">
        <v>104.52</v>
      </c>
      <c r="Q4456">
        <v>101.74</v>
      </c>
      <c r="R4456">
        <v>103.81</v>
      </c>
      <c r="S4456">
        <v>32.01</v>
      </c>
      <c r="T4456">
        <v>0.57</v>
      </c>
      <c r="U4456" t="s">
        <v>317</v>
      </c>
    </row>
    <row r="4457" spans="1:21">
      <c r="A4457" t="str">
        <f>"688551"</f>
        <v>688551</v>
      </c>
      <c r="B4457" t="s">
        <v>8496</v>
      </c>
      <c r="C4457">
        <v>4.88</v>
      </c>
      <c r="D4457">
        <v>70.01</v>
      </c>
      <c r="E4457">
        <v>3.26</v>
      </c>
      <c r="F4457">
        <v>70.01</v>
      </c>
      <c r="G4457">
        <v>70.07</v>
      </c>
      <c r="H4457">
        <v>12174</v>
      </c>
      <c r="I4457">
        <v>147</v>
      </c>
      <c r="J4457">
        <v>0</v>
      </c>
      <c r="K4457">
        <v>4.83</v>
      </c>
      <c r="L4457">
        <v>8545.97</v>
      </c>
      <c r="M4457" t="s">
        <v>8497</v>
      </c>
      <c r="N4457" t="s">
        <v>324</v>
      </c>
      <c r="O4457">
        <v>66.62</v>
      </c>
      <c r="P4457">
        <v>71.98</v>
      </c>
      <c r="Q4457">
        <v>66</v>
      </c>
      <c r="R4457">
        <v>66.75</v>
      </c>
      <c r="S4457">
        <v>85.41</v>
      </c>
      <c r="T4457">
        <v>0.94</v>
      </c>
      <c r="U4457" t="s">
        <v>193</v>
      </c>
    </row>
    <row r="4458" spans="1:21">
      <c r="A4458" t="str">
        <f>"688553"</f>
        <v>688553</v>
      </c>
      <c r="B4458" t="s">
        <v>8498</v>
      </c>
      <c r="C4458">
        <v>0.93</v>
      </c>
      <c r="D4458">
        <v>34.78</v>
      </c>
      <c r="E4458">
        <v>0.32</v>
      </c>
      <c r="F4458">
        <v>34.78</v>
      </c>
      <c r="G4458">
        <v>34.8</v>
      </c>
      <c r="H4458">
        <v>19796</v>
      </c>
      <c r="I4458">
        <v>158</v>
      </c>
      <c r="J4458">
        <v>0</v>
      </c>
      <c r="K4458">
        <v>3.98</v>
      </c>
      <c r="L4458">
        <v>6876.7</v>
      </c>
      <c r="M4458" t="s">
        <v>6220</v>
      </c>
      <c r="N4458" t="s">
        <v>192</v>
      </c>
      <c r="O4458">
        <v>34.54</v>
      </c>
      <c r="P4458">
        <v>35.08</v>
      </c>
      <c r="Q4458">
        <v>34.48</v>
      </c>
      <c r="R4458">
        <v>34.46</v>
      </c>
      <c r="S4458">
        <v>28.55</v>
      </c>
      <c r="T4458">
        <v>0.49</v>
      </c>
      <c r="U4458" t="s">
        <v>196</v>
      </c>
    </row>
    <row r="4459" spans="1:21">
      <c r="A4459" t="str">
        <f>"688555"</f>
        <v>688555</v>
      </c>
      <c r="B4459" t="s">
        <v>8499</v>
      </c>
      <c r="C4459">
        <v>2.59</v>
      </c>
      <c r="D4459">
        <v>26.58</v>
      </c>
      <c r="E4459">
        <v>0.67</v>
      </c>
      <c r="F4459">
        <v>26.58</v>
      </c>
      <c r="G4459">
        <v>26.6</v>
      </c>
      <c r="H4459">
        <v>2757</v>
      </c>
      <c r="I4459">
        <v>68</v>
      </c>
      <c r="J4459">
        <v>0</v>
      </c>
      <c r="K4459">
        <v>0.67</v>
      </c>
      <c r="L4459">
        <v>728.62</v>
      </c>
      <c r="M4459" t="s">
        <v>7293</v>
      </c>
      <c r="N4459" t="s">
        <v>30</v>
      </c>
      <c r="O4459">
        <v>25.99</v>
      </c>
      <c r="P4459">
        <v>26.69</v>
      </c>
      <c r="Q4459">
        <v>25.79</v>
      </c>
      <c r="R4459">
        <v>25.91</v>
      </c>
      <c r="S4459">
        <v>45.74</v>
      </c>
      <c r="T4459">
        <v>0.82</v>
      </c>
      <c r="U4459" t="s">
        <v>360</v>
      </c>
    </row>
    <row r="4460" spans="1:21">
      <c r="A4460" t="str">
        <f>"688556"</f>
        <v>688556</v>
      </c>
      <c r="B4460" t="s">
        <v>8500</v>
      </c>
      <c r="C4460">
        <v>3.9</v>
      </c>
      <c r="D4460">
        <v>86.6</v>
      </c>
      <c r="E4460">
        <v>3.25</v>
      </c>
      <c r="F4460">
        <v>86.6</v>
      </c>
      <c r="G4460">
        <v>86.61</v>
      </c>
      <c r="H4460">
        <v>38467</v>
      </c>
      <c r="I4460">
        <v>242</v>
      </c>
      <c r="J4460">
        <v>-0.71</v>
      </c>
      <c r="K4460">
        <v>3.25</v>
      </c>
      <c r="L4460">
        <v>33214.64</v>
      </c>
      <c r="M4460" t="s">
        <v>8501</v>
      </c>
      <c r="N4460" t="s">
        <v>324</v>
      </c>
      <c r="O4460">
        <v>82</v>
      </c>
      <c r="P4460">
        <v>90.18</v>
      </c>
      <c r="Q4460">
        <v>81.19</v>
      </c>
      <c r="R4460">
        <v>83.35</v>
      </c>
      <c r="S4460">
        <v>94.26</v>
      </c>
      <c r="T4460">
        <v>0.68</v>
      </c>
      <c r="U4460" t="s">
        <v>221</v>
      </c>
    </row>
    <row r="4461" spans="1:21">
      <c r="A4461" t="str">
        <f>"688557"</f>
        <v>688557</v>
      </c>
      <c r="B4461" t="s">
        <v>8502</v>
      </c>
      <c r="C4461">
        <v>2</v>
      </c>
      <c r="D4461">
        <v>27.53</v>
      </c>
      <c r="E4461">
        <v>0.54</v>
      </c>
      <c r="F4461">
        <v>27.36</v>
      </c>
      <c r="G4461">
        <v>27.53</v>
      </c>
      <c r="H4461">
        <v>2376</v>
      </c>
      <c r="I4461">
        <v>227</v>
      </c>
      <c r="J4461">
        <v>0.73</v>
      </c>
      <c r="K4461">
        <v>1.38</v>
      </c>
      <c r="L4461">
        <v>650.88</v>
      </c>
      <c r="M4461" t="s">
        <v>8503</v>
      </c>
      <c r="N4461" t="s">
        <v>324</v>
      </c>
      <c r="O4461">
        <v>26.98</v>
      </c>
      <c r="P4461">
        <v>27.8</v>
      </c>
      <c r="Q4461">
        <v>26.98</v>
      </c>
      <c r="R4461">
        <v>26.99</v>
      </c>
      <c r="S4461">
        <v>247.98</v>
      </c>
      <c r="T4461">
        <v>1.1</v>
      </c>
      <c r="U4461" t="s">
        <v>221</v>
      </c>
    </row>
    <row r="4462" spans="1:21">
      <c r="A4462" t="str">
        <f>"688558"</f>
        <v>688558</v>
      </c>
      <c r="B4462" t="s">
        <v>8504</v>
      </c>
      <c r="C4462">
        <v>2.46</v>
      </c>
      <c r="D4462">
        <v>50.06</v>
      </c>
      <c r="E4462">
        <v>1.2</v>
      </c>
      <c r="F4462">
        <v>50.06</v>
      </c>
      <c r="G4462">
        <v>50.07</v>
      </c>
      <c r="H4462">
        <v>23792</v>
      </c>
      <c r="I4462">
        <v>219</v>
      </c>
      <c r="J4462">
        <v>-0.03</v>
      </c>
      <c r="K4462">
        <v>6.29</v>
      </c>
      <c r="L4462">
        <v>11822.54</v>
      </c>
      <c r="M4462" t="s">
        <v>8505</v>
      </c>
      <c r="N4462" t="s">
        <v>247</v>
      </c>
      <c r="O4462">
        <v>48.9</v>
      </c>
      <c r="P4462">
        <v>50.69</v>
      </c>
      <c r="Q4462">
        <v>48.41</v>
      </c>
      <c r="R4462">
        <v>48.86</v>
      </c>
      <c r="S4462">
        <v>32.57</v>
      </c>
      <c r="T4462">
        <v>0.89</v>
      </c>
      <c r="U4462" t="s">
        <v>102</v>
      </c>
    </row>
    <row r="4463" spans="1:21">
      <c r="A4463" t="str">
        <f>"688559"</f>
        <v>688559</v>
      </c>
      <c r="B4463" t="s">
        <v>8506</v>
      </c>
      <c r="C4463">
        <v>-2.49</v>
      </c>
      <c r="D4463">
        <v>67.45</v>
      </c>
      <c r="E4463">
        <v>-1.72</v>
      </c>
      <c r="F4463">
        <v>67.23</v>
      </c>
      <c r="G4463">
        <v>67.45</v>
      </c>
      <c r="H4463">
        <v>48694</v>
      </c>
      <c r="I4463">
        <v>375</v>
      </c>
      <c r="J4463">
        <v>0.82</v>
      </c>
      <c r="K4463">
        <v>4</v>
      </c>
      <c r="L4463">
        <v>32554.5</v>
      </c>
      <c r="M4463" t="s">
        <v>8507</v>
      </c>
      <c r="N4463" t="s">
        <v>324</v>
      </c>
      <c r="O4463">
        <v>69.81</v>
      </c>
      <c r="P4463">
        <v>70</v>
      </c>
      <c r="Q4463">
        <v>64</v>
      </c>
      <c r="R4463">
        <v>69.17</v>
      </c>
      <c r="S4463">
        <v>278.83</v>
      </c>
      <c r="T4463">
        <v>1.28</v>
      </c>
      <c r="U4463" t="s">
        <v>24</v>
      </c>
    </row>
    <row r="4464" spans="1:21">
      <c r="A4464" t="str">
        <f>"688560"</f>
        <v>688560</v>
      </c>
      <c r="B4464" t="s">
        <v>8508</v>
      </c>
      <c r="C4464">
        <v>2.83</v>
      </c>
      <c r="D4464">
        <v>36.68</v>
      </c>
      <c r="E4464">
        <v>1.01</v>
      </c>
      <c r="F4464">
        <v>36.67</v>
      </c>
      <c r="G4464">
        <v>36.68</v>
      </c>
      <c r="H4464">
        <v>33814</v>
      </c>
      <c r="I4464">
        <v>513</v>
      </c>
      <c r="J4464">
        <v>0.58</v>
      </c>
      <c r="K4464">
        <v>9.34</v>
      </c>
      <c r="L4464">
        <v>12461.67</v>
      </c>
      <c r="M4464" t="s">
        <v>8509</v>
      </c>
      <c r="N4464" t="s">
        <v>47</v>
      </c>
      <c r="O4464">
        <v>35.86</v>
      </c>
      <c r="P4464">
        <v>38.2</v>
      </c>
      <c r="Q4464">
        <v>35.01</v>
      </c>
      <c r="R4464">
        <v>35.67</v>
      </c>
      <c r="S4464">
        <v>51.59</v>
      </c>
      <c r="T4464">
        <v>0.96</v>
      </c>
      <c r="U4464" t="s">
        <v>235</v>
      </c>
    </row>
    <row r="4465" spans="1:21">
      <c r="A4465" t="str">
        <f>"688561"</f>
        <v>688561</v>
      </c>
      <c r="B4465" t="s">
        <v>8510</v>
      </c>
      <c r="C4465">
        <v>0.51</v>
      </c>
      <c r="D4465">
        <v>94.31</v>
      </c>
      <c r="E4465">
        <v>0.48</v>
      </c>
      <c r="F4465">
        <v>94.25</v>
      </c>
      <c r="G4465">
        <v>94.31</v>
      </c>
      <c r="H4465">
        <v>22587</v>
      </c>
      <c r="I4465">
        <v>101</v>
      </c>
      <c r="J4465">
        <v>0.28</v>
      </c>
      <c r="K4465">
        <v>0.5</v>
      </c>
      <c r="L4465">
        <v>21331.83</v>
      </c>
      <c r="M4465" t="s">
        <v>8511</v>
      </c>
      <c r="N4465" t="s">
        <v>30</v>
      </c>
      <c r="O4465">
        <v>93.27</v>
      </c>
      <c r="P4465">
        <v>95.38</v>
      </c>
      <c r="Q4465">
        <v>93.27</v>
      </c>
      <c r="R4465">
        <v>93.83</v>
      </c>
      <c r="S4465" t="s">
        <v>40</v>
      </c>
      <c r="T4465">
        <v>0.94</v>
      </c>
      <c r="U4465" t="s">
        <v>44</v>
      </c>
    </row>
    <row r="4466" spans="1:21">
      <c r="A4466" t="str">
        <f>"688565"</f>
        <v>688565</v>
      </c>
      <c r="B4466" t="s">
        <v>8512</v>
      </c>
      <c r="C4466">
        <v>2.08</v>
      </c>
      <c r="D4466">
        <v>15.7</v>
      </c>
      <c r="E4466">
        <v>0.32</v>
      </c>
      <c r="F4466">
        <v>15.69</v>
      </c>
      <c r="G4466">
        <v>15.7</v>
      </c>
      <c r="H4466">
        <v>8375</v>
      </c>
      <c r="I4466">
        <v>73</v>
      </c>
      <c r="J4466">
        <v>0</v>
      </c>
      <c r="K4466">
        <v>3.3</v>
      </c>
      <c r="L4466">
        <v>1311.48</v>
      </c>
      <c r="M4466" t="s">
        <v>5703</v>
      </c>
      <c r="N4466" t="s">
        <v>33</v>
      </c>
      <c r="O4466">
        <v>15.33</v>
      </c>
      <c r="P4466">
        <v>15.84</v>
      </c>
      <c r="Q4466">
        <v>15.32</v>
      </c>
      <c r="R4466">
        <v>15.38</v>
      </c>
      <c r="S4466">
        <v>66.81</v>
      </c>
      <c r="T4466">
        <v>0.81</v>
      </c>
      <c r="U4466" t="s">
        <v>200</v>
      </c>
    </row>
    <row r="4467" spans="1:21">
      <c r="A4467" t="str">
        <f>"688566"</f>
        <v>688566</v>
      </c>
      <c r="B4467" t="s">
        <v>8513</v>
      </c>
      <c r="C4467">
        <v>0.57</v>
      </c>
      <c r="D4467">
        <v>21.14</v>
      </c>
      <c r="E4467">
        <v>0.12</v>
      </c>
      <c r="F4467">
        <v>21.14</v>
      </c>
      <c r="G4467">
        <v>21.28</v>
      </c>
      <c r="H4467">
        <v>1778</v>
      </c>
      <c r="I4467">
        <v>19</v>
      </c>
      <c r="J4467">
        <v>-0.04</v>
      </c>
      <c r="K4467">
        <v>0.27</v>
      </c>
      <c r="L4467">
        <v>377.99</v>
      </c>
      <c r="M4467" t="s">
        <v>8514</v>
      </c>
      <c r="N4467" t="s">
        <v>192</v>
      </c>
      <c r="O4467">
        <v>21.02</v>
      </c>
      <c r="P4467">
        <v>21.55</v>
      </c>
      <c r="Q4467">
        <v>20.81</v>
      </c>
      <c r="R4467">
        <v>21.02</v>
      </c>
      <c r="S4467">
        <v>38.87</v>
      </c>
      <c r="T4467">
        <v>0.74</v>
      </c>
      <c r="U4467" t="s">
        <v>102</v>
      </c>
    </row>
    <row r="4468" spans="1:21">
      <c r="A4468" t="str">
        <f>"688567"</f>
        <v>688567</v>
      </c>
      <c r="B4468" t="s">
        <v>8515</v>
      </c>
      <c r="C4468">
        <v>-3.02</v>
      </c>
      <c r="D4468">
        <v>38.48</v>
      </c>
      <c r="E4468">
        <v>-1.2</v>
      </c>
      <c r="F4468">
        <v>38.45</v>
      </c>
      <c r="G4468">
        <v>38.48</v>
      </c>
      <c r="H4468">
        <v>245120</v>
      </c>
      <c r="I4468">
        <v>1921</v>
      </c>
      <c r="J4468">
        <v>0.18</v>
      </c>
      <c r="K4468">
        <v>3.07</v>
      </c>
      <c r="L4468">
        <v>95776.48</v>
      </c>
      <c r="M4468" t="s">
        <v>8516</v>
      </c>
      <c r="N4468" t="s">
        <v>47</v>
      </c>
      <c r="O4468">
        <v>40</v>
      </c>
      <c r="P4468">
        <v>40.5</v>
      </c>
      <c r="Q4468">
        <v>37.95</v>
      </c>
      <c r="R4468">
        <v>39.68</v>
      </c>
      <c r="S4468" t="s">
        <v>40</v>
      </c>
      <c r="T4468">
        <v>1.71</v>
      </c>
      <c r="U4468" t="s">
        <v>235</v>
      </c>
    </row>
    <row r="4469" spans="1:21">
      <c r="A4469" t="str">
        <f>"688568"</f>
        <v>688568</v>
      </c>
      <c r="B4469" t="s">
        <v>8517</v>
      </c>
      <c r="C4469">
        <v>2.49</v>
      </c>
      <c r="D4469">
        <v>76.18</v>
      </c>
      <c r="E4469">
        <v>1.85</v>
      </c>
      <c r="F4469">
        <v>76.09</v>
      </c>
      <c r="G4469">
        <v>76.18</v>
      </c>
      <c r="H4469">
        <v>7974</v>
      </c>
      <c r="I4469">
        <v>139</v>
      </c>
      <c r="J4469">
        <v>0.24</v>
      </c>
      <c r="K4469">
        <v>0.77</v>
      </c>
      <c r="L4469">
        <v>5984.95</v>
      </c>
      <c r="M4469" t="s">
        <v>8518</v>
      </c>
      <c r="N4469" t="s">
        <v>30</v>
      </c>
      <c r="O4469">
        <v>74.18</v>
      </c>
      <c r="P4469">
        <v>76.68</v>
      </c>
      <c r="Q4469">
        <v>73.58</v>
      </c>
      <c r="R4469">
        <v>74.33</v>
      </c>
      <c r="S4469">
        <v>229.98</v>
      </c>
      <c r="T4469">
        <v>1.04</v>
      </c>
      <c r="U4469" t="s">
        <v>44</v>
      </c>
    </row>
    <row r="4470" spans="1:21">
      <c r="A4470" t="str">
        <f>"688569"</f>
        <v>688569</v>
      </c>
      <c r="B4470" t="s">
        <v>8519</v>
      </c>
      <c r="C4470">
        <v>0.65</v>
      </c>
      <c r="D4470">
        <v>18.6</v>
      </c>
      <c r="E4470">
        <v>0.12</v>
      </c>
      <c r="F4470">
        <v>18.59</v>
      </c>
      <c r="G4470">
        <v>18.6</v>
      </c>
      <c r="H4470">
        <v>4419</v>
      </c>
      <c r="I4470">
        <v>112</v>
      </c>
      <c r="J4470">
        <v>0</v>
      </c>
      <c r="K4470">
        <v>0.87</v>
      </c>
      <c r="L4470">
        <v>818.69</v>
      </c>
      <c r="M4470" t="s">
        <v>5410</v>
      </c>
      <c r="N4470" t="s">
        <v>43</v>
      </c>
      <c r="O4470">
        <v>18.57</v>
      </c>
      <c r="P4470">
        <v>18.63</v>
      </c>
      <c r="Q4470">
        <v>18.41</v>
      </c>
      <c r="R4470">
        <v>18.48</v>
      </c>
      <c r="S4470">
        <v>28.08</v>
      </c>
      <c r="T4470">
        <v>0.68</v>
      </c>
      <c r="U4470" t="s">
        <v>44</v>
      </c>
    </row>
    <row r="4471" spans="1:21">
      <c r="A4471" t="str">
        <f>"688571"</f>
        <v>688571</v>
      </c>
      <c r="B4471" t="s">
        <v>8520</v>
      </c>
      <c r="C4471">
        <v>1.57</v>
      </c>
      <c r="D4471">
        <v>8.42</v>
      </c>
      <c r="E4471">
        <v>0.13</v>
      </c>
      <c r="F4471">
        <v>8.41</v>
      </c>
      <c r="G4471">
        <v>8.42</v>
      </c>
      <c r="H4471">
        <v>15574</v>
      </c>
      <c r="I4471">
        <v>760</v>
      </c>
      <c r="J4471">
        <v>0.24</v>
      </c>
      <c r="K4471">
        <v>2.04</v>
      </c>
      <c r="L4471">
        <v>1308.61</v>
      </c>
      <c r="M4471" t="s">
        <v>6289</v>
      </c>
      <c r="N4471" t="s">
        <v>416</v>
      </c>
      <c r="O4471">
        <v>8.26</v>
      </c>
      <c r="P4471">
        <v>8.45</v>
      </c>
      <c r="Q4471">
        <v>8.26</v>
      </c>
      <c r="R4471">
        <v>8.29</v>
      </c>
      <c r="S4471">
        <v>24.6</v>
      </c>
      <c r="T4471">
        <v>1.27</v>
      </c>
      <c r="U4471" t="s">
        <v>200</v>
      </c>
    </row>
    <row r="4472" spans="1:21">
      <c r="A4472" t="str">
        <f>"688575"</f>
        <v>688575</v>
      </c>
      <c r="B4472" t="s">
        <v>8521</v>
      </c>
      <c r="C4472">
        <v>-0.15</v>
      </c>
      <c r="D4472">
        <v>27.5</v>
      </c>
      <c r="E4472">
        <v>-0.04</v>
      </c>
      <c r="F4472">
        <v>27.5</v>
      </c>
      <c r="G4472">
        <v>27.57</v>
      </c>
      <c r="H4472">
        <v>8366</v>
      </c>
      <c r="I4472">
        <v>111</v>
      </c>
      <c r="J4472">
        <v>-0.28</v>
      </c>
      <c r="K4472">
        <v>2.4</v>
      </c>
      <c r="L4472">
        <v>2285.29</v>
      </c>
      <c r="M4472" t="s">
        <v>341</v>
      </c>
      <c r="N4472" t="s">
        <v>186</v>
      </c>
      <c r="O4472">
        <v>27.84</v>
      </c>
      <c r="P4472">
        <v>27.84</v>
      </c>
      <c r="Q4472">
        <v>27.08</v>
      </c>
      <c r="R4472">
        <v>27.54</v>
      </c>
      <c r="S4472">
        <v>53.91</v>
      </c>
      <c r="T4472">
        <v>0.77</v>
      </c>
      <c r="U4472" t="s">
        <v>24</v>
      </c>
    </row>
    <row r="4473" spans="1:21">
      <c r="A4473" t="str">
        <f>"688577"</f>
        <v>688577</v>
      </c>
      <c r="B4473" t="s">
        <v>8522</v>
      </c>
      <c r="C4473">
        <v>0.8</v>
      </c>
      <c r="D4473">
        <v>66.49</v>
      </c>
      <c r="E4473">
        <v>0.53</v>
      </c>
      <c r="F4473">
        <v>66.19</v>
      </c>
      <c r="G4473">
        <v>66.49</v>
      </c>
      <c r="H4473">
        <v>8162</v>
      </c>
      <c r="I4473">
        <v>116</v>
      </c>
      <c r="J4473">
        <v>0.76</v>
      </c>
      <c r="K4473">
        <v>4.46</v>
      </c>
      <c r="L4473">
        <v>5396.81</v>
      </c>
      <c r="M4473" t="s">
        <v>8523</v>
      </c>
      <c r="N4473" t="s">
        <v>247</v>
      </c>
      <c r="O4473">
        <v>65.9</v>
      </c>
      <c r="P4473">
        <v>67.99</v>
      </c>
      <c r="Q4473">
        <v>64.05</v>
      </c>
      <c r="R4473">
        <v>65.96</v>
      </c>
      <c r="S4473">
        <v>47.04</v>
      </c>
      <c r="T4473">
        <v>1</v>
      </c>
      <c r="U4473" t="s">
        <v>200</v>
      </c>
    </row>
    <row r="4474" spans="1:21">
      <c r="A4474" t="str">
        <f>"688578"</f>
        <v>688578</v>
      </c>
      <c r="B4474" t="s">
        <v>8524</v>
      </c>
      <c r="C4474">
        <v>1.74</v>
      </c>
      <c r="D4474">
        <v>35.61</v>
      </c>
      <c r="E4474">
        <v>0.61</v>
      </c>
      <c r="F4474">
        <v>35.61</v>
      </c>
      <c r="G4474">
        <v>35.63</v>
      </c>
      <c r="H4474">
        <v>23989</v>
      </c>
      <c r="I4474">
        <v>425</v>
      </c>
      <c r="J4474">
        <v>-0.52</v>
      </c>
      <c r="K4474">
        <v>3.19</v>
      </c>
      <c r="L4474">
        <v>8533.93</v>
      </c>
      <c r="M4474" t="s">
        <v>8525</v>
      </c>
      <c r="N4474" t="s">
        <v>192</v>
      </c>
      <c r="O4474">
        <v>35.16</v>
      </c>
      <c r="P4474">
        <v>35.99</v>
      </c>
      <c r="Q4474">
        <v>35.12</v>
      </c>
      <c r="R4474">
        <v>35</v>
      </c>
      <c r="S4474">
        <v>89.09</v>
      </c>
      <c r="T4474">
        <v>0.69</v>
      </c>
      <c r="U4474" t="s">
        <v>848</v>
      </c>
    </row>
    <row r="4475" spans="1:21">
      <c r="A4475" t="str">
        <f>"688579"</f>
        <v>688579</v>
      </c>
      <c r="B4475" t="s">
        <v>8526</v>
      </c>
      <c r="C4475">
        <v>0.7</v>
      </c>
      <c r="D4475">
        <v>11.44</v>
      </c>
      <c r="E4475">
        <v>0.08</v>
      </c>
      <c r="F4475">
        <v>11.44</v>
      </c>
      <c r="G4475">
        <v>11.45</v>
      </c>
      <c r="H4475">
        <v>8776</v>
      </c>
      <c r="I4475">
        <v>176</v>
      </c>
      <c r="J4475">
        <v>0.26</v>
      </c>
      <c r="K4475">
        <v>0.31</v>
      </c>
      <c r="L4475">
        <v>995.76</v>
      </c>
      <c r="M4475" t="s">
        <v>8527</v>
      </c>
      <c r="N4475" t="s">
        <v>30</v>
      </c>
      <c r="O4475">
        <v>11.45</v>
      </c>
      <c r="P4475">
        <v>11.5</v>
      </c>
      <c r="Q4475">
        <v>11.21</v>
      </c>
      <c r="R4475">
        <v>11.36</v>
      </c>
      <c r="S4475">
        <v>146.74</v>
      </c>
      <c r="T4475">
        <v>1.02</v>
      </c>
      <c r="U4475" t="s">
        <v>221</v>
      </c>
    </row>
    <row r="4476" spans="1:21">
      <c r="A4476" t="str">
        <f>"688580"</f>
        <v>688580</v>
      </c>
      <c r="B4476" t="s">
        <v>8528</v>
      </c>
      <c r="C4476">
        <v>0.68</v>
      </c>
      <c r="D4476">
        <v>103.95</v>
      </c>
      <c r="E4476">
        <v>0.7</v>
      </c>
      <c r="F4476">
        <v>103.95</v>
      </c>
      <c r="G4476">
        <v>103.97</v>
      </c>
      <c r="H4476">
        <v>1621</v>
      </c>
      <c r="I4476">
        <v>19</v>
      </c>
      <c r="J4476">
        <v>0.09</v>
      </c>
      <c r="K4476">
        <v>0.68</v>
      </c>
      <c r="L4476">
        <v>1677.97</v>
      </c>
      <c r="M4476" t="s">
        <v>8529</v>
      </c>
      <c r="N4476" t="s">
        <v>186</v>
      </c>
      <c r="O4476">
        <v>104.56</v>
      </c>
      <c r="P4476">
        <v>104.9</v>
      </c>
      <c r="Q4476">
        <v>102.26</v>
      </c>
      <c r="R4476">
        <v>103.25</v>
      </c>
      <c r="S4476">
        <v>49.53</v>
      </c>
      <c r="T4476">
        <v>0.4</v>
      </c>
      <c r="U4476" t="s">
        <v>102</v>
      </c>
    </row>
    <row r="4477" spans="1:21">
      <c r="A4477" t="str">
        <f>"688585"</f>
        <v>688585</v>
      </c>
      <c r="B4477" t="s">
        <v>8530</v>
      </c>
      <c r="C4477">
        <v>8.48</v>
      </c>
      <c r="D4477">
        <v>11.9</v>
      </c>
      <c r="E4477">
        <v>0.93</v>
      </c>
      <c r="F4477">
        <v>11.9</v>
      </c>
      <c r="G4477">
        <v>11.91</v>
      </c>
      <c r="H4477">
        <v>49533</v>
      </c>
      <c r="I4477">
        <v>1569</v>
      </c>
      <c r="J4477">
        <v>0.85</v>
      </c>
      <c r="K4477">
        <v>6.05</v>
      </c>
      <c r="L4477">
        <v>5829</v>
      </c>
      <c r="M4477" t="s">
        <v>8531</v>
      </c>
      <c r="N4477" t="s">
        <v>309</v>
      </c>
      <c r="O4477">
        <v>11.13</v>
      </c>
      <c r="P4477">
        <v>12.49</v>
      </c>
      <c r="Q4477">
        <v>11.01</v>
      </c>
      <c r="R4477">
        <v>10.97</v>
      </c>
      <c r="S4477" t="s">
        <v>40</v>
      </c>
      <c r="T4477">
        <v>2.43</v>
      </c>
      <c r="U4477" t="s">
        <v>848</v>
      </c>
    </row>
    <row r="4478" spans="1:21">
      <c r="A4478" t="str">
        <f>"688586"</f>
        <v>688586</v>
      </c>
      <c r="B4478" t="s">
        <v>8532</v>
      </c>
      <c r="C4478">
        <v>1.19</v>
      </c>
      <c r="D4478">
        <v>32.35</v>
      </c>
      <c r="E4478">
        <v>0.38</v>
      </c>
      <c r="F4478">
        <v>32.35</v>
      </c>
      <c r="G4478">
        <v>32.38</v>
      </c>
      <c r="H4478">
        <v>59060</v>
      </c>
      <c r="I4478">
        <v>369</v>
      </c>
      <c r="J4478">
        <v>-0.08</v>
      </c>
      <c r="K4478">
        <v>3.42</v>
      </c>
      <c r="L4478">
        <v>19029.29</v>
      </c>
      <c r="M4478" t="s">
        <v>8533</v>
      </c>
      <c r="N4478" t="s">
        <v>611</v>
      </c>
      <c r="O4478">
        <v>31.99</v>
      </c>
      <c r="P4478">
        <v>32.87</v>
      </c>
      <c r="Q4478">
        <v>31.6</v>
      </c>
      <c r="R4478">
        <v>31.97</v>
      </c>
      <c r="S4478">
        <v>49.44</v>
      </c>
      <c r="T4478">
        <v>1.14</v>
      </c>
      <c r="U4478" t="s">
        <v>193</v>
      </c>
    </row>
    <row r="4479" spans="1:21">
      <c r="A4479" t="str">
        <f>"688588"</f>
        <v>688588</v>
      </c>
      <c r="B4479" t="s">
        <v>8534</v>
      </c>
      <c r="C4479">
        <v>1.23</v>
      </c>
      <c r="D4479">
        <v>14.82</v>
      </c>
      <c r="E4479">
        <v>0.18</v>
      </c>
      <c r="F4479">
        <v>14.82</v>
      </c>
      <c r="G4479">
        <v>14.83</v>
      </c>
      <c r="H4479">
        <v>19461</v>
      </c>
      <c r="I4479">
        <v>390</v>
      </c>
      <c r="J4479">
        <v>-0.06</v>
      </c>
      <c r="K4479">
        <v>0.77</v>
      </c>
      <c r="L4479">
        <v>2865.49</v>
      </c>
      <c r="M4479" t="s">
        <v>8535</v>
      </c>
      <c r="N4479" t="s">
        <v>30</v>
      </c>
      <c r="O4479">
        <v>14.51</v>
      </c>
      <c r="P4479">
        <v>14.85</v>
      </c>
      <c r="Q4479">
        <v>14.5</v>
      </c>
      <c r="R4479">
        <v>14.64</v>
      </c>
      <c r="S4479">
        <v>43.52</v>
      </c>
      <c r="T4479">
        <v>0.95</v>
      </c>
      <c r="U4479" t="s">
        <v>102</v>
      </c>
    </row>
    <row r="4480" spans="1:21">
      <c r="A4480" t="str">
        <f>"688589"</f>
        <v>688589</v>
      </c>
      <c r="B4480" t="s">
        <v>8536</v>
      </c>
      <c r="C4480">
        <v>14.01</v>
      </c>
      <c r="D4480">
        <v>54.75</v>
      </c>
      <c r="E4480">
        <v>6.73</v>
      </c>
      <c r="F4480">
        <v>54.72</v>
      </c>
      <c r="G4480">
        <v>54.75</v>
      </c>
      <c r="H4480">
        <v>56398</v>
      </c>
      <c r="I4480">
        <v>367</v>
      </c>
      <c r="J4480">
        <v>-0.03</v>
      </c>
      <c r="K4480">
        <v>10.23</v>
      </c>
      <c r="L4480">
        <v>30226.29</v>
      </c>
      <c r="M4480" t="s">
        <v>8537</v>
      </c>
      <c r="N4480" t="s">
        <v>1246</v>
      </c>
      <c r="O4480">
        <v>48.02</v>
      </c>
      <c r="P4480">
        <v>55.88</v>
      </c>
      <c r="Q4480">
        <v>48.02</v>
      </c>
      <c r="R4480">
        <v>48.02</v>
      </c>
      <c r="S4480">
        <v>236.65</v>
      </c>
      <c r="T4480">
        <v>1.06</v>
      </c>
      <c r="U4480" t="s">
        <v>24</v>
      </c>
    </row>
    <row r="4481" spans="1:21">
      <c r="A4481" t="str">
        <f>"688590"</f>
        <v>688590</v>
      </c>
      <c r="B4481" t="s">
        <v>8538</v>
      </c>
      <c r="C4481">
        <v>3.16</v>
      </c>
      <c r="D4481">
        <v>18.28</v>
      </c>
      <c r="E4481">
        <v>0.56</v>
      </c>
      <c r="F4481">
        <v>18.28</v>
      </c>
      <c r="G4481">
        <v>18.31</v>
      </c>
      <c r="H4481">
        <v>14812</v>
      </c>
      <c r="I4481">
        <v>149</v>
      </c>
      <c r="J4481">
        <v>-0.37</v>
      </c>
      <c r="K4481">
        <v>3.83</v>
      </c>
      <c r="L4481">
        <v>2698.86</v>
      </c>
      <c r="M4481" t="s">
        <v>7027</v>
      </c>
      <c r="N4481" t="s">
        <v>30</v>
      </c>
      <c r="O4481">
        <v>18.28</v>
      </c>
      <c r="P4481">
        <v>18.44</v>
      </c>
      <c r="Q4481">
        <v>17.8</v>
      </c>
      <c r="R4481">
        <v>17.72</v>
      </c>
      <c r="S4481">
        <v>52.72</v>
      </c>
      <c r="T4481">
        <v>1.08</v>
      </c>
      <c r="U4481" t="s">
        <v>848</v>
      </c>
    </row>
    <row r="4482" spans="1:21">
      <c r="A4482" t="str">
        <f>"688595"</f>
        <v>688595</v>
      </c>
      <c r="B4482" t="s">
        <v>8539</v>
      </c>
      <c r="C4482">
        <v>1.59</v>
      </c>
      <c r="D4482">
        <v>98.11</v>
      </c>
      <c r="E4482">
        <v>1.54</v>
      </c>
      <c r="F4482">
        <v>98.11</v>
      </c>
      <c r="G4482">
        <v>98.12</v>
      </c>
      <c r="H4482">
        <v>15623</v>
      </c>
      <c r="I4482">
        <v>160</v>
      </c>
      <c r="J4482">
        <v>-0.08</v>
      </c>
      <c r="K4482">
        <v>2.97</v>
      </c>
      <c r="L4482">
        <v>15305.33</v>
      </c>
      <c r="M4482" t="s">
        <v>8540</v>
      </c>
      <c r="N4482" t="s">
        <v>1246</v>
      </c>
      <c r="O4482">
        <v>97.27</v>
      </c>
      <c r="P4482">
        <v>98.95</v>
      </c>
      <c r="Q4482">
        <v>96.4</v>
      </c>
      <c r="R4482">
        <v>96.57</v>
      </c>
      <c r="S4482">
        <v>88.73</v>
      </c>
      <c r="T4482">
        <v>0.68</v>
      </c>
      <c r="U4482" t="s">
        <v>24</v>
      </c>
    </row>
    <row r="4483" spans="1:21">
      <c r="A4483" t="str">
        <f>"688596"</f>
        <v>688596</v>
      </c>
      <c r="B4483" t="s">
        <v>8541</v>
      </c>
      <c r="C4483">
        <v>0.17</v>
      </c>
      <c r="D4483">
        <v>28.95</v>
      </c>
      <c r="E4483">
        <v>0.05</v>
      </c>
      <c r="F4483">
        <v>28.94</v>
      </c>
      <c r="G4483">
        <v>28.95</v>
      </c>
      <c r="H4483">
        <v>49600</v>
      </c>
      <c r="I4483">
        <v>402</v>
      </c>
      <c r="J4483">
        <v>-0.3</v>
      </c>
      <c r="K4483">
        <v>2.84</v>
      </c>
      <c r="L4483">
        <v>14316.07</v>
      </c>
      <c r="M4483" t="s">
        <v>2009</v>
      </c>
      <c r="N4483" t="s">
        <v>324</v>
      </c>
      <c r="O4483">
        <v>29.33</v>
      </c>
      <c r="P4483">
        <v>29.4</v>
      </c>
      <c r="Q4483">
        <v>28.32</v>
      </c>
      <c r="R4483">
        <v>28.9</v>
      </c>
      <c r="S4483">
        <v>51.83</v>
      </c>
      <c r="T4483">
        <v>0.7</v>
      </c>
      <c r="U4483" t="s">
        <v>848</v>
      </c>
    </row>
    <row r="4484" spans="1:21">
      <c r="A4484" t="str">
        <f>"688597"</f>
        <v>688597</v>
      </c>
      <c r="B4484" t="s">
        <v>8542</v>
      </c>
      <c r="C4484">
        <v>5.78</v>
      </c>
      <c r="D4484">
        <v>13.54</v>
      </c>
      <c r="E4484">
        <v>0.74</v>
      </c>
      <c r="F4484">
        <v>13.53</v>
      </c>
      <c r="G4484">
        <v>13.54</v>
      </c>
      <c r="H4484">
        <v>41528</v>
      </c>
      <c r="I4484">
        <v>242</v>
      </c>
      <c r="J4484">
        <v>-0.28</v>
      </c>
      <c r="K4484">
        <v>11.07</v>
      </c>
      <c r="L4484">
        <v>5561.03</v>
      </c>
      <c r="M4484" t="s">
        <v>1879</v>
      </c>
      <c r="N4484" t="s">
        <v>1028</v>
      </c>
      <c r="O4484">
        <v>12.82</v>
      </c>
      <c r="P4484">
        <v>13.68</v>
      </c>
      <c r="Q4484">
        <v>12.82</v>
      </c>
      <c r="R4484">
        <v>12.8</v>
      </c>
      <c r="S4484" t="s">
        <v>40</v>
      </c>
      <c r="T4484">
        <v>1.54</v>
      </c>
      <c r="U4484" t="s">
        <v>44</v>
      </c>
    </row>
    <row r="4485" spans="1:21">
      <c r="A4485" t="str">
        <f>"688598"</f>
        <v>688598</v>
      </c>
      <c r="B4485" t="s">
        <v>8543</v>
      </c>
      <c r="C4485">
        <v>4.88</v>
      </c>
      <c r="D4485">
        <v>336.15</v>
      </c>
      <c r="E4485">
        <v>15.65</v>
      </c>
      <c r="F4485">
        <v>336.15</v>
      </c>
      <c r="G4485">
        <v>338</v>
      </c>
      <c r="H4485">
        <v>18274</v>
      </c>
      <c r="I4485">
        <v>38</v>
      </c>
      <c r="J4485">
        <v>-0.4</v>
      </c>
      <c r="K4485">
        <v>2.82</v>
      </c>
      <c r="L4485">
        <v>60342.87</v>
      </c>
      <c r="M4485" t="s">
        <v>8544</v>
      </c>
      <c r="N4485" t="s">
        <v>750</v>
      </c>
      <c r="O4485">
        <v>317.01</v>
      </c>
      <c r="P4485">
        <v>338.5</v>
      </c>
      <c r="Q4485">
        <v>317</v>
      </c>
      <c r="R4485">
        <v>320.5</v>
      </c>
      <c r="S4485">
        <v>60.46</v>
      </c>
      <c r="T4485">
        <v>1.19</v>
      </c>
      <c r="U4485" t="s">
        <v>204</v>
      </c>
    </row>
    <row r="4486" spans="1:21">
      <c r="A4486" t="str">
        <f>"688599"</f>
        <v>688599</v>
      </c>
      <c r="B4486" t="s">
        <v>8545</v>
      </c>
      <c r="C4486">
        <v>10.01</v>
      </c>
      <c r="D4486">
        <v>81.8</v>
      </c>
      <c r="E4486">
        <v>7.44</v>
      </c>
      <c r="F4486">
        <v>81.8</v>
      </c>
      <c r="G4486">
        <v>81.81</v>
      </c>
      <c r="H4486">
        <v>328216</v>
      </c>
      <c r="I4486">
        <v>2685</v>
      </c>
      <c r="J4486">
        <v>0.83</v>
      </c>
      <c r="K4486">
        <v>2.7</v>
      </c>
      <c r="L4486">
        <v>254772.2</v>
      </c>
      <c r="M4486" t="s">
        <v>8546</v>
      </c>
      <c r="N4486" t="s">
        <v>47</v>
      </c>
      <c r="O4486">
        <v>74</v>
      </c>
      <c r="P4486">
        <v>82.28</v>
      </c>
      <c r="Q4486">
        <v>73</v>
      </c>
      <c r="R4486">
        <v>74.36</v>
      </c>
      <c r="S4486">
        <v>109.72</v>
      </c>
      <c r="T4486">
        <v>1.71</v>
      </c>
      <c r="U4486" t="s">
        <v>102</v>
      </c>
    </row>
    <row r="4487" spans="1:21">
      <c r="A4487" t="str">
        <f>"688600"</f>
        <v>688600</v>
      </c>
      <c r="B4487" t="s">
        <v>8547</v>
      </c>
      <c r="C4487">
        <v>4.91</v>
      </c>
      <c r="D4487">
        <v>19.66</v>
      </c>
      <c r="E4487">
        <v>0.92</v>
      </c>
      <c r="F4487">
        <v>19.66</v>
      </c>
      <c r="G4487">
        <v>19.67</v>
      </c>
      <c r="H4487">
        <v>57760</v>
      </c>
      <c r="I4487">
        <v>240</v>
      </c>
      <c r="J4487">
        <v>-0.19</v>
      </c>
      <c r="K4487">
        <v>8.66</v>
      </c>
      <c r="L4487">
        <v>11478.42</v>
      </c>
      <c r="M4487" t="s">
        <v>7973</v>
      </c>
      <c r="N4487" t="s">
        <v>1028</v>
      </c>
      <c r="O4487">
        <v>18.94</v>
      </c>
      <c r="P4487">
        <v>20.8</v>
      </c>
      <c r="Q4487">
        <v>18.94</v>
      </c>
      <c r="R4487">
        <v>18.74</v>
      </c>
      <c r="S4487">
        <v>374.83</v>
      </c>
      <c r="T4487">
        <v>1.8</v>
      </c>
      <c r="U4487" t="s">
        <v>193</v>
      </c>
    </row>
    <row r="4488" spans="1:21">
      <c r="A4488" t="str">
        <f>"688601"</f>
        <v>688601</v>
      </c>
      <c r="B4488" t="s">
        <v>8548</v>
      </c>
      <c r="C4488">
        <v>5.05</v>
      </c>
      <c r="D4488">
        <v>184.26</v>
      </c>
      <c r="E4488">
        <v>8.86</v>
      </c>
      <c r="F4488">
        <v>184.26</v>
      </c>
      <c r="G4488">
        <v>184.28</v>
      </c>
      <c r="H4488">
        <v>8603</v>
      </c>
      <c r="I4488">
        <v>64</v>
      </c>
      <c r="J4488">
        <v>0.1</v>
      </c>
      <c r="K4488">
        <v>6.6</v>
      </c>
      <c r="L4488">
        <v>15653.2</v>
      </c>
      <c r="M4488" t="s">
        <v>8549</v>
      </c>
      <c r="N4488" t="s">
        <v>1246</v>
      </c>
      <c r="O4488">
        <v>175.12</v>
      </c>
      <c r="P4488">
        <v>186.2</v>
      </c>
      <c r="Q4488">
        <v>174.58</v>
      </c>
      <c r="R4488">
        <v>175.4</v>
      </c>
      <c r="S4488">
        <v>76.77</v>
      </c>
      <c r="T4488">
        <v>1.28</v>
      </c>
      <c r="U4488" t="s">
        <v>102</v>
      </c>
    </row>
    <row r="4489" spans="1:21">
      <c r="A4489" t="str">
        <f>"688606"</f>
        <v>688606</v>
      </c>
      <c r="B4489" t="s">
        <v>8550</v>
      </c>
      <c r="C4489">
        <v>1.69</v>
      </c>
      <c r="D4489">
        <v>111.86</v>
      </c>
      <c r="E4489">
        <v>1.86</v>
      </c>
      <c r="F4489">
        <v>111.86</v>
      </c>
      <c r="G4489">
        <v>112.1</v>
      </c>
      <c r="H4489">
        <v>1782</v>
      </c>
      <c r="I4489">
        <v>4</v>
      </c>
      <c r="J4489">
        <v>-0.28</v>
      </c>
      <c r="K4489">
        <v>1.37</v>
      </c>
      <c r="L4489">
        <v>1986.97</v>
      </c>
      <c r="M4489" t="s">
        <v>8551</v>
      </c>
      <c r="N4489" t="s">
        <v>231</v>
      </c>
      <c r="O4489">
        <v>111.69</v>
      </c>
      <c r="P4489">
        <v>112.42</v>
      </c>
      <c r="Q4489">
        <v>110.08</v>
      </c>
      <c r="R4489">
        <v>110</v>
      </c>
      <c r="S4489">
        <v>9.38</v>
      </c>
      <c r="T4489">
        <v>0.74</v>
      </c>
      <c r="U4489" t="s">
        <v>200</v>
      </c>
    </row>
    <row r="4490" spans="1:21">
      <c r="A4490" t="str">
        <f>"688607"</f>
        <v>688607</v>
      </c>
      <c r="B4490" t="s">
        <v>8552</v>
      </c>
      <c r="C4490">
        <v>3.42</v>
      </c>
      <c r="D4490">
        <v>38.45</v>
      </c>
      <c r="E4490">
        <v>1.27</v>
      </c>
      <c r="F4490">
        <v>38.44</v>
      </c>
      <c r="G4490">
        <v>38.45</v>
      </c>
      <c r="H4490">
        <v>8385</v>
      </c>
      <c r="I4490">
        <v>208</v>
      </c>
      <c r="J4490">
        <v>-0.22</v>
      </c>
      <c r="K4490">
        <v>4.37</v>
      </c>
      <c r="L4490">
        <v>3224.31</v>
      </c>
      <c r="M4490" t="s">
        <v>5004</v>
      </c>
      <c r="N4490" t="s">
        <v>186</v>
      </c>
      <c r="O4490">
        <v>38.47</v>
      </c>
      <c r="P4490">
        <v>38.88</v>
      </c>
      <c r="Q4490">
        <v>37.52</v>
      </c>
      <c r="R4490">
        <v>37.18</v>
      </c>
      <c r="S4490">
        <v>39.94</v>
      </c>
      <c r="T4490">
        <v>0.97</v>
      </c>
      <c r="U4490" t="s">
        <v>102</v>
      </c>
    </row>
    <row r="4491" spans="1:21">
      <c r="A4491" t="str">
        <f>"688608"</f>
        <v>688608</v>
      </c>
      <c r="B4491" t="s">
        <v>8553</v>
      </c>
      <c r="C4491">
        <v>1.25</v>
      </c>
      <c r="D4491">
        <v>252.33</v>
      </c>
      <c r="E4491">
        <v>3.12</v>
      </c>
      <c r="F4491">
        <v>252.33</v>
      </c>
      <c r="G4491">
        <v>252.62</v>
      </c>
      <c r="H4491">
        <v>6927</v>
      </c>
      <c r="I4491">
        <v>64</v>
      </c>
      <c r="J4491">
        <v>-0.02</v>
      </c>
      <c r="K4491">
        <v>2.81</v>
      </c>
      <c r="L4491">
        <v>17348.69</v>
      </c>
      <c r="M4491" t="s">
        <v>8554</v>
      </c>
      <c r="N4491" t="s">
        <v>1246</v>
      </c>
      <c r="O4491">
        <v>250.17</v>
      </c>
      <c r="P4491">
        <v>254.39</v>
      </c>
      <c r="Q4491">
        <v>243</v>
      </c>
      <c r="R4491">
        <v>249.21</v>
      </c>
      <c r="S4491">
        <v>77.24</v>
      </c>
      <c r="T4491">
        <v>0.93</v>
      </c>
      <c r="U4491" t="s">
        <v>848</v>
      </c>
    </row>
    <row r="4492" spans="1:21">
      <c r="A4492" t="str">
        <f>"688609"</f>
        <v>688609</v>
      </c>
      <c r="B4492" t="s">
        <v>8555</v>
      </c>
      <c r="C4492">
        <v>2.74</v>
      </c>
      <c r="D4492">
        <v>14.27</v>
      </c>
      <c r="E4492">
        <v>0.38</v>
      </c>
      <c r="F4492">
        <v>14.27</v>
      </c>
      <c r="G4492">
        <v>14.28</v>
      </c>
      <c r="H4492">
        <v>87009</v>
      </c>
      <c r="I4492">
        <v>1318</v>
      </c>
      <c r="J4492">
        <v>-0.13</v>
      </c>
      <c r="K4492">
        <v>10.24</v>
      </c>
      <c r="L4492">
        <v>12472.51</v>
      </c>
      <c r="M4492" t="s">
        <v>8556</v>
      </c>
      <c r="N4492" t="s">
        <v>60</v>
      </c>
      <c r="O4492">
        <v>13.9</v>
      </c>
      <c r="P4492">
        <v>14.77</v>
      </c>
      <c r="Q4492">
        <v>13.8</v>
      </c>
      <c r="R4492">
        <v>13.89</v>
      </c>
      <c r="S4492">
        <v>169.36</v>
      </c>
      <c r="T4492">
        <v>0.82</v>
      </c>
      <c r="U4492" t="s">
        <v>183</v>
      </c>
    </row>
    <row r="4493" spans="1:21">
      <c r="A4493" t="str">
        <f>"688611"</f>
        <v>688611</v>
      </c>
      <c r="B4493" t="s">
        <v>8557</v>
      </c>
      <c r="C4493">
        <v>1.99</v>
      </c>
      <c r="D4493">
        <v>94.14</v>
      </c>
      <c r="E4493">
        <v>1.84</v>
      </c>
      <c r="F4493">
        <v>94.14</v>
      </c>
      <c r="G4493">
        <v>94.31</v>
      </c>
      <c r="H4493">
        <v>7940</v>
      </c>
      <c r="I4493">
        <v>128</v>
      </c>
      <c r="J4493">
        <v>-0.9</v>
      </c>
      <c r="K4493">
        <v>5.98</v>
      </c>
      <c r="L4493">
        <v>7502.18</v>
      </c>
      <c r="M4493" t="s">
        <v>8558</v>
      </c>
      <c r="N4493" t="s">
        <v>47</v>
      </c>
      <c r="O4493">
        <v>93.41</v>
      </c>
      <c r="P4493">
        <v>96.4</v>
      </c>
      <c r="Q4493">
        <v>90.67</v>
      </c>
      <c r="R4493">
        <v>92.3</v>
      </c>
      <c r="S4493">
        <v>119.6</v>
      </c>
      <c r="T4493">
        <v>0.54</v>
      </c>
      <c r="U4493" t="s">
        <v>200</v>
      </c>
    </row>
    <row r="4494" spans="1:21">
      <c r="A4494" t="str">
        <f>"688613"</f>
        <v>688613</v>
      </c>
      <c r="B4494" t="s">
        <v>8559</v>
      </c>
      <c r="C4494">
        <v>0.82</v>
      </c>
      <c r="D4494">
        <v>56.4</v>
      </c>
      <c r="E4494">
        <v>0.46</v>
      </c>
      <c r="F4494">
        <v>56.4</v>
      </c>
      <c r="G4494">
        <v>56.41</v>
      </c>
      <c r="H4494">
        <v>5656</v>
      </c>
      <c r="I4494">
        <v>64</v>
      </c>
      <c r="J4494">
        <v>0.09</v>
      </c>
      <c r="K4494">
        <v>1.98</v>
      </c>
      <c r="L4494">
        <v>3190.03</v>
      </c>
      <c r="M4494" t="s">
        <v>8560</v>
      </c>
      <c r="N4494" t="s">
        <v>186</v>
      </c>
      <c r="O4494">
        <v>55.89</v>
      </c>
      <c r="P4494">
        <v>56.96</v>
      </c>
      <c r="Q4494">
        <v>55.66</v>
      </c>
      <c r="R4494">
        <v>55.94</v>
      </c>
      <c r="S4494">
        <v>66.34</v>
      </c>
      <c r="T4494">
        <v>0.62</v>
      </c>
      <c r="U4494" t="s">
        <v>44</v>
      </c>
    </row>
    <row r="4495" spans="1:21">
      <c r="A4495" t="str">
        <f>"688616"</f>
        <v>688616</v>
      </c>
      <c r="B4495" t="s">
        <v>8561</v>
      </c>
      <c r="C4495">
        <v>1.88</v>
      </c>
      <c r="D4495">
        <v>13.54</v>
      </c>
      <c r="E4495">
        <v>0.25</v>
      </c>
      <c r="F4495">
        <v>13.51</v>
      </c>
      <c r="G4495">
        <v>13.54</v>
      </c>
      <c r="H4495">
        <v>11459</v>
      </c>
      <c r="I4495">
        <v>140</v>
      </c>
      <c r="J4495">
        <v>0.22</v>
      </c>
      <c r="K4495">
        <v>3.19</v>
      </c>
      <c r="L4495">
        <v>1552.2</v>
      </c>
      <c r="M4495" t="s">
        <v>8562</v>
      </c>
      <c r="N4495" t="s">
        <v>1028</v>
      </c>
      <c r="O4495">
        <v>13.32</v>
      </c>
      <c r="P4495">
        <v>13.68</v>
      </c>
      <c r="Q4495">
        <v>13.32</v>
      </c>
      <c r="R4495">
        <v>13.29</v>
      </c>
      <c r="S4495">
        <v>34.28</v>
      </c>
      <c r="T4495">
        <v>0.92</v>
      </c>
      <c r="U4495" t="s">
        <v>200</v>
      </c>
    </row>
    <row r="4496" spans="1:21">
      <c r="A4496" t="str">
        <f>"688617"</f>
        <v>688617</v>
      </c>
      <c r="B4496" t="s">
        <v>8563</v>
      </c>
      <c r="C4496">
        <v>-0.96</v>
      </c>
      <c r="D4496">
        <v>285.73</v>
      </c>
      <c r="E4496">
        <v>-2.77</v>
      </c>
      <c r="F4496">
        <v>285.73</v>
      </c>
      <c r="G4496">
        <v>286.99</v>
      </c>
      <c r="H4496">
        <v>5101</v>
      </c>
      <c r="I4496">
        <v>29</v>
      </c>
      <c r="J4496">
        <v>0</v>
      </c>
      <c r="K4496">
        <v>3.56</v>
      </c>
      <c r="L4496">
        <v>14711.26</v>
      </c>
      <c r="M4496" t="s">
        <v>8564</v>
      </c>
      <c r="N4496" t="s">
        <v>186</v>
      </c>
      <c r="O4496">
        <v>288.66</v>
      </c>
      <c r="P4496">
        <v>296</v>
      </c>
      <c r="Q4496">
        <v>282.28</v>
      </c>
      <c r="R4496">
        <v>288.5</v>
      </c>
      <c r="S4496">
        <v>88.18</v>
      </c>
      <c r="T4496">
        <v>1.42</v>
      </c>
      <c r="U4496" t="s">
        <v>24</v>
      </c>
    </row>
    <row r="4497" spans="1:21">
      <c r="A4497" t="str">
        <f>"688618"</f>
        <v>688618</v>
      </c>
      <c r="B4497" t="s">
        <v>8565</v>
      </c>
      <c r="C4497">
        <v>1.7</v>
      </c>
      <c r="D4497">
        <v>43.61</v>
      </c>
      <c r="E4497">
        <v>0.73</v>
      </c>
      <c r="F4497">
        <v>43.61</v>
      </c>
      <c r="G4497">
        <v>43.66</v>
      </c>
      <c r="H4497">
        <v>3356</v>
      </c>
      <c r="I4497">
        <v>10</v>
      </c>
      <c r="J4497">
        <v>-0.15</v>
      </c>
      <c r="K4497">
        <v>2.93</v>
      </c>
      <c r="L4497">
        <v>1452.65</v>
      </c>
      <c r="M4497" t="s">
        <v>8566</v>
      </c>
      <c r="N4497" t="s">
        <v>153</v>
      </c>
      <c r="O4497">
        <v>42.9</v>
      </c>
      <c r="P4497">
        <v>43.89</v>
      </c>
      <c r="Q4497">
        <v>42.51</v>
      </c>
      <c r="R4497">
        <v>42.88</v>
      </c>
      <c r="S4497">
        <v>39.33</v>
      </c>
      <c r="T4497">
        <v>0.67</v>
      </c>
      <c r="U4497" t="s">
        <v>24</v>
      </c>
    </row>
    <row r="4498" spans="1:21">
      <c r="A4498" t="str">
        <f>"688619"</f>
        <v>688619</v>
      </c>
      <c r="B4498" t="s">
        <v>8567</v>
      </c>
      <c r="C4498">
        <v>1.42</v>
      </c>
      <c r="D4498">
        <v>20.69</v>
      </c>
      <c r="E4498">
        <v>0.29</v>
      </c>
      <c r="F4498">
        <v>20.69</v>
      </c>
      <c r="G4498">
        <v>20.7</v>
      </c>
      <c r="H4498">
        <v>8101</v>
      </c>
      <c r="I4498">
        <v>98</v>
      </c>
      <c r="J4498">
        <v>-0.38</v>
      </c>
      <c r="K4498">
        <v>1.81</v>
      </c>
      <c r="L4498">
        <v>1675.13</v>
      </c>
      <c r="M4498" t="s">
        <v>8568</v>
      </c>
      <c r="N4498" t="s">
        <v>30</v>
      </c>
      <c r="O4498">
        <v>20.4</v>
      </c>
      <c r="P4498">
        <v>20.84</v>
      </c>
      <c r="Q4498">
        <v>20.4</v>
      </c>
      <c r="R4498">
        <v>20.4</v>
      </c>
      <c r="S4498">
        <v>73.38</v>
      </c>
      <c r="T4498">
        <v>0.96</v>
      </c>
      <c r="U4498" t="s">
        <v>339</v>
      </c>
    </row>
    <row r="4499" spans="1:21">
      <c r="A4499" t="str">
        <f>"688621"</f>
        <v>688621</v>
      </c>
      <c r="B4499" t="s">
        <v>8569</v>
      </c>
      <c r="C4499">
        <v>0.35</v>
      </c>
      <c r="D4499">
        <v>119.02</v>
      </c>
      <c r="E4499">
        <v>0.42</v>
      </c>
      <c r="F4499">
        <v>119.02</v>
      </c>
      <c r="G4499">
        <v>119.1</v>
      </c>
      <c r="H4499">
        <v>5935</v>
      </c>
      <c r="I4499">
        <v>36</v>
      </c>
      <c r="J4499">
        <v>-0.01</v>
      </c>
      <c r="K4499">
        <v>3.44</v>
      </c>
      <c r="L4499">
        <v>7062.88</v>
      </c>
      <c r="M4499" t="s">
        <v>8570</v>
      </c>
      <c r="N4499" t="s">
        <v>186</v>
      </c>
      <c r="O4499">
        <v>118.5</v>
      </c>
      <c r="P4499">
        <v>120.3</v>
      </c>
      <c r="Q4499">
        <v>117.8</v>
      </c>
      <c r="R4499">
        <v>118.6</v>
      </c>
      <c r="S4499">
        <v>83.88</v>
      </c>
      <c r="T4499">
        <v>0.62</v>
      </c>
      <c r="U4499" t="s">
        <v>44</v>
      </c>
    </row>
    <row r="4500" spans="1:21">
      <c r="A4500" t="str">
        <f>"688622"</f>
        <v>688622</v>
      </c>
      <c r="B4500" t="s">
        <v>8571</v>
      </c>
      <c r="C4500">
        <v>3.41</v>
      </c>
      <c r="D4500">
        <v>68.8</v>
      </c>
      <c r="E4500">
        <v>2.27</v>
      </c>
      <c r="F4500">
        <v>68.6</v>
      </c>
      <c r="G4500">
        <v>68.8</v>
      </c>
      <c r="H4500">
        <v>2745</v>
      </c>
      <c r="I4500">
        <v>16</v>
      </c>
      <c r="J4500">
        <v>0.29</v>
      </c>
      <c r="K4500">
        <v>1.93</v>
      </c>
      <c r="L4500">
        <v>1890.19</v>
      </c>
      <c r="M4500" t="s">
        <v>8572</v>
      </c>
      <c r="N4500" t="s">
        <v>1028</v>
      </c>
      <c r="O4500">
        <v>67.23</v>
      </c>
      <c r="P4500">
        <v>70.83</v>
      </c>
      <c r="Q4500">
        <v>66.65</v>
      </c>
      <c r="R4500">
        <v>66.53</v>
      </c>
      <c r="S4500">
        <v>91.93</v>
      </c>
      <c r="T4500">
        <v>0.67</v>
      </c>
      <c r="U4500" t="s">
        <v>183</v>
      </c>
    </row>
    <row r="4501" spans="1:21">
      <c r="A4501" t="str">
        <f>"688625"</f>
        <v>688625</v>
      </c>
      <c r="B4501" t="s">
        <v>8573</v>
      </c>
      <c r="C4501">
        <v>0.36</v>
      </c>
      <c r="D4501">
        <v>57.81</v>
      </c>
      <c r="E4501">
        <v>0.21</v>
      </c>
      <c r="F4501">
        <v>57.81</v>
      </c>
      <c r="G4501">
        <v>57.94</v>
      </c>
      <c r="H4501">
        <v>5237</v>
      </c>
      <c r="I4501">
        <v>31</v>
      </c>
      <c r="J4501">
        <v>0.28</v>
      </c>
      <c r="K4501">
        <v>1.82</v>
      </c>
      <c r="L4501">
        <v>3034.78</v>
      </c>
      <c r="M4501" t="s">
        <v>8574</v>
      </c>
      <c r="N4501" t="s">
        <v>309</v>
      </c>
      <c r="O4501">
        <v>57.51</v>
      </c>
      <c r="P4501">
        <v>58.88</v>
      </c>
      <c r="Q4501">
        <v>57.14</v>
      </c>
      <c r="R4501">
        <v>57.6</v>
      </c>
      <c r="S4501">
        <v>49.87</v>
      </c>
      <c r="T4501">
        <v>0.7</v>
      </c>
      <c r="U4501" t="s">
        <v>183</v>
      </c>
    </row>
    <row r="4502" spans="1:21">
      <c r="A4502" t="str">
        <f>"688626"</f>
        <v>688626</v>
      </c>
      <c r="B4502" t="s">
        <v>8575</v>
      </c>
      <c r="C4502">
        <v>-0.99</v>
      </c>
      <c r="D4502">
        <v>55.79</v>
      </c>
      <c r="E4502">
        <v>-0.56</v>
      </c>
      <c r="F4502">
        <v>55.79</v>
      </c>
      <c r="G4502">
        <v>55.8</v>
      </c>
      <c r="H4502">
        <v>14056</v>
      </c>
      <c r="I4502">
        <v>427</v>
      </c>
      <c r="J4502">
        <v>0</v>
      </c>
      <c r="K4502">
        <v>3.63</v>
      </c>
      <c r="L4502">
        <v>7919.17</v>
      </c>
      <c r="M4502" t="s">
        <v>8576</v>
      </c>
      <c r="N4502" t="s">
        <v>186</v>
      </c>
      <c r="O4502">
        <v>56.46</v>
      </c>
      <c r="P4502">
        <v>57.9</v>
      </c>
      <c r="Q4502">
        <v>55.39</v>
      </c>
      <c r="R4502">
        <v>56.35</v>
      </c>
      <c r="S4502">
        <v>50.94</v>
      </c>
      <c r="T4502">
        <v>0.7</v>
      </c>
      <c r="U4502" t="s">
        <v>224</v>
      </c>
    </row>
    <row r="4503" spans="1:21">
      <c r="A4503" t="str">
        <f>"688628"</f>
        <v>688628</v>
      </c>
      <c r="B4503" t="s">
        <v>8577</v>
      </c>
      <c r="C4503">
        <v>2.89</v>
      </c>
      <c r="D4503">
        <v>26.36</v>
      </c>
      <c r="E4503">
        <v>0.74</v>
      </c>
      <c r="F4503">
        <v>26.35</v>
      </c>
      <c r="G4503">
        <v>26.36</v>
      </c>
      <c r="H4503">
        <v>4700</v>
      </c>
      <c r="I4503">
        <v>52</v>
      </c>
      <c r="J4503">
        <v>0.11</v>
      </c>
      <c r="K4503">
        <v>1.8</v>
      </c>
      <c r="L4503">
        <v>1228.47</v>
      </c>
      <c r="M4503" t="s">
        <v>4712</v>
      </c>
      <c r="N4503" t="s">
        <v>1028</v>
      </c>
      <c r="O4503">
        <v>25.62</v>
      </c>
      <c r="P4503">
        <v>26.42</v>
      </c>
      <c r="Q4503">
        <v>25.62</v>
      </c>
      <c r="R4503">
        <v>25.62</v>
      </c>
      <c r="S4503">
        <v>21.71</v>
      </c>
      <c r="T4503">
        <v>1.03</v>
      </c>
      <c r="U4503" t="s">
        <v>183</v>
      </c>
    </row>
    <row r="4504" spans="1:21">
      <c r="A4504" t="str">
        <f>"688630"</f>
        <v>688630</v>
      </c>
      <c r="B4504" t="s">
        <v>8578</v>
      </c>
      <c r="C4504">
        <v>4.02</v>
      </c>
      <c r="D4504">
        <v>74.29</v>
      </c>
      <c r="E4504">
        <v>2.87</v>
      </c>
      <c r="F4504">
        <v>74.25</v>
      </c>
      <c r="G4504">
        <v>74.29</v>
      </c>
      <c r="H4504">
        <v>17971</v>
      </c>
      <c r="I4504">
        <v>186</v>
      </c>
      <c r="J4504">
        <v>-0.51</v>
      </c>
      <c r="K4504">
        <v>7</v>
      </c>
      <c r="L4504">
        <v>13397.91</v>
      </c>
      <c r="M4504" t="s">
        <v>8579</v>
      </c>
      <c r="N4504" t="s">
        <v>324</v>
      </c>
      <c r="O4504">
        <v>72.13</v>
      </c>
      <c r="P4504">
        <v>75.61</v>
      </c>
      <c r="Q4504">
        <v>71.43</v>
      </c>
      <c r="R4504">
        <v>71.42</v>
      </c>
      <c r="S4504">
        <v>106.48</v>
      </c>
      <c r="T4504">
        <v>1.1</v>
      </c>
      <c r="U4504" t="s">
        <v>193</v>
      </c>
    </row>
    <row r="4505" spans="1:21">
      <c r="A4505" t="str">
        <f>"688633"</f>
        <v>688633</v>
      </c>
      <c r="B4505" t="s">
        <v>8580</v>
      </c>
      <c r="C4505">
        <v>7.92</v>
      </c>
      <c r="D4505">
        <v>73.06</v>
      </c>
      <c r="E4505">
        <v>5.36</v>
      </c>
      <c r="F4505">
        <v>73.06</v>
      </c>
      <c r="G4505">
        <v>73.07</v>
      </c>
      <c r="H4505">
        <v>11557</v>
      </c>
      <c r="I4505">
        <v>59</v>
      </c>
      <c r="J4505">
        <v>-0.03</v>
      </c>
      <c r="K4505">
        <v>6.69</v>
      </c>
      <c r="L4505">
        <v>8250.26</v>
      </c>
      <c r="M4505" t="s">
        <v>4780</v>
      </c>
      <c r="N4505" t="s">
        <v>324</v>
      </c>
      <c r="O4505">
        <v>66.91</v>
      </c>
      <c r="P4505">
        <v>74.46</v>
      </c>
      <c r="Q4505">
        <v>66.91</v>
      </c>
      <c r="R4505">
        <v>67.7</v>
      </c>
      <c r="S4505">
        <v>46.09</v>
      </c>
      <c r="T4505">
        <v>1.61</v>
      </c>
      <c r="U4505" t="s">
        <v>102</v>
      </c>
    </row>
    <row r="4506" spans="1:21">
      <c r="A4506" t="str">
        <f>"688636"</f>
        <v>688636</v>
      </c>
      <c r="B4506" t="s">
        <v>8581</v>
      </c>
      <c r="C4506">
        <v>-1.3</v>
      </c>
      <c r="D4506">
        <v>163.9</v>
      </c>
      <c r="E4506">
        <v>-2.16</v>
      </c>
      <c r="F4506">
        <v>163.88</v>
      </c>
      <c r="G4506">
        <v>163.9</v>
      </c>
      <c r="H4506">
        <v>2497</v>
      </c>
      <c r="I4506">
        <v>29</v>
      </c>
      <c r="J4506">
        <v>0.27</v>
      </c>
      <c r="K4506">
        <v>2.35</v>
      </c>
      <c r="L4506">
        <v>4113.96</v>
      </c>
      <c r="M4506" t="s">
        <v>8582</v>
      </c>
      <c r="N4506" t="s">
        <v>69</v>
      </c>
      <c r="O4506">
        <v>164.21</v>
      </c>
      <c r="P4506">
        <v>168.2</v>
      </c>
      <c r="Q4506">
        <v>163.11</v>
      </c>
      <c r="R4506">
        <v>166.06</v>
      </c>
      <c r="S4506">
        <v>90.61</v>
      </c>
      <c r="T4506">
        <v>0.65</v>
      </c>
      <c r="U4506" t="s">
        <v>196</v>
      </c>
    </row>
    <row r="4507" spans="1:21">
      <c r="A4507" t="str">
        <f>"688639"</f>
        <v>688639</v>
      </c>
      <c r="B4507" t="s">
        <v>8583</v>
      </c>
      <c r="C4507">
        <v>-1.88</v>
      </c>
      <c r="D4507">
        <v>90.53</v>
      </c>
      <c r="E4507">
        <v>-1.73</v>
      </c>
      <c r="F4507">
        <v>90.31</v>
      </c>
      <c r="G4507">
        <v>90.53</v>
      </c>
      <c r="H4507">
        <v>5780</v>
      </c>
      <c r="I4507">
        <v>93</v>
      </c>
      <c r="J4507">
        <v>0.24</v>
      </c>
      <c r="K4507">
        <v>2.33</v>
      </c>
      <c r="L4507">
        <v>5239.12</v>
      </c>
      <c r="M4507" t="s">
        <v>6758</v>
      </c>
      <c r="N4507" t="s">
        <v>192</v>
      </c>
      <c r="O4507">
        <v>93</v>
      </c>
      <c r="P4507">
        <v>93</v>
      </c>
      <c r="Q4507">
        <v>89.44</v>
      </c>
      <c r="R4507">
        <v>92.26</v>
      </c>
      <c r="S4507">
        <v>71.83</v>
      </c>
      <c r="T4507">
        <v>0.48</v>
      </c>
      <c r="U4507" t="s">
        <v>193</v>
      </c>
    </row>
    <row r="4508" spans="1:21">
      <c r="A4508" t="str">
        <f>"688655"</f>
        <v>688655</v>
      </c>
      <c r="B4508" t="s">
        <v>8584</v>
      </c>
      <c r="C4508">
        <v>3.77</v>
      </c>
      <c r="D4508">
        <v>19.55</v>
      </c>
      <c r="E4508">
        <v>0.71</v>
      </c>
      <c r="F4508">
        <v>19.55</v>
      </c>
      <c r="G4508">
        <v>19.57</v>
      </c>
      <c r="H4508">
        <v>20025</v>
      </c>
      <c r="I4508">
        <v>266</v>
      </c>
      <c r="J4508">
        <v>-0.04</v>
      </c>
      <c r="K4508">
        <v>6</v>
      </c>
      <c r="L4508">
        <v>3896.53</v>
      </c>
      <c r="M4508" t="s">
        <v>5222</v>
      </c>
      <c r="N4508" t="s">
        <v>69</v>
      </c>
      <c r="O4508">
        <v>18.85</v>
      </c>
      <c r="P4508">
        <v>19.77</v>
      </c>
      <c r="Q4508">
        <v>18.7</v>
      </c>
      <c r="R4508">
        <v>18.84</v>
      </c>
      <c r="S4508">
        <v>34.26</v>
      </c>
      <c r="T4508">
        <v>1.21</v>
      </c>
      <c r="U4508" t="s">
        <v>24</v>
      </c>
    </row>
    <row r="4509" spans="1:21">
      <c r="A4509" t="str">
        <f>"688656"</f>
        <v>688656</v>
      </c>
      <c r="B4509" t="s">
        <v>8585</v>
      </c>
      <c r="C4509">
        <v>0.26</v>
      </c>
      <c r="D4509">
        <v>65.67</v>
      </c>
      <c r="E4509">
        <v>0.17</v>
      </c>
      <c r="F4509">
        <v>65.66</v>
      </c>
      <c r="G4509">
        <v>65.67</v>
      </c>
      <c r="H4509">
        <v>3340</v>
      </c>
      <c r="I4509">
        <v>48</v>
      </c>
      <c r="J4509">
        <v>-0.19</v>
      </c>
      <c r="K4509">
        <v>2.49</v>
      </c>
      <c r="L4509">
        <v>2194.59</v>
      </c>
      <c r="M4509" t="s">
        <v>7409</v>
      </c>
      <c r="N4509" t="s">
        <v>231</v>
      </c>
      <c r="O4509">
        <v>65.5</v>
      </c>
      <c r="P4509">
        <v>66.62</v>
      </c>
      <c r="Q4509">
        <v>64.43</v>
      </c>
      <c r="R4509">
        <v>65.5</v>
      </c>
      <c r="S4509">
        <v>41.55</v>
      </c>
      <c r="T4509">
        <v>0.82</v>
      </c>
      <c r="U4509" t="s">
        <v>102</v>
      </c>
    </row>
    <row r="4510" spans="1:21">
      <c r="A4510" t="str">
        <f>"688658"</f>
        <v>688658</v>
      </c>
      <c r="B4510" t="s">
        <v>8586</v>
      </c>
      <c r="C4510">
        <v>-0.68</v>
      </c>
      <c r="D4510">
        <v>21.97</v>
      </c>
      <c r="E4510">
        <v>-0.15</v>
      </c>
      <c r="F4510">
        <v>21.97</v>
      </c>
      <c r="G4510">
        <v>21.98</v>
      </c>
      <c r="H4510">
        <v>12239</v>
      </c>
      <c r="I4510">
        <v>292</v>
      </c>
      <c r="J4510">
        <v>0.14</v>
      </c>
      <c r="K4510">
        <v>1.37</v>
      </c>
      <c r="L4510">
        <v>2679.87</v>
      </c>
      <c r="M4510" t="s">
        <v>8587</v>
      </c>
      <c r="N4510" t="s">
        <v>192</v>
      </c>
      <c r="O4510">
        <v>22.1</v>
      </c>
      <c r="P4510">
        <v>22.11</v>
      </c>
      <c r="Q4510">
        <v>21.72</v>
      </c>
      <c r="R4510">
        <v>22.12</v>
      </c>
      <c r="S4510">
        <v>19.85</v>
      </c>
      <c r="T4510">
        <v>0.81</v>
      </c>
      <c r="U4510" t="s">
        <v>44</v>
      </c>
    </row>
    <row r="4511" spans="1:21">
      <c r="A4511" t="str">
        <f>"688659"</f>
        <v>688659</v>
      </c>
      <c r="B4511" t="s">
        <v>8588</v>
      </c>
      <c r="C4511">
        <v>2.06</v>
      </c>
      <c r="D4511">
        <v>13.4</v>
      </c>
      <c r="E4511">
        <v>0.27</v>
      </c>
      <c r="F4511">
        <v>13.4</v>
      </c>
      <c r="G4511">
        <v>13.41</v>
      </c>
      <c r="H4511">
        <v>13396</v>
      </c>
      <c r="I4511">
        <v>70</v>
      </c>
      <c r="J4511">
        <v>0</v>
      </c>
      <c r="K4511">
        <v>3.5</v>
      </c>
      <c r="L4511">
        <v>1792</v>
      </c>
      <c r="M4511" t="s">
        <v>8589</v>
      </c>
      <c r="N4511" t="s">
        <v>33</v>
      </c>
      <c r="O4511">
        <v>13.22</v>
      </c>
      <c r="P4511">
        <v>13.51</v>
      </c>
      <c r="Q4511">
        <v>13.09</v>
      </c>
      <c r="R4511">
        <v>13.13</v>
      </c>
      <c r="S4511">
        <v>38.28</v>
      </c>
      <c r="T4511">
        <v>0.85</v>
      </c>
      <c r="U4511" t="s">
        <v>193</v>
      </c>
    </row>
    <row r="4512" spans="1:21">
      <c r="A4512" t="str">
        <f>"688660"</f>
        <v>688660</v>
      </c>
      <c r="B4512" t="s">
        <v>8590</v>
      </c>
      <c r="C4512">
        <v>2.53</v>
      </c>
      <c r="D4512">
        <v>14.59</v>
      </c>
      <c r="E4512">
        <v>0.36</v>
      </c>
      <c r="F4512">
        <v>14.59</v>
      </c>
      <c r="G4512">
        <v>14.6</v>
      </c>
      <c r="H4512">
        <v>364937</v>
      </c>
      <c r="I4512">
        <v>3377</v>
      </c>
      <c r="J4512">
        <v>0.07</v>
      </c>
      <c r="K4512">
        <v>9.5</v>
      </c>
      <c r="L4512">
        <v>52585.65</v>
      </c>
      <c r="M4512" t="s">
        <v>8591</v>
      </c>
      <c r="N4512" t="s">
        <v>47</v>
      </c>
      <c r="O4512">
        <v>14.12</v>
      </c>
      <c r="P4512">
        <v>14.75</v>
      </c>
      <c r="Q4512">
        <v>14.03</v>
      </c>
      <c r="R4512">
        <v>14.23</v>
      </c>
      <c r="S4512">
        <v>30.18</v>
      </c>
      <c r="T4512">
        <v>0.96</v>
      </c>
      <c r="U4512" t="s">
        <v>848</v>
      </c>
    </row>
    <row r="4513" spans="1:21">
      <c r="A4513" t="str">
        <f>"688661"</f>
        <v>688661</v>
      </c>
      <c r="B4513" t="s">
        <v>8592</v>
      </c>
      <c r="C4513">
        <v>2.21</v>
      </c>
      <c r="D4513">
        <v>111.45</v>
      </c>
      <c r="E4513">
        <v>2.41</v>
      </c>
      <c r="F4513">
        <v>111.45</v>
      </c>
      <c r="G4513">
        <v>111.49</v>
      </c>
      <c r="H4513">
        <v>8194</v>
      </c>
      <c r="I4513">
        <v>93</v>
      </c>
      <c r="J4513">
        <v>-0.03</v>
      </c>
      <c r="K4513">
        <v>4.82</v>
      </c>
      <c r="L4513">
        <v>9208.54</v>
      </c>
      <c r="M4513" t="s">
        <v>8593</v>
      </c>
      <c r="N4513" t="s">
        <v>69</v>
      </c>
      <c r="O4513">
        <v>109.66</v>
      </c>
      <c r="P4513">
        <v>114.96</v>
      </c>
      <c r="Q4513">
        <v>108.47</v>
      </c>
      <c r="R4513">
        <v>109.04</v>
      </c>
      <c r="S4513">
        <v>80.22</v>
      </c>
      <c r="T4513">
        <v>0.88</v>
      </c>
      <c r="U4513" t="s">
        <v>102</v>
      </c>
    </row>
    <row r="4514" spans="1:21">
      <c r="A4514" t="str">
        <f>"688662"</f>
        <v>688662</v>
      </c>
      <c r="B4514" t="s">
        <v>8594</v>
      </c>
      <c r="C4514">
        <v>6.79</v>
      </c>
      <c r="D4514">
        <v>40.74</v>
      </c>
      <c r="E4514">
        <v>2.59</v>
      </c>
      <c r="F4514">
        <v>40.68</v>
      </c>
      <c r="G4514">
        <v>40.74</v>
      </c>
      <c r="H4514">
        <v>18334</v>
      </c>
      <c r="I4514">
        <v>75</v>
      </c>
      <c r="J4514">
        <v>0.44</v>
      </c>
      <c r="K4514">
        <v>8.53</v>
      </c>
      <c r="L4514">
        <v>7366.26</v>
      </c>
      <c r="M4514" t="s">
        <v>5590</v>
      </c>
      <c r="N4514" t="s">
        <v>1246</v>
      </c>
      <c r="O4514">
        <v>38.19</v>
      </c>
      <c r="P4514">
        <v>41.39</v>
      </c>
      <c r="Q4514">
        <v>38.19</v>
      </c>
      <c r="R4514">
        <v>38.15</v>
      </c>
      <c r="S4514">
        <v>40.45</v>
      </c>
      <c r="T4514">
        <v>1.63</v>
      </c>
      <c r="U4514" t="s">
        <v>183</v>
      </c>
    </row>
    <row r="4515" spans="1:21">
      <c r="A4515" t="str">
        <f>"688663"</f>
        <v>688663</v>
      </c>
      <c r="B4515" t="s">
        <v>8595</v>
      </c>
      <c r="C4515">
        <v>4.52</v>
      </c>
      <c r="D4515">
        <v>62.5</v>
      </c>
      <c r="E4515">
        <v>2.7</v>
      </c>
      <c r="F4515">
        <v>62.5</v>
      </c>
      <c r="G4515">
        <v>62.67</v>
      </c>
      <c r="H4515">
        <v>40605</v>
      </c>
      <c r="I4515">
        <v>226</v>
      </c>
      <c r="J4515">
        <v>-0.17</v>
      </c>
      <c r="K4515">
        <v>12.89</v>
      </c>
      <c r="L4515">
        <v>25587.19</v>
      </c>
      <c r="M4515" t="s">
        <v>8596</v>
      </c>
      <c r="N4515" t="s">
        <v>47</v>
      </c>
      <c r="O4515">
        <v>60.04</v>
      </c>
      <c r="P4515">
        <v>64.97</v>
      </c>
      <c r="Q4515">
        <v>60</v>
      </c>
      <c r="R4515">
        <v>59.8</v>
      </c>
      <c r="S4515">
        <v>84.11</v>
      </c>
      <c r="T4515">
        <v>1.03</v>
      </c>
      <c r="U4515" t="s">
        <v>221</v>
      </c>
    </row>
    <row r="4516" spans="1:21">
      <c r="A4516" t="str">
        <f>"688665"</f>
        <v>688665</v>
      </c>
      <c r="B4516" t="s">
        <v>8597</v>
      </c>
      <c r="C4516">
        <v>8.11</v>
      </c>
      <c r="D4516">
        <v>173.18</v>
      </c>
      <c r="E4516">
        <v>12.99</v>
      </c>
      <c r="F4516">
        <v>173.18</v>
      </c>
      <c r="G4516">
        <v>173.28</v>
      </c>
      <c r="H4516">
        <v>7029</v>
      </c>
      <c r="I4516">
        <v>81</v>
      </c>
      <c r="J4516">
        <v>0.08</v>
      </c>
      <c r="K4516">
        <v>4.67</v>
      </c>
      <c r="L4516">
        <v>11900.06</v>
      </c>
      <c r="M4516" t="s">
        <v>8598</v>
      </c>
      <c r="N4516" t="s">
        <v>1028</v>
      </c>
      <c r="O4516">
        <v>160.19</v>
      </c>
      <c r="P4516">
        <v>173.73</v>
      </c>
      <c r="Q4516">
        <v>160.19</v>
      </c>
      <c r="R4516">
        <v>160.19</v>
      </c>
      <c r="S4516">
        <v>74.01</v>
      </c>
      <c r="T4516">
        <v>1.63</v>
      </c>
      <c r="U4516" t="s">
        <v>267</v>
      </c>
    </row>
    <row r="4517" spans="1:21">
      <c r="A4517" t="str">
        <f>"688667"</f>
        <v>688667</v>
      </c>
      <c r="B4517" t="s">
        <v>8599</v>
      </c>
      <c r="C4517">
        <v>0.71</v>
      </c>
      <c r="D4517">
        <v>168.19</v>
      </c>
      <c r="E4517">
        <v>1.18</v>
      </c>
      <c r="F4517">
        <v>168.08</v>
      </c>
      <c r="G4517">
        <v>168.19</v>
      </c>
      <c r="H4517">
        <v>3746</v>
      </c>
      <c r="I4517">
        <v>28</v>
      </c>
      <c r="J4517">
        <v>-0.05</v>
      </c>
      <c r="K4517">
        <v>3.03</v>
      </c>
      <c r="L4517">
        <v>6334.43</v>
      </c>
      <c r="M4517" t="s">
        <v>8600</v>
      </c>
      <c r="N4517" t="s">
        <v>91</v>
      </c>
      <c r="O4517">
        <v>168.73</v>
      </c>
      <c r="P4517">
        <v>173</v>
      </c>
      <c r="Q4517">
        <v>164</v>
      </c>
      <c r="R4517">
        <v>167.01</v>
      </c>
      <c r="S4517">
        <v>53.8</v>
      </c>
      <c r="T4517">
        <v>0.47</v>
      </c>
      <c r="U4517" t="s">
        <v>267</v>
      </c>
    </row>
    <row r="4518" spans="1:21">
      <c r="A4518" t="str">
        <f>"688668"</f>
        <v>688668</v>
      </c>
      <c r="B4518" t="s">
        <v>8601</v>
      </c>
      <c r="C4518">
        <v>2.27</v>
      </c>
      <c r="D4518">
        <v>71.53</v>
      </c>
      <c r="E4518">
        <v>1.59</v>
      </c>
      <c r="F4518">
        <v>71.5</v>
      </c>
      <c r="G4518">
        <v>71.53</v>
      </c>
      <c r="H4518">
        <v>16405</v>
      </c>
      <c r="I4518">
        <v>221</v>
      </c>
      <c r="J4518">
        <v>-0.09</v>
      </c>
      <c r="K4518">
        <v>7.79</v>
      </c>
      <c r="L4518">
        <v>11597.31</v>
      </c>
      <c r="M4518" t="s">
        <v>8602</v>
      </c>
      <c r="N4518" t="s">
        <v>69</v>
      </c>
      <c r="O4518">
        <v>70</v>
      </c>
      <c r="P4518">
        <v>72.99</v>
      </c>
      <c r="Q4518">
        <v>68.29</v>
      </c>
      <c r="R4518">
        <v>69.94</v>
      </c>
      <c r="S4518">
        <v>53</v>
      </c>
      <c r="T4518">
        <v>0.5</v>
      </c>
      <c r="U4518" t="s">
        <v>183</v>
      </c>
    </row>
    <row r="4519" spans="1:21">
      <c r="A4519" t="str">
        <f>"688669"</f>
        <v>688669</v>
      </c>
      <c r="B4519" t="s">
        <v>8603</v>
      </c>
      <c r="C4519">
        <v>-0.59</v>
      </c>
      <c r="D4519">
        <v>35.38</v>
      </c>
      <c r="E4519">
        <v>-0.21</v>
      </c>
      <c r="F4519">
        <v>35.37</v>
      </c>
      <c r="G4519">
        <v>35.38</v>
      </c>
      <c r="H4519">
        <v>15235</v>
      </c>
      <c r="I4519">
        <v>150</v>
      </c>
      <c r="J4519">
        <v>-0.05</v>
      </c>
      <c r="K4519">
        <v>7.65</v>
      </c>
      <c r="L4519">
        <v>5368.99</v>
      </c>
      <c r="M4519" t="s">
        <v>1160</v>
      </c>
      <c r="N4519" t="s">
        <v>309</v>
      </c>
      <c r="O4519">
        <v>35.26</v>
      </c>
      <c r="P4519">
        <v>35.95</v>
      </c>
      <c r="Q4519">
        <v>34.71</v>
      </c>
      <c r="R4519">
        <v>35.59</v>
      </c>
      <c r="S4519">
        <v>36.56</v>
      </c>
      <c r="T4519">
        <v>0.93</v>
      </c>
      <c r="U4519" t="s">
        <v>183</v>
      </c>
    </row>
    <row r="4520" spans="1:21">
      <c r="A4520" t="str">
        <f>"688670"</f>
        <v>688670</v>
      </c>
      <c r="B4520" t="s">
        <v>8604</v>
      </c>
      <c r="C4520">
        <v>0.23</v>
      </c>
      <c r="D4520">
        <v>80.11</v>
      </c>
      <c r="E4520">
        <v>0.18</v>
      </c>
      <c r="F4520">
        <v>80.03</v>
      </c>
      <c r="G4520">
        <v>80.11</v>
      </c>
      <c r="H4520">
        <v>5017</v>
      </c>
      <c r="I4520">
        <v>38</v>
      </c>
      <c r="J4520">
        <v>-0.09</v>
      </c>
      <c r="K4520">
        <v>2.77</v>
      </c>
      <c r="L4520">
        <v>4017.18</v>
      </c>
      <c r="M4520" t="s">
        <v>8605</v>
      </c>
      <c r="N4520" t="s">
        <v>231</v>
      </c>
      <c r="O4520">
        <v>79.93</v>
      </c>
      <c r="P4520">
        <v>81.54</v>
      </c>
      <c r="Q4520">
        <v>79.53</v>
      </c>
      <c r="R4520">
        <v>79.93</v>
      </c>
      <c r="S4520">
        <v>52.83</v>
      </c>
      <c r="T4520">
        <v>0.87</v>
      </c>
      <c r="U4520" t="s">
        <v>102</v>
      </c>
    </row>
    <row r="4521" spans="1:21">
      <c r="A4521" t="str">
        <f>"688676"</f>
        <v>688676</v>
      </c>
      <c r="B4521" t="s">
        <v>8606</v>
      </c>
      <c r="C4521">
        <v>-3.6</v>
      </c>
      <c r="D4521">
        <v>34.5</v>
      </c>
      <c r="E4521">
        <v>-1.29</v>
      </c>
      <c r="F4521">
        <v>34.5</v>
      </c>
      <c r="G4521">
        <v>34.51</v>
      </c>
      <c r="H4521">
        <v>72693</v>
      </c>
      <c r="I4521">
        <v>1255</v>
      </c>
      <c r="J4521">
        <v>1.44</v>
      </c>
      <c r="K4521">
        <v>20.09</v>
      </c>
      <c r="L4521">
        <v>24859.08</v>
      </c>
      <c r="M4521" t="s">
        <v>8607</v>
      </c>
      <c r="N4521" t="s">
        <v>47</v>
      </c>
      <c r="O4521">
        <v>35.16</v>
      </c>
      <c r="P4521">
        <v>35.7</v>
      </c>
      <c r="Q4521">
        <v>33</v>
      </c>
      <c r="R4521">
        <v>35.79</v>
      </c>
      <c r="S4521">
        <v>65.77</v>
      </c>
      <c r="T4521">
        <v>0.53</v>
      </c>
      <c r="U4521" t="s">
        <v>294</v>
      </c>
    </row>
    <row r="4522" spans="1:21">
      <c r="A4522" t="str">
        <f>"688677"</f>
        <v>688677</v>
      </c>
      <c r="B4522" t="s">
        <v>8608</v>
      </c>
      <c r="C4522">
        <v>2.54</v>
      </c>
      <c r="D4522">
        <v>100.12</v>
      </c>
      <c r="E4522">
        <v>2.48</v>
      </c>
      <c r="F4522">
        <v>100.12</v>
      </c>
      <c r="G4522">
        <v>100.14</v>
      </c>
      <c r="H4522">
        <v>3816</v>
      </c>
      <c r="I4522">
        <v>10</v>
      </c>
      <c r="J4522">
        <v>0</v>
      </c>
      <c r="K4522">
        <v>2.06</v>
      </c>
      <c r="L4522">
        <v>3827.1</v>
      </c>
      <c r="M4522" t="s">
        <v>8609</v>
      </c>
      <c r="N4522" t="s">
        <v>186</v>
      </c>
      <c r="O4522">
        <v>97.91</v>
      </c>
      <c r="P4522">
        <v>101.46</v>
      </c>
      <c r="Q4522">
        <v>97.28</v>
      </c>
      <c r="R4522">
        <v>97.64</v>
      </c>
      <c r="S4522">
        <v>71.21</v>
      </c>
      <c r="T4522">
        <v>1.06</v>
      </c>
      <c r="U4522" t="s">
        <v>221</v>
      </c>
    </row>
    <row r="4523" spans="1:21">
      <c r="A4523" t="str">
        <f>"688678"</f>
        <v>688678</v>
      </c>
      <c r="B4523" t="s">
        <v>8610</v>
      </c>
      <c r="C4523">
        <v>1.61</v>
      </c>
      <c r="D4523">
        <v>33.41</v>
      </c>
      <c r="E4523">
        <v>0.53</v>
      </c>
      <c r="F4523">
        <v>33.41</v>
      </c>
      <c r="G4523">
        <v>33.45</v>
      </c>
      <c r="H4523">
        <v>35116</v>
      </c>
      <c r="I4523">
        <v>587</v>
      </c>
      <c r="J4523">
        <v>-0.5</v>
      </c>
      <c r="K4523">
        <v>9.53</v>
      </c>
      <c r="L4523">
        <v>11701.42</v>
      </c>
      <c r="M4523" t="s">
        <v>8611</v>
      </c>
      <c r="N4523" t="s">
        <v>69</v>
      </c>
      <c r="O4523">
        <v>33.26</v>
      </c>
      <c r="P4523">
        <v>34.17</v>
      </c>
      <c r="Q4523">
        <v>32.49</v>
      </c>
      <c r="R4523">
        <v>32.88</v>
      </c>
      <c r="S4523">
        <v>46.92</v>
      </c>
      <c r="T4523">
        <v>0.49</v>
      </c>
      <c r="U4523" t="s">
        <v>102</v>
      </c>
    </row>
    <row r="4524" spans="1:21">
      <c r="A4524" t="str">
        <f>"688679"</f>
        <v>688679</v>
      </c>
      <c r="B4524" t="s">
        <v>8612</v>
      </c>
      <c r="C4524">
        <v>0.89</v>
      </c>
      <c r="D4524">
        <v>12.51</v>
      </c>
      <c r="E4524">
        <v>0.11</v>
      </c>
      <c r="F4524">
        <v>12.47</v>
      </c>
      <c r="G4524">
        <v>12.51</v>
      </c>
      <c r="H4524">
        <v>8031</v>
      </c>
      <c r="I4524">
        <v>95</v>
      </c>
      <c r="J4524">
        <v>0</v>
      </c>
      <c r="K4524">
        <v>2.55</v>
      </c>
      <c r="L4524">
        <v>1000.85</v>
      </c>
      <c r="M4524" t="s">
        <v>8613</v>
      </c>
      <c r="N4524" t="s">
        <v>33</v>
      </c>
      <c r="O4524">
        <v>12.5</v>
      </c>
      <c r="P4524">
        <v>12.59</v>
      </c>
      <c r="Q4524">
        <v>12.3</v>
      </c>
      <c r="R4524">
        <v>12.4</v>
      </c>
      <c r="S4524">
        <v>41.75</v>
      </c>
      <c r="T4524">
        <v>1.24</v>
      </c>
      <c r="U4524" t="s">
        <v>193</v>
      </c>
    </row>
    <row r="4525" spans="1:21">
      <c r="A4525" t="str">
        <f>"688680"</f>
        <v>688680</v>
      </c>
      <c r="B4525" t="s">
        <v>8614</v>
      </c>
      <c r="C4525">
        <v>12.57</v>
      </c>
      <c r="D4525">
        <v>352</v>
      </c>
      <c r="E4525">
        <v>39.3</v>
      </c>
      <c r="F4525">
        <v>352</v>
      </c>
      <c r="G4525">
        <v>352.18</v>
      </c>
      <c r="H4525">
        <v>14585</v>
      </c>
      <c r="I4525">
        <v>56</v>
      </c>
      <c r="J4525">
        <v>-0.27</v>
      </c>
      <c r="K4525">
        <v>7.23</v>
      </c>
      <c r="L4525">
        <v>49773.61</v>
      </c>
      <c r="M4525" t="s">
        <v>8615</v>
      </c>
      <c r="N4525" t="s">
        <v>839</v>
      </c>
      <c r="O4525">
        <v>308.11</v>
      </c>
      <c r="P4525">
        <v>362.21</v>
      </c>
      <c r="Q4525">
        <v>306.12</v>
      </c>
      <c r="R4525">
        <v>312.7</v>
      </c>
      <c r="S4525">
        <v>183.75</v>
      </c>
      <c r="T4525">
        <v>2.1</v>
      </c>
      <c r="U4525" t="s">
        <v>848</v>
      </c>
    </row>
    <row r="4526" spans="1:21">
      <c r="A4526" t="str">
        <f>"688681"</f>
        <v>688681</v>
      </c>
      <c r="B4526" t="s">
        <v>8616</v>
      </c>
      <c r="C4526">
        <v>-4.35</v>
      </c>
      <c r="D4526">
        <v>23.1</v>
      </c>
      <c r="E4526">
        <v>-1.05</v>
      </c>
      <c r="F4526">
        <v>23.09</v>
      </c>
      <c r="G4526">
        <v>23.1</v>
      </c>
      <c r="H4526">
        <v>35953</v>
      </c>
      <c r="I4526">
        <v>313</v>
      </c>
      <c r="J4526">
        <v>0.35</v>
      </c>
      <c r="K4526">
        <v>16.81</v>
      </c>
      <c r="L4526">
        <v>8356.73</v>
      </c>
      <c r="M4526" t="s">
        <v>8307</v>
      </c>
      <c r="N4526" t="s">
        <v>47</v>
      </c>
      <c r="O4526">
        <v>23.67</v>
      </c>
      <c r="P4526">
        <v>24.18</v>
      </c>
      <c r="Q4526">
        <v>22.86</v>
      </c>
      <c r="R4526">
        <v>24.15</v>
      </c>
      <c r="S4526">
        <v>56.44</v>
      </c>
      <c r="T4526">
        <v>0.73</v>
      </c>
      <c r="U4526" t="s">
        <v>221</v>
      </c>
    </row>
    <row r="4527" spans="1:21">
      <c r="A4527" t="str">
        <f>"688682"</f>
        <v>688682</v>
      </c>
      <c r="B4527" t="s">
        <v>8617</v>
      </c>
      <c r="C4527">
        <v>-0.96</v>
      </c>
      <c r="D4527">
        <v>127.63</v>
      </c>
      <c r="E4527">
        <v>-1.24</v>
      </c>
      <c r="F4527">
        <v>127.63</v>
      </c>
      <c r="G4527">
        <v>128</v>
      </c>
      <c r="H4527">
        <v>1915</v>
      </c>
      <c r="I4527">
        <v>9</v>
      </c>
      <c r="J4527">
        <v>-0.81</v>
      </c>
      <c r="K4527">
        <v>2.44</v>
      </c>
      <c r="L4527">
        <v>2451.65</v>
      </c>
      <c r="M4527" t="s">
        <v>3017</v>
      </c>
      <c r="N4527" t="s">
        <v>30</v>
      </c>
      <c r="O4527">
        <v>127.11</v>
      </c>
      <c r="P4527">
        <v>129.78</v>
      </c>
      <c r="Q4527">
        <v>125.19</v>
      </c>
      <c r="R4527">
        <v>128.87</v>
      </c>
      <c r="S4527">
        <v>172.74</v>
      </c>
      <c r="T4527">
        <v>0.61</v>
      </c>
      <c r="U4527" t="s">
        <v>848</v>
      </c>
    </row>
    <row r="4528" spans="1:21">
      <c r="A4528" t="str">
        <f>"688683"</f>
        <v>688683</v>
      </c>
      <c r="B4528" t="s">
        <v>8618</v>
      </c>
      <c r="C4528">
        <v>3.6</v>
      </c>
      <c r="D4528">
        <v>26.73</v>
      </c>
      <c r="E4528">
        <v>0.93</v>
      </c>
      <c r="F4528">
        <v>26.72</v>
      </c>
      <c r="G4528">
        <v>26.73</v>
      </c>
      <c r="H4528">
        <v>8725</v>
      </c>
      <c r="I4528">
        <v>154</v>
      </c>
      <c r="J4528">
        <v>-0.14</v>
      </c>
      <c r="K4528">
        <v>2.71</v>
      </c>
      <c r="L4528">
        <v>2318.5</v>
      </c>
      <c r="M4528" t="s">
        <v>2307</v>
      </c>
      <c r="N4528" t="s">
        <v>309</v>
      </c>
      <c r="O4528">
        <v>25.64</v>
      </c>
      <c r="P4528">
        <v>27.22</v>
      </c>
      <c r="Q4528">
        <v>25.64</v>
      </c>
      <c r="R4528">
        <v>25.8</v>
      </c>
      <c r="S4528">
        <v>55.71</v>
      </c>
      <c r="T4528">
        <v>0.65</v>
      </c>
      <c r="U4528" t="s">
        <v>183</v>
      </c>
    </row>
    <row r="4529" spans="1:21">
      <c r="A4529" t="str">
        <f>"688685"</f>
        <v>688685</v>
      </c>
      <c r="B4529" t="s">
        <v>8619</v>
      </c>
      <c r="C4529">
        <v>0.49</v>
      </c>
      <c r="D4529">
        <v>30.62</v>
      </c>
      <c r="E4529">
        <v>0.15</v>
      </c>
      <c r="F4529">
        <v>30.62</v>
      </c>
      <c r="G4529">
        <v>30.65</v>
      </c>
      <c r="H4529">
        <v>24283</v>
      </c>
      <c r="I4529">
        <v>415</v>
      </c>
      <c r="J4529">
        <v>-0.25</v>
      </c>
      <c r="K4529">
        <v>10.22</v>
      </c>
      <c r="L4529">
        <v>7534.19</v>
      </c>
      <c r="M4529" t="s">
        <v>8620</v>
      </c>
      <c r="N4529" t="s">
        <v>611</v>
      </c>
      <c r="O4529">
        <v>31</v>
      </c>
      <c r="P4529">
        <v>32.2</v>
      </c>
      <c r="Q4529">
        <v>30.2</v>
      </c>
      <c r="R4529">
        <v>30.47</v>
      </c>
      <c r="S4529">
        <v>95.14</v>
      </c>
      <c r="T4529">
        <v>1.02</v>
      </c>
      <c r="U4529" t="s">
        <v>102</v>
      </c>
    </row>
    <row r="4530" spans="1:21">
      <c r="A4530" t="str">
        <f>"688686"</f>
        <v>688686</v>
      </c>
      <c r="B4530" t="s">
        <v>8621</v>
      </c>
      <c r="C4530">
        <v>0.35</v>
      </c>
      <c r="D4530">
        <v>304.57</v>
      </c>
      <c r="E4530">
        <v>1.07</v>
      </c>
      <c r="F4530">
        <v>304.18</v>
      </c>
      <c r="G4530">
        <v>304.57</v>
      </c>
      <c r="H4530">
        <v>2083</v>
      </c>
      <c r="I4530">
        <v>11</v>
      </c>
      <c r="J4530">
        <v>0.13</v>
      </c>
      <c r="K4530">
        <v>1.17</v>
      </c>
      <c r="L4530">
        <v>6287</v>
      </c>
      <c r="M4530" t="s">
        <v>8622</v>
      </c>
      <c r="N4530" t="s">
        <v>1028</v>
      </c>
      <c r="O4530">
        <v>300.08</v>
      </c>
      <c r="P4530">
        <v>307.33</v>
      </c>
      <c r="Q4530">
        <v>296.1</v>
      </c>
      <c r="R4530">
        <v>303.5</v>
      </c>
      <c r="S4530">
        <v>86.44</v>
      </c>
      <c r="T4530">
        <v>1.09</v>
      </c>
      <c r="U4530" t="s">
        <v>183</v>
      </c>
    </row>
    <row r="4531" spans="1:21">
      <c r="A4531" t="str">
        <f>"688687"</f>
        <v>688687</v>
      </c>
      <c r="B4531" t="s">
        <v>8623</v>
      </c>
      <c r="C4531">
        <v>2.34</v>
      </c>
      <c r="D4531">
        <v>24.91</v>
      </c>
      <c r="E4531">
        <v>0.57</v>
      </c>
      <c r="F4531">
        <v>24.91</v>
      </c>
      <c r="G4531">
        <v>24.95</v>
      </c>
      <c r="H4531">
        <v>11017</v>
      </c>
      <c r="I4531">
        <v>47</v>
      </c>
      <c r="J4531">
        <v>-0.11</v>
      </c>
      <c r="K4531">
        <v>2.73</v>
      </c>
      <c r="L4531">
        <v>2766.09</v>
      </c>
      <c r="M4531" t="s">
        <v>1056</v>
      </c>
      <c r="N4531" t="s">
        <v>231</v>
      </c>
      <c r="O4531">
        <v>24.56</v>
      </c>
      <c r="P4531">
        <v>25.52</v>
      </c>
      <c r="Q4531">
        <v>24.56</v>
      </c>
      <c r="R4531">
        <v>24.34</v>
      </c>
      <c r="S4531">
        <v>40.77</v>
      </c>
      <c r="T4531">
        <v>1.24</v>
      </c>
      <c r="U4531" t="s">
        <v>44</v>
      </c>
    </row>
    <row r="4532" spans="1:21">
      <c r="A4532" t="str">
        <f>"688689"</f>
        <v>688689</v>
      </c>
      <c r="B4532" t="s">
        <v>8624</v>
      </c>
      <c r="C4532">
        <v>12.3</v>
      </c>
      <c r="D4532">
        <v>48.1</v>
      </c>
      <c r="E4532">
        <v>5.27</v>
      </c>
      <c r="F4532">
        <v>48.09</v>
      </c>
      <c r="G4532">
        <v>48.1</v>
      </c>
      <c r="H4532">
        <v>66039</v>
      </c>
      <c r="I4532">
        <v>584</v>
      </c>
      <c r="J4532">
        <v>-0.38</v>
      </c>
      <c r="K4532">
        <v>21.66</v>
      </c>
      <c r="L4532">
        <v>30732.75</v>
      </c>
      <c r="M4532" t="s">
        <v>8625</v>
      </c>
      <c r="N4532" t="s">
        <v>69</v>
      </c>
      <c r="O4532">
        <v>42.94</v>
      </c>
      <c r="P4532">
        <v>49.39</v>
      </c>
      <c r="Q4532">
        <v>42.94</v>
      </c>
      <c r="R4532">
        <v>42.83</v>
      </c>
      <c r="S4532">
        <v>43.99</v>
      </c>
      <c r="T4532">
        <v>1.81</v>
      </c>
      <c r="U4532" t="s">
        <v>102</v>
      </c>
    </row>
    <row r="4533" spans="1:21">
      <c r="A4533" t="str">
        <f>"688690"</f>
        <v>688690</v>
      </c>
      <c r="B4533" t="s">
        <v>8626</v>
      </c>
      <c r="C4533">
        <v>0.64</v>
      </c>
      <c r="D4533">
        <v>87.56</v>
      </c>
      <c r="E4533">
        <v>0.56</v>
      </c>
      <c r="F4533">
        <v>87.56</v>
      </c>
      <c r="G4533">
        <v>87.59</v>
      </c>
      <c r="H4533">
        <v>8649</v>
      </c>
      <c r="I4533">
        <v>133</v>
      </c>
      <c r="J4533">
        <v>-0.13</v>
      </c>
      <c r="K4533">
        <v>2.06</v>
      </c>
      <c r="L4533">
        <v>7509.29</v>
      </c>
      <c r="M4533" t="s">
        <v>8627</v>
      </c>
      <c r="N4533" t="s">
        <v>309</v>
      </c>
      <c r="O4533">
        <v>86.68</v>
      </c>
      <c r="P4533">
        <v>88.06</v>
      </c>
      <c r="Q4533">
        <v>85.39</v>
      </c>
      <c r="R4533">
        <v>87</v>
      </c>
      <c r="S4533">
        <v>227.98</v>
      </c>
      <c r="T4533">
        <v>0.74</v>
      </c>
      <c r="U4533" t="s">
        <v>102</v>
      </c>
    </row>
    <row r="4534" spans="1:21">
      <c r="A4534" t="str">
        <f>"688696"</f>
        <v>688696</v>
      </c>
      <c r="B4534" t="s">
        <v>8628</v>
      </c>
      <c r="C4534">
        <v>-1.05</v>
      </c>
      <c r="D4534">
        <v>565</v>
      </c>
      <c r="E4534">
        <v>-5.99</v>
      </c>
      <c r="F4534">
        <v>564.59</v>
      </c>
      <c r="G4534">
        <v>565</v>
      </c>
      <c r="H4534">
        <v>2717</v>
      </c>
      <c r="I4534">
        <v>32</v>
      </c>
      <c r="J4534">
        <v>0.08</v>
      </c>
      <c r="K4534">
        <v>2.52</v>
      </c>
      <c r="L4534">
        <v>15271.26</v>
      </c>
      <c r="M4534" t="s">
        <v>8629</v>
      </c>
      <c r="N4534" t="s">
        <v>72</v>
      </c>
      <c r="O4534">
        <v>567.79</v>
      </c>
      <c r="P4534">
        <v>571</v>
      </c>
      <c r="Q4534">
        <v>555</v>
      </c>
      <c r="R4534">
        <v>570.99</v>
      </c>
      <c r="S4534">
        <v>70.57</v>
      </c>
      <c r="T4534">
        <v>0.67</v>
      </c>
      <c r="U4534" t="s">
        <v>196</v>
      </c>
    </row>
    <row r="4535" spans="1:21">
      <c r="A4535" t="str">
        <f>"688697"</f>
        <v>688697</v>
      </c>
      <c r="B4535" t="s">
        <v>8630</v>
      </c>
      <c r="C4535">
        <v>1.15</v>
      </c>
      <c r="D4535">
        <v>19.32</v>
      </c>
      <c r="E4535">
        <v>0.22</v>
      </c>
      <c r="F4535">
        <v>19.32</v>
      </c>
      <c r="G4535">
        <v>19.34</v>
      </c>
      <c r="H4535">
        <v>73699</v>
      </c>
      <c r="I4535">
        <v>1039</v>
      </c>
      <c r="J4535">
        <v>0</v>
      </c>
      <c r="K4535">
        <v>11.09</v>
      </c>
      <c r="L4535">
        <v>14342.15</v>
      </c>
      <c r="M4535" t="s">
        <v>8631</v>
      </c>
      <c r="N4535" t="s">
        <v>247</v>
      </c>
      <c r="O4535">
        <v>19.01</v>
      </c>
      <c r="P4535">
        <v>19.9</v>
      </c>
      <c r="Q4535">
        <v>19.01</v>
      </c>
      <c r="R4535">
        <v>19.1</v>
      </c>
      <c r="S4535">
        <v>41.21</v>
      </c>
      <c r="T4535">
        <v>0.69</v>
      </c>
      <c r="U4535" t="s">
        <v>102</v>
      </c>
    </row>
    <row r="4536" spans="1:21">
      <c r="A4536" t="str">
        <f>"688698"</f>
        <v>688698</v>
      </c>
      <c r="B4536" t="s">
        <v>8632</v>
      </c>
      <c r="C4536">
        <v>-1.53</v>
      </c>
      <c r="D4536">
        <v>25.11</v>
      </c>
      <c r="E4536">
        <v>-0.39</v>
      </c>
      <c r="F4536">
        <v>25.1</v>
      </c>
      <c r="G4536">
        <v>25.11</v>
      </c>
      <c r="H4536">
        <v>17825</v>
      </c>
      <c r="I4536">
        <v>253</v>
      </c>
      <c r="J4536">
        <v>0.08</v>
      </c>
      <c r="K4536">
        <v>4.66</v>
      </c>
      <c r="L4536">
        <v>4514.23</v>
      </c>
      <c r="M4536" t="s">
        <v>8633</v>
      </c>
      <c r="N4536" t="s">
        <v>47</v>
      </c>
      <c r="O4536">
        <v>25.56</v>
      </c>
      <c r="P4536">
        <v>25.97</v>
      </c>
      <c r="Q4536">
        <v>24.97</v>
      </c>
      <c r="R4536">
        <v>25.5</v>
      </c>
      <c r="S4536">
        <v>33.69</v>
      </c>
      <c r="T4536">
        <v>1.02</v>
      </c>
      <c r="U4536" t="s">
        <v>102</v>
      </c>
    </row>
    <row r="4537" spans="1:21">
      <c r="A4537" t="str">
        <f>"688699"</f>
        <v>688699</v>
      </c>
      <c r="B4537" t="s">
        <v>8634</v>
      </c>
      <c r="C4537">
        <v>1.74</v>
      </c>
      <c r="D4537">
        <v>210.2</v>
      </c>
      <c r="E4537">
        <v>3.6</v>
      </c>
      <c r="F4537">
        <v>210.09</v>
      </c>
      <c r="G4537">
        <v>210.2</v>
      </c>
      <c r="H4537">
        <v>12279</v>
      </c>
      <c r="I4537">
        <v>148</v>
      </c>
      <c r="J4537">
        <v>0.09</v>
      </c>
      <c r="K4537">
        <v>6.95</v>
      </c>
      <c r="L4537">
        <v>25423.85</v>
      </c>
      <c r="M4537" t="s">
        <v>8635</v>
      </c>
      <c r="N4537" t="s">
        <v>1246</v>
      </c>
      <c r="O4537">
        <v>207.08</v>
      </c>
      <c r="P4537">
        <v>210.59</v>
      </c>
      <c r="Q4537">
        <v>202</v>
      </c>
      <c r="R4537">
        <v>206.6</v>
      </c>
      <c r="S4537">
        <v>19.54</v>
      </c>
      <c r="T4537">
        <v>1.31</v>
      </c>
      <c r="U4537" t="s">
        <v>24</v>
      </c>
    </row>
    <row r="4538" spans="1:21">
      <c r="A4538" t="str">
        <f>"688700"</f>
        <v>688700</v>
      </c>
      <c r="B4538" t="s">
        <v>8636</v>
      </c>
      <c r="C4538">
        <v>3.88</v>
      </c>
      <c r="D4538">
        <v>90.12</v>
      </c>
      <c r="E4538">
        <v>3.37</v>
      </c>
      <c r="F4538">
        <v>90.12</v>
      </c>
      <c r="G4538">
        <v>90.15</v>
      </c>
      <c r="H4538">
        <v>13301</v>
      </c>
      <c r="I4538">
        <v>125</v>
      </c>
      <c r="J4538">
        <v>0.27</v>
      </c>
      <c r="K4538">
        <v>3.97</v>
      </c>
      <c r="L4538">
        <v>11893.47</v>
      </c>
      <c r="M4538" t="s">
        <v>8637</v>
      </c>
      <c r="N4538" t="s">
        <v>324</v>
      </c>
      <c r="O4538">
        <v>86.55</v>
      </c>
      <c r="P4538">
        <v>90.99</v>
      </c>
      <c r="Q4538">
        <v>85.89</v>
      </c>
      <c r="R4538">
        <v>86.75</v>
      </c>
      <c r="S4538">
        <v>89.67</v>
      </c>
      <c r="T4538">
        <v>0.55</v>
      </c>
      <c r="U4538" t="s">
        <v>102</v>
      </c>
    </row>
    <row r="4539" spans="1:21">
      <c r="A4539" t="str">
        <f>"688701"</f>
        <v>688701</v>
      </c>
      <c r="B4539" t="s">
        <v>8638</v>
      </c>
      <c r="C4539">
        <v>2.84</v>
      </c>
      <c r="D4539">
        <v>13.05</v>
      </c>
      <c r="E4539">
        <v>0.36</v>
      </c>
      <c r="F4539">
        <v>13.05</v>
      </c>
      <c r="G4539">
        <v>13.06</v>
      </c>
      <c r="H4539">
        <v>20201</v>
      </c>
      <c r="I4539">
        <v>519</v>
      </c>
      <c r="J4539">
        <v>0</v>
      </c>
      <c r="K4539">
        <v>7.39</v>
      </c>
      <c r="L4539">
        <v>2611.24</v>
      </c>
      <c r="M4539" t="s">
        <v>8639</v>
      </c>
      <c r="N4539" t="s">
        <v>33</v>
      </c>
      <c r="O4539">
        <v>12.69</v>
      </c>
      <c r="P4539">
        <v>13.1</v>
      </c>
      <c r="Q4539">
        <v>12.63</v>
      </c>
      <c r="R4539">
        <v>12.69</v>
      </c>
      <c r="S4539">
        <v>84.87</v>
      </c>
      <c r="T4539">
        <v>1.08</v>
      </c>
      <c r="U4539" t="s">
        <v>200</v>
      </c>
    </row>
    <row r="4540" spans="1:21">
      <c r="A4540" t="str">
        <f>"688707"</f>
        <v>688707</v>
      </c>
      <c r="B4540" t="s">
        <v>8640</v>
      </c>
      <c r="C4540">
        <v>5.25</v>
      </c>
      <c r="D4540">
        <v>51.49</v>
      </c>
      <c r="E4540">
        <v>2.57</v>
      </c>
      <c r="F4540">
        <v>51.47</v>
      </c>
      <c r="G4540">
        <v>51.49</v>
      </c>
      <c r="H4540">
        <v>73156</v>
      </c>
      <c r="I4540">
        <v>553</v>
      </c>
      <c r="J4540">
        <v>0.18</v>
      </c>
      <c r="K4540">
        <v>9.95</v>
      </c>
      <c r="L4540">
        <v>37559.53</v>
      </c>
      <c r="M4540" t="s">
        <v>8641</v>
      </c>
      <c r="N4540" t="s">
        <v>309</v>
      </c>
      <c r="O4540">
        <v>49</v>
      </c>
      <c r="P4540">
        <v>53</v>
      </c>
      <c r="Q4540">
        <v>48.92</v>
      </c>
      <c r="R4540">
        <v>48.92</v>
      </c>
      <c r="S4540">
        <v>65.66</v>
      </c>
      <c r="T4540">
        <v>1.54</v>
      </c>
      <c r="U4540" t="s">
        <v>368</v>
      </c>
    </row>
    <row r="4541" spans="1:21">
      <c r="A4541" t="str">
        <f>"688711"</f>
        <v>688711</v>
      </c>
      <c r="B4541" t="s">
        <v>8642</v>
      </c>
      <c r="C4541">
        <v>0.4</v>
      </c>
      <c r="D4541">
        <v>153.2</v>
      </c>
      <c r="E4541">
        <v>0.61</v>
      </c>
      <c r="F4541">
        <v>153.2</v>
      </c>
      <c r="G4541">
        <v>153.28</v>
      </c>
      <c r="H4541">
        <v>15205</v>
      </c>
      <c r="I4541">
        <v>198</v>
      </c>
      <c r="J4541">
        <v>-0.1</v>
      </c>
      <c r="K4541">
        <v>7.51</v>
      </c>
      <c r="L4541">
        <v>23794.71</v>
      </c>
      <c r="M4541" t="s">
        <v>8643</v>
      </c>
      <c r="N4541" t="s">
        <v>1246</v>
      </c>
      <c r="O4541">
        <v>150</v>
      </c>
      <c r="P4541">
        <v>162.3</v>
      </c>
      <c r="Q4541">
        <v>149.44</v>
      </c>
      <c r="R4541">
        <v>152.59</v>
      </c>
      <c r="S4541">
        <v>243.02</v>
      </c>
      <c r="T4541">
        <v>0.93</v>
      </c>
      <c r="U4541" t="s">
        <v>102</v>
      </c>
    </row>
    <row r="4542" spans="1:21">
      <c r="A4542" t="str">
        <f>"688718"</f>
        <v>688718</v>
      </c>
      <c r="B4542" t="s">
        <v>8644</v>
      </c>
      <c r="C4542">
        <v>-3.14</v>
      </c>
      <c r="D4542">
        <v>35.5</v>
      </c>
      <c r="E4542">
        <v>-1.15</v>
      </c>
      <c r="F4542">
        <v>35.5</v>
      </c>
      <c r="G4542">
        <v>35.52</v>
      </c>
      <c r="H4542">
        <v>31754</v>
      </c>
      <c r="I4542">
        <v>321</v>
      </c>
      <c r="J4542">
        <v>-0.05</v>
      </c>
      <c r="K4542">
        <v>9</v>
      </c>
      <c r="L4542">
        <v>11384.19</v>
      </c>
      <c r="M4542" t="s">
        <v>8645</v>
      </c>
      <c r="N4542" t="s">
        <v>324</v>
      </c>
      <c r="O4542">
        <v>36.01</v>
      </c>
      <c r="P4542">
        <v>37.5</v>
      </c>
      <c r="Q4542">
        <v>35.11</v>
      </c>
      <c r="R4542">
        <v>36.65</v>
      </c>
      <c r="S4542">
        <v>112.09</v>
      </c>
      <c r="T4542">
        <v>1.34</v>
      </c>
      <c r="U4542" t="s">
        <v>848</v>
      </c>
    </row>
    <row r="4543" spans="1:21">
      <c r="A4543" t="str">
        <f>"688722"</f>
        <v>688722</v>
      </c>
      <c r="B4543" t="s">
        <v>8646</v>
      </c>
      <c r="C4543">
        <v>2.92</v>
      </c>
      <c r="D4543">
        <v>16.19</v>
      </c>
      <c r="E4543">
        <v>0.46</v>
      </c>
      <c r="F4543">
        <v>16.18</v>
      </c>
      <c r="G4543">
        <v>16.19</v>
      </c>
      <c r="H4543">
        <v>44662</v>
      </c>
      <c r="I4543">
        <v>2044</v>
      </c>
      <c r="J4543">
        <v>0</v>
      </c>
      <c r="K4543">
        <v>10.38</v>
      </c>
      <c r="L4543">
        <v>7070.13</v>
      </c>
      <c r="M4543" t="s">
        <v>7890</v>
      </c>
      <c r="N4543" t="s">
        <v>216</v>
      </c>
      <c r="O4543">
        <v>15.69</v>
      </c>
      <c r="P4543">
        <v>16.29</v>
      </c>
      <c r="Q4543">
        <v>15.41</v>
      </c>
      <c r="R4543">
        <v>15.73</v>
      </c>
      <c r="S4543">
        <v>66.09</v>
      </c>
      <c r="T4543">
        <v>0.56</v>
      </c>
      <c r="U4543" t="s">
        <v>44</v>
      </c>
    </row>
    <row r="4544" spans="1:21">
      <c r="A4544" t="str">
        <f>"688728"</f>
        <v>688728</v>
      </c>
      <c r="B4544" t="s">
        <v>8647</v>
      </c>
      <c r="C4544">
        <v>0.94</v>
      </c>
      <c r="D4544">
        <v>32.05</v>
      </c>
      <c r="E4544">
        <v>0.3</v>
      </c>
      <c r="F4544">
        <v>32.04</v>
      </c>
      <c r="G4544">
        <v>32.05</v>
      </c>
      <c r="H4544">
        <v>61561</v>
      </c>
      <c r="I4544">
        <v>977</v>
      </c>
      <c r="J4544">
        <v>0.12</v>
      </c>
      <c r="K4544">
        <v>3.74</v>
      </c>
      <c r="L4544">
        <v>19679.09</v>
      </c>
      <c r="M4544" t="s">
        <v>8648</v>
      </c>
      <c r="N4544" t="s">
        <v>1246</v>
      </c>
      <c r="O4544">
        <v>31.8</v>
      </c>
      <c r="P4544">
        <v>32.23</v>
      </c>
      <c r="Q4544">
        <v>31.61</v>
      </c>
      <c r="R4544">
        <v>31.75</v>
      </c>
      <c r="S4544">
        <v>64.35</v>
      </c>
      <c r="T4544">
        <v>0.68</v>
      </c>
      <c r="U4544" t="s">
        <v>848</v>
      </c>
    </row>
    <row r="4545" spans="1:21">
      <c r="A4545" t="str">
        <f>"688733"</f>
        <v>688733</v>
      </c>
      <c r="B4545" t="s">
        <v>8649</v>
      </c>
      <c r="C4545">
        <v>1.91</v>
      </c>
      <c r="D4545">
        <v>72.45</v>
      </c>
      <c r="E4545">
        <v>1.36</v>
      </c>
      <c r="F4545">
        <v>72.4</v>
      </c>
      <c r="G4545">
        <v>72.45</v>
      </c>
      <c r="H4545">
        <v>21962</v>
      </c>
      <c r="I4545">
        <v>414</v>
      </c>
      <c r="J4545">
        <v>0.78</v>
      </c>
      <c r="K4545">
        <v>5.7</v>
      </c>
      <c r="L4545">
        <v>16065.96</v>
      </c>
      <c r="M4545" t="s">
        <v>8650</v>
      </c>
      <c r="N4545" t="s">
        <v>750</v>
      </c>
      <c r="O4545">
        <v>71.33</v>
      </c>
      <c r="P4545">
        <v>74.97</v>
      </c>
      <c r="Q4545">
        <v>71.33</v>
      </c>
      <c r="R4545">
        <v>71.09</v>
      </c>
      <c r="S4545">
        <v>152.55</v>
      </c>
      <c r="T4545">
        <v>0.7</v>
      </c>
      <c r="U4545" t="s">
        <v>193</v>
      </c>
    </row>
    <row r="4546" spans="1:21">
      <c r="A4546" t="str">
        <f>"688737"</f>
        <v>688737</v>
      </c>
      <c r="B4546" t="s">
        <v>8651</v>
      </c>
      <c r="C4546">
        <v>2.92</v>
      </c>
      <c r="D4546">
        <v>55.41</v>
      </c>
      <c r="E4546">
        <v>1.57</v>
      </c>
      <c r="F4546">
        <v>55.41</v>
      </c>
      <c r="G4546">
        <v>55.42</v>
      </c>
      <c r="H4546">
        <v>19080</v>
      </c>
      <c r="I4546">
        <v>260</v>
      </c>
      <c r="J4546">
        <v>0.02</v>
      </c>
      <c r="K4546">
        <v>10.7</v>
      </c>
      <c r="L4546">
        <v>10467.81</v>
      </c>
      <c r="M4546" t="s">
        <v>2396</v>
      </c>
      <c r="N4546" t="s">
        <v>309</v>
      </c>
      <c r="O4546">
        <v>53.8</v>
      </c>
      <c r="P4546">
        <v>56.36</v>
      </c>
      <c r="Q4546">
        <v>53.11</v>
      </c>
      <c r="R4546">
        <v>53.84</v>
      </c>
      <c r="S4546">
        <v>159</v>
      </c>
      <c r="T4546">
        <v>1.22</v>
      </c>
      <c r="U4546" t="s">
        <v>196</v>
      </c>
    </row>
    <row r="4547" spans="1:21">
      <c r="A4547" t="str">
        <f>"688739"</f>
        <v>688739</v>
      </c>
      <c r="B4547" t="s">
        <v>8652</v>
      </c>
      <c r="C4547">
        <v>0.41</v>
      </c>
      <c r="D4547">
        <v>78.41</v>
      </c>
      <c r="E4547">
        <v>0.32</v>
      </c>
      <c r="F4547">
        <v>78.41</v>
      </c>
      <c r="G4547">
        <v>78.43</v>
      </c>
      <c r="H4547">
        <v>14175</v>
      </c>
      <c r="I4547">
        <v>220</v>
      </c>
      <c r="J4547">
        <v>0.01</v>
      </c>
      <c r="K4547">
        <v>3.65</v>
      </c>
      <c r="L4547">
        <v>11081.3</v>
      </c>
      <c r="M4547" t="s">
        <v>8653</v>
      </c>
      <c r="N4547" t="s">
        <v>231</v>
      </c>
      <c r="O4547">
        <v>78.02</v>
      </c>
      <c r="P4547">
        <v>78.52</v>
      </c>
      <c r="Q4547">
        <v>77.68</v>
      </c>
      <c r="R4547">
        <v>78.09</v>
      </c>
      <c r="S4547">
        <v>29.56</v>
      </c>
      <c r="T4547">
        <v>0.4</v>
      </c>
      <c r="U4547" t="s">
        <v>141</v>
      </c>
    </row>
    <row r="4548" spans="1:21">
      <c r="A4548" t="str">
        <f>"688766"</f>
        <v>688766</v>
      </c>
      <c r="B4548" t="s">
        <v>8654</v>
      </c>
      <c r="C4548">
        <v>5.75</v>
      </c>
      <c r="D4548">
        <v>437</v>
      </c>
      <c r="E4548">
        <v>23.75</v>
      </c>
      <c r="F4548">
        <v>436.98</v>
      </c>
      <c r="G4548">
        <v>437</v>
      </c>
      <c r="H4548">
        <v>5980</v>
      </c>
      <c r="I4548">
        <v>61</v>
      </c>
      <c r="J4548">
        <v>0.09</v>
      </c>
      <c r="K4548">
        <v>7.73</v>
      </c>
      <c r="L4548">
        <v>25716.68</v>
      </c>
      <c r="M4548" t="s">
        <v>8655</v>
      </c>
      <c r="N4548" t="s">
        <v>1246</v>
      </c>
      <c r="O4548">
        <v>411.11</v>
      </c>
      <c r="P4548">
        <v>437.99</v>
      </c>
      <c r="Q4548">
        <v>411.1</v>
      </c>
      <c r="R4548">
        <v>413.25</v>
      </c>
      <c r="S4548">
        <v>53.31</v>
      </c>
      <c r="T4548">
        <v>1.47</v>
      </c>
      <c r="U4548" t="s">
        <v>848</v>
      </c>
    </row>
    <row r="4549" spans="1:21">
      <c r="A4549" t="str">
        <f>"688767"</f>
        <v>688767</v>
      </c>
      <c r="B4549" t="s">
        <v>8656</v>
      </c>
      <c r="C4549">
        <v>3.21</v>
      </c>
      <c r="D4549">
        <v>62.96</v>
      </c>
      <c r="E4549">
        <v>1.96</v>
      </c>
      <c r="F4549">
        <v>62.96</v>
      </c>
      <c r="G4549">
        <v>62.97</v>
      </c>
      <c r="H4549">
        <v>12522</v>
      </c>
      <c r="I4549">
        <v>196</v>
      </c>
      <c r="J4549">
        <v>-0.05</v>
      </c>
      <c r="K4549">
        <v>5.64</v>
      </c>
      <c r="L4549">
        <v>7799.11</v>
      </c>
      <c r="M4549" t="s">
        <v>8657</v>
      </c>
      <c r="N4549" t="s">
        <v>186</v>
      </c>
      <c r="O4549">
        <v>61.41</v>
      </c>
      <c r="P4549">
        <v>63.11</v>
      </c>
      <c r="Q4549">
        <v>60.61</v>
      </c>
      <c r="R4549">
        <v>61</v>
      </c>
      <c r="S4549">
        <v>7</v>
      </c>
      <c r="T4549">
        <v>0.79</v>
      </c>
      <c r="U4549" t="s">
        <v>200</v>
      </c>
    </row>
    <row r="4550" spans="1:21">
      <c r="A4550" t="str">
        <f>"688768"</f>
        <v>688768</v>
      </c>
      <c r="B4550" t="s">
        <v>8658</v>
      </c>
      <c r="C4550">
        <v>-4.56</v>
      </c>
      <c r="D4550">
        <v>112.44</v>
      </c>
      <c r="E4550">
        <v>-5.37</v>
      </c>
      <c r="F4550">
        <v>112.41</v>
      </c>
      <c r="G4550">
        <v>112.44</v>
      </c>
      <c r="H4550">
        <v>4252</v>
      </c>
      <c r="I4550">
        <v>24</v>
      </c>
      <c r="J4550">
        <v>-0.51</v>
      </c>
      <c r="K4550">
        <v>3.81</v>
      </c>
      <c r="L4550">
        <v>4845.72</v>
      </c>
      <c r="M4550" t="s">
        <v>8659</v>
      </c>
      <c r="N4550" t="s">
        <v>1028</v>
      </c>
      <c r="O4550">
        <v>116.03</v>
      </c>
      <c r="P4550">
        <v>117.99</v>
      </c>
      <c r="Q4550">
        <v>111.84</v>
      </c>
      <c r="R4550">
        <v>117.81</v>
      </c>
      <c r="S4550">
        <v>148.96</v>
      </c>
      <c r="T4550">
        <v>1.36</v>
      </c>
      <c r="U4550" t="s">
        <v>193</v>
      </c>
    </row>
    <row r="4551" spans="1:21">
      <c r="A4551" t="str">
        <f>"688772"</f>
        <v>688772</v>
      </c>
      <c r="B4551" t="s">
        <v>8660</v>
      </c>
      <c r="C4551">
        <v>-6.39</v>
      </c>
      <c r="D4551">
        <v>58.77</v>
      </c>
      <c r="E4551">
        <v>-4.01</v>
      </c>
      <c r="F4551">
        <v>58.77</v>
      </c>
      <c r="G4551">
        <v>58.78</v>
      </c>
      <c r="H4551">
        <v>115566</v>
      </c>
      <c r="I4551">
        <v>1148</v>
      </c>
      <c r="J4551">
        <v>-0.04</v>
      </c>
      <c r="K4551">
        <v>11.15</v>
      </c>
      <c r="L4551">
        <v>68663.88</v>
      </c>
      <c r="M4551" t="s">
        <v>8661</v>
      </c>
      <c r="N4551" t="s">
        <v>47</v>
      </c>
      <c r="O4551">
        <v>64.6</v>
      </c>
      <c r="P4551">
        <v>64.6</v>
      </c>
      <c r="Q4551">
        <v>57.77</v>
      </c>
      <c r="R4551">
        <v>62.78</v>
      </c>
      <c r="S4551">
        <v>60.72</v>
      </c>
      <c r="T4551">
        <v>1</v>
      </c>
      <c r="U4551" t="s">
        <v>183</v>
      </c>
    </row>
    <row r="4552" spans="1:21">
      <c r="A4552" t="str">
        <f>"688776"</f>
        <v>688776</v>
      </c>
      <c r="B4552" t="s">
        <v>8662</v>
      </c>
      <c r="C4552">
        <v>-3.13</v>
      </c>
      <c r="D4552">
        <v>205.1</v>
      </c>
      <c r="E4552">
        <v>-6.63</v>
      </c>
      <c r="F4552">
        <v>205.09</v>
      </c>
      <c r="G4552">
        <v>205.1</v>
      </c>
      <c r="H4552">
        <v>6108</v>
      </c>
      <c r="I4552">
        <v>52</v>
      </c>
      <c r="J4552">
        <v>-0.32</v>
      </c>
      <c r="K4552">
        <v>3.83</v>
      </c>
      <c r="L4552">
        <v>12766.61</v>
      </c>
      <c r="M4552" t="s">
        <v>8663</v>
      </c>
      <c r="N4552" t="s">
        <v>69</v>
      </c>
      <c r="O4552">
        <v>209.76</v>
      </c>
      <c r="P4552">
        <v>214.77</v>
      </c>
      <c r="Q4552">
        <v>204.1</v>
      </c>
      <c r="R4552">
        <v>211.73</v>
      </c>
      <c r="S4552">
        <v>107.81</v>
      </c>
      <c r="T4552">
        <v>0.82</v>
      </c>
      <c r="U4552" t="s">
        <v>196</v>
      </c>
    </row>
    <row r="4553" spans="1:21">
      <c r="A4553" t="str">
        <f>"688777"</f>
        <v>688777</v>
      </c>
      <c r="B4553" t="s">
        <v>8664</v>
      </c>
      <c r="C4553">
        <v>3.59</v>
      </c>
      <c r="D4553">
        <v>91.06</v>
      </c>
      <c r="E4553">
        <v>3.16</v>
      </c>
      <c r="F4553">
        <v>91.05</v>
      </c>
      <c r="G4553">
        <v>91.06</v>
      </c>
      <c r="H4553">
        <v>14750</v>
      </c>
      <c r="I4553">
        <v>66</v>
      </c>
      <c r="J4553">
        <v>0.03</v>
      </c>
      <c r="K4553">
        <v>3.37</v>
      </c>
      <c r="L4553">
        <v>13398.36</v>
      </c>
      <c r="M4553" t="s">
        <v>8665</v>
      </c>
      <c r="N4553" t="s">
        <v>30</v>
      </c>
      <c r="O4553">
        <v>87.2</v>
      </c>
      <c r="P4553">
        <v>92.17</v>
      </c>
      <c r="Q4553">
        <v>87.2</v>
      </c>
      <c r="R4553">
        <v>87.9</v>
      </c>
      <c r="S4553">
        <v>101.32</v>
      </c>
      <c r="T4553">
        <v>1.62</v>
      </c>
      <c r="U4553" t="s">
        <v>200</v>
      </c>
    </row>
    <row r="4554" spans="1:21">
      <c r="A4554" t="str">
        <f>"688778"</f>
        <v>688778</v>
      </c>
      <c r="B4554" t="s">
        <v>8666</v>
      </c>
      <c r="C4554">
        <v>2.89</v>
      </c>
      <c r="D4554">
        <v>114.67</v>
      </c>
      <c r="E4554">
        <v>3.22</v>
      </c>
      <c r="F4554">
        <v>114.66</v>
      </c>
      <c r="G4554">
        <v>114.67</v>
      </c>
      <c r="H4554">
        <v>43191</v>
      </c>
      <c r="I4554">
        <v>301</v>
      </c>
      <c r="J4554">
        <v>0.04</v>
      </c>
      <c r="K4554">
        <v>8.33</v>
      </c>
      <c r="L4554">
        <v>50148.58</v>
      </c>
      <c r="M4554" t="s">
        <v>8667</v>
      </c>
      <c r="N4554" t="s">
        <v>69</v>
      </c>
      <c r="O4554">
        <v>115</v>
      </c>
      <c r="P4554">
        <v>119</v>
      </c>
      <c r="Q4554">
        <v>113.5</v>
      </c>
      <c r="R4554">
        <v>111.45</v>
      </c>
      <c r="S4554">
        <v>54.23</v>
      </c>
      <c r="T4554">
        <v>1.45</v>
      </c>
      <c r="U4554" t="s">
        <v>339</v>
      </c>
    </row>
    <row r="4555" spans="1:21">
      <c r="A4555" t="str">
        <f>"688779"</f>
        <v>688779</v>
      </c>
      <c r="B4555" t="s">
        <v>8668</v>
      </c>
      <c r="C4555">
        <v>0.49</v>
      </c>
      <c r="D4555">
        <v>26.8</v>
      </c>
      <c r="E4555">
        <v>0.13</v>
      </c>
      <c r="F4555">
        <v>26.8</v>
      </c>
      <c r="G4555">
        <v>26.81</v>
      </c>
      <c r="H4555">
        <v>245846</v>
      </c>
      <c r="I4555">
        <v>1955</v>
      </c>
      <c r="J4555">
        <v>0.15</v>
      </c>
      <c r="K4555">
        <v>7.07</v>
      </c>
      <c r="L4555">
        <v>66758.98</v>
      </c>
      <c r="M4555" t="s">
        <v>8669</v>
      </c>
      <c r="N4555" t="s">
        <v>47</v>
      </c>
      <c r="O4555">
        <v>26.62</v>
      </c>
      <c r="P4555">
        <v>27.95</v>
      </c>
      <c r="Q4555">
        <v>26.62</v>
      </c>
      <c r="R4555">
        <v>26.67</v>
      </c>
      <c r="S4555">
        <v>79.63</v>
      </c>
      <c r="T4555">
        <v>0.92</v>
      </c>
      <c r="U4555" t="s">
        <v>204</v>
      </c>
    </row>
    <row r="4556" spans="1:21">
      <c r="A4556" t="str">
        <f>"688786"</f>
        <v>688786</v>
      </c>
      <c r="B4556" t="s">
        <v>8670</v>
      </c>
      <c r="C4556">
        <v>-1.53</v>
      </c>
      <c r="D4556">
        <v>56.01</v>
      </c>
      <c r="E4556">
        <v>-0.87</v>
      </c>
      <c r="F4556">
        <v>56.01</v>
      </c>
      <c r="G4556">
        <v>56.07</v>
      </c>
      <c r="H4556">
        <v>4190</v>
      </c>
      <c r="I4556">
        <v>93</v>
      </c>
      <c r="J4556">
        <v>0.72</v>
      </c>
      <c r="K4556">
        <v>2.41</v>
      </c>
      <c r="L4556">
        <v>2334.41</v>
      </c>
      <c r="M4556" t="s">
        <v>8671</v>
      </c>
      <c r="N4556" t="s">
        <v>750</v>
      </c>
      <c r="O4556">
        <v>56.31</v>
      </c>
      <c r="P4556">
        <v>57.35</v>
      </c>
      <c r="Q4556">
        <v>54.5</v>
      </c>
      <c r="R4556">
        <v>56.88</v>
      </c>
      <c r="S4556">
        <v>54.64</v>
      </c>
      <c r="T4556">
        <v>0.58</v>
      </c>
      <c r="U4556" t="s">
        <v>235</v>
      </c>
    </row>
    <row r="4557" spans="1:21">
      <c r="A4557" t="str">
        <f>"688787"</f>
        <v>688787</v>
      </c>
      <c r="B4557" t="s">
        <v>8672</v>
      </c>
      <c r="C4557">
        <v>19.99</v>
      </c>
      <c r="D4557">
        <v>88.82</v>
      </c>
      <c r="E4557">
        <v>14.8</v>
      </c>
      <c r="F4557">
        <v>88.82</v>
      </c>
      <c r="G4557" t="s">
        <v>40</v>
      </c>
      <c r="H4557">
        <v>17559</v>
      </c>
      <c r="I4557">
        <v>4</v>
      </c>
      <c r="J4557">
        <v>0</v>
      </c>
      <c r="K4557">
        <v>20.17</v>
      </c>
      <c r="L4557">
        <v>14735.85</v>
      </c>
      <c r="M4557" t="s">
        <v>8673</v>
      </c>
      <c r="N4557" t="s">
        <v>30</v>
      </c>
      <c r="O4557">
        <v>74.05</v>
      </c>
      <c r="P4557">
        <v>88.82</v>
      </c>
      <c r="Q4557">
        <v>74.05</v>
      </c>
      <c r="R4557">
        <v>74.02</v>
      </c>
      <c r="S4557">
        <v>111.12</v>
      </c>
      <c r="T4557">
        <v>2.61</v>
      </c>
      <c r="U4557" t="s">
        <v>44</v>
      </c>
    </row>
    <row r="4558" spans="1:21">
      <c r="A4558" t="str">
        <f>"688788"</f>
        <v>688788</v>
      </c>
      <c r="B4558" t="s">
        <v>8674</v>
      </c>
      <c r="C4558">
        <v>0.79</v>
      </c>
      <c r="D4558">
        <v>139.6</v>
      </c>
      <c r="E4558">
        <v>1.1</v>
      </c>
      <c r="F4558">
        <v>139.6</v>
      </c>
      <c r="G4558">
        <v>139.66</v>
      </c>
      <c r="H4558">
        <v>8046</v>
      </c>
      <c r="I4558">
        <v>55</v>
      </c>
      <c r="J4558">
        <v>0.24</v>
      </c>
      <c r="K4558">
        <v>1.74</v>
      </c>
      <c r="L4558">
        <v>11161.85</v>
      </c>
      <c r="M4558" t="s">
        <v>8675</v>
      </c>
      <c r="N4558" t="s">
        <v>153</v>
      </c>
      <c r="O4558">
        <v>138.63</v>
      </c>
      <c r="P4558">
        <v>140.88</v>
      </c>
      <c r="Q4558">
        <v>136.89</v>
      </c>
      <c r="R4558">
        <v>138.5</v>
      </c>
      <c r="S4558">
        <v>38.48</v>
      </c>
      <c r="T4558">
        <v>0.91</v>
      </c>
      <c r="U4558" t="s">
        <v>24</v>
      </c>
    </row>
    <row r="4559" spans="1:21">
      <c r="A4559" t="str">
        <f>"688789"</f>
        <v>688789</v>
      </c>
      <c r="B4559" t="s">
        <v>8676</v>
      </c>
      <c r="C4559">
        <v>-4.25</v>
      </c>
      <c r="D4559">
        <v>293</v>
      </c>
      <c r="E4559">
        <v>-13</v>
      </c>
      <c r="F4559">
        <v>292.22</v>
      </c>
      <c r="G4559">
        <v>293</v>
      </c>
      <c r="H4559">
        <v>3834</v>
      </c>
      <c r="I4559">
        <v>16</v>
      </c>
      <c r="J4559">
        <v>-0.92</v>
      </c>
      <c r="K4559">
        <v>2.48</v>
      </c>
      <c r="L4559">
        <v>11344.81</v>
      </c>
      <c r="M4559" t="s">
        <v>8677</v>
      </c>
      <c r="N4559" t="s">
        <v>324</v>
      </c>
      <c r="O4559">
        <v>304</v>
      </c>
      <c r="P4559">
        <v>310.98</v>
      </c>
      <c r="Q4559">
        <v>284.86</v>
      </c>
      <c r="R4559">
        <v>306</v>
      </c>
      <c r="S4559">
        <v>102.42</v>
      </c>
      <c r="T4559">
        <v>1.6</v>
      </c>
      <c r="U4559" t="s">
        <v>200</v>
      </c>
    </row>
    <row r="4560" spans="1:21">
      <c r="A4560" t="str">
        <f>"688793"</f>
        <v>688793</v>
      </c>
      <c r="B4560" t="s">
        <v>8678</v>
      </c>
      <c r="C4560">
        <v>-0.56</v>
      </c>
      <c r="D4560">
        <v>104.69</v>
      </c>
      <c r="E4560">
        <v>-0.59</v>
      </c>
      <c r="F4560">
        <v>104.52</v>
      </c>
      <c r="G4560">
        <v>104.69</v>
      </c>
      <c r="H4560">
        <v>3433</v>
      </c>
      <c r="I4560">
        <v>30</v>
      </c>
      <c r="J4560">
        <v>0</v>
      </c>
      <c r="K4560">
        <v>2.74</v>
      </c>
      <c r="L4560">
        <v>3607.84</v>
      </c>
      <c r="M4560" t="s">
        <v>8679</v>
      </c>
      <c r="N4560" t="s">
        <v>910</v>
      </c>
      <c r="O4560">
        <v>105</v>
      </c>
      <c r="P4560">
        <v>107.86</v>
      </c>
      <c r="Q4560">
        <v>103.66</v>
      </c>
      <c r="R4560">
        <v>105.28</v>
      </c>
      <c r="S4560">
        <v>73.35</v>
      </c>
      <c r="T4560">
        <v>0.53</v>
      </c>
      <c r="U4560" t="s">
        <v>24</v>
      </c>
    </row>
    <row r="4561" spans="1:21">
      <c r="A4561" t="str">
        <f>"688798"</f>
        <v>688798</v>
      </c>
      <c r="B4561" t="s">
        <v>8680</v>
      </c>
      <c r="C4561">
        <v>-1.3</v>
      </c>
      <c r="D4561">
        <v>228</v>
      </c>
      <c r="E4561">
        <v>-3</v>
      </c>
      <c r="F4561">
        <v>227.74</v>
      </c>
      <c r="G4561">
        <v>228</v>
      </c>
      <c r="H4561">
        <v>5009</v>
      </c>
      <c r="I4561">
        <v>23</v>
      </c>
      <c r="J4561">
        <v>-0.03</v>
      </c>
      <c r="K4561">
        <v>1.57</v>
      </c>
      <c r="L4561">
        <v>11488.89</v>
      </c>
      <c r="M4561" t="s">
        <v>8681</v>
      </c>
      <c r="N4561" t="s">
        <v>1246</v>
      </c>
      <c r="O4561">
        <v>232.55</v>
      </c>
      <c r="P4561">
        <v>234.69</v>
      </c>
      <c r="Q4561">
        <v>226.5</v>
      </c>
      <c r="R4561">
        <v>231</v>
      </c>
      <c r="S4561">
        <v>145.14</v>
      </c>
      <c r="T4561">
        <v>1.04</v>
      </c>
      <c r="U4561" t="s">
        <v>848</v>
      </c>
    </row>
    <row r="4562" spans="1:21">
      <c r="A4562" t="str">
        <f>"688799"</f>
        <v>688799</v>
      </c>
      <c r="B4562" t="s">
        <v>8682</v>
      </c>
      <c r="C4562">
        <v>3.99</v>
      </c>
      <c r="D4562">
        <v>40.63</v>
      </c>
      <c r="E4562">
        <v>1.56</v>
      </c>
      <c r="F4562">
        <v>40.6</v>
      </c>
      <c r="G4562">
        <v>40.63</v>
      </c>
      <c r="H4562">
        <v>11247</v>
      </c>
      <c r="I4562">
        <v>311</v>
      </c>
      <c r="J4562">
        <v>0.49</v>
      </c>
      <c r="K4562">
        <v>5.88</v>
      </c>
      <c r="L4562">
        <v>4546.46</v>
      </c>
      <c r="M4562" t="s">
        <v>8683</v>
      </c>
      <c r="N4562" t="s">
        <v>192</v>
      </c>
      <c r="O4562">
        <v>39.59</v>
      </c>
      <c r="P4562">
        <v>40.77</v>
      </c>
      <c r="Q4562">
        <v>39.58</v>
      </c>
      <c r="R4562">
        <v>39.07</v>
      </c>
      <c r="S4562">
        <v>27.68</v>
      </c>
      <c r="T4562">
        <v>1.3</v>
      </c>
      <c r="U4562" t="s">
        <v>204</v>
      </c>
    </row>
    <row r="4563" spans="1:21">
      <c r="A4563" t="str">
        <f>"688800"</f>
        <v>688800</v>
      </c>
      <c r="B4563" t="s">
        <v>8684</v>
      </c>
      <c r="C4563">
        <v>0.75</v>
      </c>
      <c r="D4563">
        <v>121.2</v>
      </c>
      <c r="E4563">
        <v>0.9</v>
      </c>
      <c r="F4563">
        <v>121.17</v>
      </c>
      <c r="G4563">
        <v>121.2</v>
      </c>
      <c r="H4563">
        <v>9194</v>
      </c>
      <c r="I4563">
        <v>128</v>
      </c>
      <c r="J4563">
        <v>-0.34</v>
      </c>
      <c r="K4563">
        <v>4.18</v>
      </c>
      <c r="L4563">
        <v>11076.89</v>
      </c>
      <c r="M4563" t="s">
        <v>8685</v>
      </c>
      <c r="N4563" t="s">
        <v>69</v>
      </c>
      <c r="O4563">
        <v>118</v>
      </c>
      <c r="P4563">
        <v>123.37</v>
      </c>
      <c r="Q4563">
        <v>116.85</v>
      </c>
      <c r="R4563">
        <v>120.3</v>
      </c>
      <c r="S4563">
        <v>137.31</v>
      </c>
      <c r="T4563">
        <v>0.48</v>
      </c>
      <c r="U4563" t="s">
        <v>102</v>
      </c>
    </row>
    <row r="4564" spans="1:21">
      <c r="A4564" t="str">
        <f>"688819"</f>
        <v>688819</v>
      </c>
      <c r="B4564" t="s">
        <v>8686</v>
      </c>
      <c r="C4564">
        <v>4.56</v>
      </c>
      <c r="D4564">
        <v>47.74</v>
      </c>
      <c r="E4564">
        <v>2.08</v>
      </c>
      <c r="F4564">
        <v>47.74</v>
      </c>
      <c r="G4564">
        <v>47.75</v>
      </c>
      <c r="H4564">
        <v>77914</v>
      </c>
      <c r="I4564">
        <v>896</v>
      </c>
      <c r="J4564">
        <v>-0.14</v>
      </c>
      <c r="K4564">
        <v>7.33</v>
      </c>
      <c r="L4564">
        <v>36866.82</v>
      </c>
      <c r="M4564" t="s">
        <v>8687</v>
      </c>
      <c r="N4564" t="s">
        <v>47</v>
      </c>
      <c r="O4564">
        <v>45.3</v>
      </c>
      <c r="P4564">
        <v>48.28</v>
      </c>
      <c r="Q4564">
        <v>45.11</v>
      </c>
      <c r="R4564">
        <v>45.66</v>
      </c>
      <c r="S4564">
        <v>32.67</v>
      </c>
      <c r="T4564">
        <v>1.93</v>
      </c>
      <c r="U4564" t="s">
        <v>200</v>
      </c>
    </row>
    <row r="4565" spans="1:21">
      <c r="A4565" t="str">
        <f>"688981"</f>
        <v>688981</v>
      </c>
      <c r="B4565" t="s">
        <v>8688</v>
      </c>
      <c r="C4565">
        <v>0.26</v>
      </c>
      <c r="D4565">
        <v>54.71</v>
      </c>
      <c r="E4565">
        <v>0.14</v>
      </c>
      <c r="F4565">
        <v>54.7</v>
      </c>
      <c r="G4565">
        <v>54.71</v>
      </c>
      <c r="H4565">
        <v>223466</v>
      </c>
      <c r="I4565">
        <v>2534</v>
      </c>
      <c r="J4565">
        <v>-0.04</v>
      </c>
      <c r="K4565">
        <v>1.19</v>
      </c>
      <c r="L4565">
        <v>121994.24</v>
      </c>
      <c r="M4565" t="s">
        <v>8689</v>
      </c>
      <c r="N4565" t="s">
        <v>1246</v>
      </c>
      <c r="O4565">
        <v>54.56</v>
      </c>
      <c r="P4565">
        <v>54.89</v>
      </c>
      <c r="Q4565">
        <v>54.3</v>
      </c>
      <c r="R4565">
        <v>54.57</v>
      </c>
      <c r="S4565">
        <v>44.31</v>
      </c>
      <c r="T4565">
        <v>0.59</v>
      </c>
      <c r="U4565" t="s">
        <v>848</v>
      </c>
    </row>
    <row r="4566" spans="1:21">
      <c r="A4566" t="str">
        <f>"689009"</f>
        <v>689009</v>
      </c>
      <c r="B4566" t="s">
        <v>8690</v>
      </c>
      <c r="C4566">
        <v>-2.72</v>
      </c>
      <c r="D4566">
        <v>60.87</v>
      </c>
      <c r="E4566">
        <v>-1.7</v>
      </c>
      <c r="F4566">
        <v>60.87</v>
      </c>
      <c r="G4566">
        <v>60.88</v>
      </c>
      <c r="H4566">
        <v>18732</v>
      </c>
      <c r="I4566">
        <v>368</v>
      </c>
      <c r="J4566">
        <v>0.08</v>
      </c>
      <c r="K4566">
        <v>0.42</v>
      </c>
      <c r="L4566">
        <v>11421.63</v>
      </c>
      <c r="M4566" t="s">
        <v>8691</v>
      </c>
      <c r="N4566" t="s">
        <v>917</v>
      </c>
      <c r="O4566">
        <v>62.37</v>
      </c>
      <c r="P4566">
        <v>62.56</v>
      </c>
      <c r="Q4566">
        <v>60.3</v>
      </c>
      <c r="R4566">
        <v>62.57</v>
      </c>
      <c r="S4566">
        <v>82.85</v>
      </c>
      <c r="T4566">
        <v>0.79</v>
      </c>
      <c r="U4566" t="s">
        <v>44</v>
      </c>
    </row>
    <row r="4567" spans="1:21">
      <c r="A4567" t="str">
        <f>"600927"</f>
        <v>600927</v>
      </c>
      <c r="B4567" t="s">
        <v>8692</v>
      </c>
      <c r="C4567" t="s">
        <v>40</v>
      </c>
      <c r="D4567">
        <v>0</v>
      </c>
      <c r="E4567" t="s">
        <v>40</v>
      </c>
      <c r="F4567" t="s">
        <v>40</v>
      </c>
      <c r="G4567" t="s">
        <v>40</v>
      </c>
      <c r="H4567">
        <v>0</v>
      </c>
      <c r="I4567">
        <v>0</v>
      </c>
      <c r="J4567" t="s">
        <v>40</v>
      </c>
      <c r="K4567" t="s">
        <v>40</v>
      </c>
      <c r="L4567">
        <v>0</v>
      </c>
      <c r="M4567" t="s">
        <v>40</v>
      </c>
      <c r="N4567" t="s">
        <v>121</v>
      </c>
      <c r="O4567" t="s">
        <v>40</v>
      </c>
      <c r="P4567" t="s">
        <v>40</v>
      </c>
      <c r="Q4567" t="s">
        <v>40</v>
      </c>
      <c r="R4567" t="s">
        <v>40</v>
      </c>
      <c r="S4567" t="s">
        <v>40</v>
      </c>
      <c r="T4567" t="s">
        <v>40</v>
      </c>
      <c r="U4567" t="s">
        <v>200</v>
      </c>
    </row>
    <row r="4568" spans="1:21">
      <c r="A4568" t="str">
        <f>"600935"</f>
        <v>600935</v>
      </c>
      <c r="B4568" t="s">
        <v>8693</v>
      </c>
      <c r="C4568" t="s">
        <v>40</v>
      </c>
      <c r="D4568">
        <v>0</v>
      </c>
      <c r="E4568" t="s">
        <v>40</v>
      </c>
      <c r="F4568" t="s">
        <v>40</v>
      </c>
      <c r="G4568" t="s">
        <v>40</v>
      </c>
      <c r="H4568">
        <v>0</v>
      </c>
      <c r="I4568">
        <v>0</v>
      </c>
      <c r="J4568" t="s">
        <v>40</v>
      </c>
      <c r="K4568" t="s">
        <v>40</v>
      </c>
      <c r="L4568">
        <v>0</v>
      </c>
      <c r="M4568" t="s">
        <v>40</v>
      </c>
      <c r="N4568" t="s">
        <v>309</v>
      </c>
      <c r="O4568" t="s">
        <v>40</v>
      </c>
      <c r="P4568" t="s">
        <v>40</v>
      </c>
      <c r="Q4568" t="s">
        <v>40</v>
      </c>
      <c r="R4568" t="s">
        <v>40</v>
      </c>
      <c r="S4568" t="s">
        <v>40</v>
      </c>
      <c r="T4568" t="s">
        <v>40</v>
      </c>
      <c r="U4568" t="s">
        <v>193</v>
      </c>
    </row>
    <row r="4569" spans="1:21">
      <c r="A4569" t="str">
        <f>"601206"</f>
        <v>601206</v>
      </c>
      <c r="B4569" t="s">
        <v>8694</v>
      </c>
      <c r="C4569" t="s">
        <v>40</v>
      </c>
      <c r="D4569">
        <v>0</v>
      </c>
      <c r="E4569" t="s">
        <v>40</v>
      </c>
      <c r="F4569" t="s">
        <v>40</v>
      </c>
      <c r="G4569" t="s">
        <v>40</v>
      </c>
      <c r="H4569">
        <v>0</v>
      </c>
      <c r="I4569">
        <v>0</v>
      </c>
      <c r="J4569" t="s">
        <v>40</v>
      </c>
      <c r="K4569" t="s">
        <v>40</v>
      </c>
      <c r="L4569">
        <v>0</v>
      </c>
      <c r="M4569" t="s">
        <v>40</v>
      </c>
      <c r="N4569" t="s">
        <v>231</v>
      </c>
      <c r="O4569" t="s">
        <v>40</v>
      </c>
      <c r="P4569" t="s">
        <v>40</v>
      </c>
      <c r="Q4569" t="s">
        <v>40</v>
      </c>
      <c r="R4569" t="s">
        <v>40</v>
      </c>
      <c r="S4569" t="s">
        <v>40</v>
      </c>
      <c r="T4569" t="s">
        <v>40</v>
      </c>
      <c r="U4569" t="s">
        <v>200</v>
      </c>
    </row>
    <row r="4570" spans="1:21">
      <c r="A4570" t="str">
        <f>"603219"</f>
        <v>603219</v>
      </c>
      <c r="B4570" t="s">
        <v>8695</v>
      </c>
      <c r="C4570" t="s">
        <v>40</v>
      </c>
      <c r="D4570">
        <v>0</v>
      </c>
      <c r="E4570" t="s">
        <v>40</v>
      </c>
      <c r="F4570" t="s">
        <v>40</v>
      </c>
      <c r="G4570" t="s">
        <v>40</v>
      </c>
      <c r="H4570">
        <v>0</v>
      </c>
      <c r="I4570">
        <v>0</v>
      </c>
      <c r="J4570" t="s">
        <v>40</v>
      </c>
      <c r="K4570" t="s">
        <v>40</v>
      </c>
      <c r="L4570">
        <v>0</v>
      </c>
      <c r="M4570" t="s">
        <v>5022</v>
      </c>
      <c r="N4570" t="s">
        <v>60</v>
      </c>
      <c r="O4570" t="s">
        <v>40</v>
      </c>
      <c r="P4570" t="s">
        <v>40</v>
      </c>
      <c r="Q4570" t="s">
        <v>40</v>
      </c>
      <c r="R4570" t="s">
        <v>40</v>
      </c>
      <c r="S4570" t="s">
        <v>40</v>
      </c>
      <c r="T4570" t="s">
        <v>40</v>
      </c>
      <c r="U4570" t="s">
        <v>200</v>
      </c>
    </row>
    <row r="4571" spans="1:21">
      <c r="A4571" t="str">
        <f>"603230"</f>
        <v>603230</v>
      </c>
      <c r="B4571" t="s">
        <v>8696</v>
      </c>
      <c r="C4571" t="s">
        <v>40</v>
      </c>
      <c r="D4571">
        <v>0</v>
      </c>
      <c r="E4571" t="s">
        <v>40</v>
      </c>
      <c r="F4571" t="s">
        <v>40</v>
      </c>
      <c r="G4571" t="s">
        <v>40</v>
      </c>
      <c r="H4571">
        <v>0</v>
      </c>
      <c r="I4571">
        <v>0</v>
      </c>
      <c r="J4571" t="s">
        <v>40</v>
      </c>
      <c r="K4571" t="s">
        <v>40</v>
      </c>
      <c r="L4571">
        <v>0</v>
      </c>
      <c r="M4571" t="s">
        <v>40</v>
      </c>
      <c r="N4571" t="s">
        <v>650</v>
      </c>
      <c r="O4571" t="s">
        <v>40</v>
      </c>
      <c r="P4571" t="s">
        <v>40</v>
      </c>
      <c r="Q4571" t="s">
        <v>40</v>
      </c>
      <c r="R4571" t="s">
        <v>40</v>
      </c>
      <c r="S4571" t="s">
        <v>40</v>
      </c>
      <c r="T4571" t="s">
        <v>40</v>
      </c>
      <c r="U4571" t="s">
        <v>275</v>
      </c>
    </row>
    <row r="4572" spans="1:21">
      <c r="A4572" t="str">
        <f>"603302"</f>
        <v>603302</v>
      </c>
      <c r="B4572" t="s">
        <v>8697</v>
      </c>
      <c r="C4572" t="s">
        <v>40</v>
      </c>
      <c r="D4572">
        <v>0</v>
      </c>
      <c r="E4572" t="s">
        <v>40</v>
      </c>
      <c r="F4572" t="s">
        <v>40</v>
      </c>
      <c r="G4572" t="s">
        <v>40</v>
      </c>
      <c r="H4572">
        <v>0</v>
      </c>
      <c r="I4572">
        <v>0</v>
      </c>
      <c r="J4572" t="s">
        <v>40</v>
      </c>
      <c r="K4572" t="s">
        <v>40</v>
      </c>
      <c r="L4572">
        <v>0</v>
      </c>
      <c r="M4572" t="s">
        <v>40</v>
      </c>
      <c r="N4572" t="s">
        <v>33</v>
      </c>
      <c r="O4572" t="s">
        <v>40</v>
      </c>
      <c r="P4572" t="s">
        <v>40</v>
      </c>
      <c r="Q4572" t="s">
        <v>40</v>
      </c>
      <c r="R4572" t="s">
        <v>40</v>
      </c>
      <c r="S4572" t="s">
        <v>40</v>
      </c>
      <c r="T4572" t="s">
        <v>40</v>
      </c>
      <c r="U4572" t="s">
        <v>221</v>
      </c>
    </row>
    <row r="4573" spans="1:21">
      <c r="A4573" t="str">
        <f>"688049"</f>
        <v>688049</v>
      </c>
      <c r="B4573" t="s">
        <v>8698</v>
      </c>
      <c r="C4573" t="s">
        <v>40</v>
      </c>
      <c r="D4573">
        <v>0</v>
      </c>
      <c r="E4573" t="s">
        <v>40</v>
      </c>
      <c r="F4573" t="s">
        <v>40</v>
      </c>
      <c r="G4573" t="s">
        <v>40</v>
      </c>
      <c r="H4573">
        <v>0</v>
      </c>
      <c r="I4573">
        <v>0</v>
      </c>
      <c r="J4573" t="s">
        <v>40</v>
      </c>
      <c r="K4573" t="s">
        <v>40</v>
      </c>
      <c r="L4573">
        <v>0</v>
      </c>
      <c r="M4573" t="s">
        <v>40</v>
      </c>
      <c r="N4573" t="s">
        <v>1246</v>
      </c>
      <c r="O4573" t="s">
        <v>40</v>
      </c>
      <c r="P4573" t="s">
        <v>40</v>
      </c>
      <c r="Q4573" t="s">
        <v>40</v>
      </c>
      <c r="R4573" t="s">
        <v>40</v>
      </c>
      <c r="S4573" t="s">
        <v>40</v>
      </c>
      <c r="T4573" t="s">
        <v>40</v>
      </c>
      <c r="U4573" t="s">
        <v>183</v>
      </c>
    </row>
    <row r="4574" spans="1:21">
      <c r="A4574" t="str">
        <f>"688112"</f>
        <v>688112</v>
      </c>
      <c r="B4574" t="s">
        <v>8699</v>
      </c>
      <c r="C4574" t="s">
        <v>40</v>
      </c>
      <c r="D4574">
        <v>0</v>
      </c>
      <c r="E4574" t="s">
        <v>40</v>
      </c>
      <c r="F4574" t="s">
        <v>40</v>
      </c>
      <c r="G4574" t="s">
        <v>40</v>
      </c>
      <c r="H4574">
        <v>0</v>
      </c>
      <c r="I4574">
        <v>0</v>
      </c>
      <c r="J4574" t="s">
        <v>40</v>
      </c>
      <c r="K4574" t="s">
        <v>40</v>
      </c>
      <c r="L4574">
        <v>0</v>
      </c>
      <c r="M4574" t="s">
        <v>40</v>
      </c>
      <c r="N4574" t="s">
        <v>1028</v>
      </c>
      <c r="O4574" t="s">
        <v>40</v>
      </c>
      <c r="P4574" t="s">
        <v>40</v>
      </c>
      <c r="Q4574" t="s">
        <v>40</v>
      </c>
      <c r="R4574" t="s">
        <v>40</v>
      </c>
      <c r="S4574" t="s">
        <v>40</v>
      </c>
      <c r="T4574" t="s">
        <v>40</v>
      </c>
      <c r="U4574" t="s">
        <v>24</v>
      </c>
    </row>
    <row r="4575" spans="1:21">
      <c r="A4575" t="str">
        <f>"688151"</f>
        <v>688151</v>
      </c>
      <c r="B4575" t="s">
        <v>8700</v>
      </c>
      <c r="C4575" t="s">
        <v>40</v>
      </c>
      <c r="D4575">
        <v>0</v>
      </c>
      <c r="E4575" t="s">
        <v>40</v>
      </c>
      <c r="F4575" t="s">
        <v>40</v>
      </c>
      <c r="G4575" t="s">
        <v>40</v>
      </c>
      <c r="H4575">
        <v>0</v>
      </c>
      <c r="I4575">
        <v>0</v>
      </c>
      <c r="J4575" t="s">
        <v>40</v>
      </c>
      <c r="K4575" t="s">
        <v>40</v>
      </c>
      <c r="L4575">
        <v>0</v>
      </c>
      <c r="M4575" t="s">
        <v>40</v>
      </c>
      <c r="N4575" t="s">
        <v>324</v>
      </c>
      <c r="O4575" t="s">
        <v>40</v>
      </c>
      <c r="P4575" t="s">
        <v>40</v>
      </c>
      <c r="Q4575" t="s">
        <v>40</v>
      </c>
      <c r="R4575" t="s">
        <v>40</v>
      </c>
      <c r="S4575" t="s">
        <v>40</v>
      </c>
      <c r="T4575" t="s">
        <v>40</v>
      </c>
      <c r="U4575" t="s">
        <v>267</v>
      </c>
    </row>
    <row r="4576" spans="1:21">
      <c r="A4576" t="str">
        <f>"688190"</f>
        <v>688190</v>
      </c>
      <c r="B4576" t="s">
        <v>8701</v>
      </c>
      <c r="C4576" t="s">
        <v>40</v>
      </c>
      <c r="D4576">
        <v>0</v>
      </c>
      <c r="E4576" t="s">
        <v>40</v>
      </c>
      <c r="F4576" t="s">
        <v>40</v>
      </c>
      <c r="G4576" t="s">
        <v>40</v>
      </c>
      <c r="H4576">
        <v>0</v>
      </c>
      <c r="I4576">
        <v>0</v>
      </c>
      <c r="J4576" t="s">
        <v>40</v>
      </c>
      <c r="K4576" t="s">
        <v>40</v>
      </c>
      <c r="L4576">
        <v>0</v>
      </c>
      <c r="M4576" t="s">
        <v>40</v>
      </c>
      <c r="N4576" t="s">
        <v>750</v>
      </c>
      <c r="O4576" t="s">
        <v>40</v>
      </c>
      <c r="P4576" t="s">
        <v>40</v>
      </c>
      <c r="Q4576" t="s">
        <v>40</v>
      </c>
      <c r="R4576" t="s">
        <v>40</v>
      </c>
      <c r="S4576" t="s">
        <v>40</v>
      </c>
      <c r="T4576" t="s">
        <v>40</v>
      </c>
      <c r="U4576" t="s">
        <v>221</v>
      </c>
    </row>
    <row r="4577" spans="1:21">
      <c r="A4577" t="str">
        <f>"688230"</f>
        <v>688230</v>
      </c>
      <c r="B4577" t="s">
        <v>8702</v>
      </c>
      <c r="C4577" t="s">
        <v>40</v>
      </c>
      <c r="D4577">
        <v>0</v>
      </c>
      <c r="E4577" t="s">
        <v>40</v>
      </c>
      <c r="F4577" t="s">
        <v>40</v>
      </c>
      <c r="G4577" t="s">
        <v>40</v>
      </c>
      <c r="H4577">
        <v>0</v>
      </c>
      <c r="I4577">
        <v>0</v>
      </c>
      <c r="J4577" t="s">
        <v>40</v>
      </c>
      <c r="K4577" t="s">
        <v>40</v>
      </c>
      <c r="L4577">
        <v>0</v>
      </c>
      <c r="M4577" t="s">
        <v>40</v>
      </c>
      <c r="N4577" t="s">
        <v>1246</v>
      </c>
      <c r="O4577" t="s">
        <v>40</v>
      </c>
      <c r="P4577" t="s">
        <v>40</v>
      </c>
      <c r="Q4577" t="s">
        <v>40</v>
      </c>
      <c r="R4577" t="s">
        <v>40</v>
      </c>
      <c r="S4577" t="s">
        <v>40</v>
      </c>
      <c r="T4577" t="s">
        <v>40</v>
      </c>
      <c r="U4577" t="s">
        <v>848</v>
      </c>
    </row>
    <row r="4578" spans="1:21">
      <c r="A4578" t="str">
        <f>"688688"</f>
        <v>688688</v>
      </c>
      <c r="B4578" t="s">
        <v>8703</v>
      </c>
      <c r="C4578" t="s">
        <v>40</v>
      </c>
      <c r="D4578">
        <v>0</v>
      </c>
      <c r="E4578" t="s">
        <v>40</v>
      </c>
      <c r="F4578" t="s">
        <v>40</v>
      </c>
      <c r="G4578" t="s">
        <v>40</v>
      </c>
      <c r="H4578">
        <v>0</v>
      </c>
      <c r="I4578">
        <v>0</v>
      </c>
      <c r="J4578" t="s">
        <v>40</v>
      </c>
      <c r="K4578" t="s">
        <v>40</v>
      </c>
      <c r="L4578">
        <v>0</v>
      </c>
      <c r="M4578" t="s">
        <v>40</v>
      </c>
      <c r="O4578" t="s">
        <v>40</v>
      </c>
      <c r="P4578" t="s">
        <v>40</v>
      </c>
      <c r="Q4578" t="s">
        <v>40</v>
      </c>
      <c r="R4578" t="s">
        <v>40</v>
      </c>
      <c r="S4578" t="s">
        <v>40</v>
      </c>
      <c r="T4578" t="s">
        <v>40</v>
      </c>
      <c r="U4578" t="s">
        <v>200</v>
      </c>
    </row>
    <row r="4579" spans="1:1">
      <c r="A4579" t="s">
        <v>8704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沪深Ａ股20211120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</cp:lastModifiedBy>
  <dcterms:created xsi:type="dcterms:W3CDTF">2021-11-20T12:26:44Z</dcterms:created>
  <dcterms:modified xsi:type="dcterms:W3CDTF">2021-11-20T12:27:02Z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2C4CB5F8440F4655A8CBBF9A0E8FCE38</vt:lpwstr>
  </property>
  <property fmtid="{D5CDD505-2E9C-101B-9397-08002B2CF9AE}" pid="3" name="KSOProductBuildVer">
    <vt:lpwstr>2052-11.1.0.11115</vt:lpwstr>
  </property>
</Properties>
</file>